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showInkAnnotation="0" codeName="ThisWorkbook" defaultThemeVersion="124226"/>
  <mc:AlternateContent xmlns:mc="http://schemas.openxmlformats.org/markup-compatibility/2006">
    <mc:Choice Requires="x15">
      <x15ac:absPath xmlns:x15ac="http://schemas.microsoft.com/office/spreadsheetml/2010/11/ac" url="U:\RATES\Revenue Policy\Transmission Formula Annual Updates\2019\Formula Update\Formula Updates with Inputs\"/>
    </mc:Choice>
  </mc:AlternateContent>
  <xr:revisionPtr revIDLastSave="0" documentId="13_ncr:1_{398E7A27-4BC3-434A-96C8-6C3879E0D7A2}" xr6:coauthVersionLast="36" xr6:coauthVersionMax="36" xr10:uidLastSave="{00000000-0000-0000-0000-000000000000}"/>
  <bookViews>
    <workbookView xWindow="0" yWindow="0" windowWidth="20496" windowHeight="6816" tabRatio="855" activeTab="1" xr2:uid="{00000000-000D-0000-FFFF-FFFF00000000}"/>
  </bookViews>
  <sheets>
    <sheet name="Title" sheetId="53" r:id="rId1"/>
    <sheet name="Attachment H-7" sheetId="1" r:id="rId2"/>
    <sheet name="1-Project Rev Req" sheetId="2" r:id="rId3"/>
    <sheet name="2-Incentive ROE" sheetId="16" r:id="rId4"/>
    <sheet name="3-Project True-up" sheetId="21" r:id="rId5"/>
    <sheet name="4- Rate Base" sheetId="5" r:id="rId6"/>
    <sheet name="4A - ADIT Summary" sheetId="27" r:id="rId7"/>
    <sheet name="4B - ADIT BOY" sheetId="28" r:id="rId8"/>
    <sheet name="4C - ADIT EOY" sheetId="29" r:id="rId9"/>
    <sheet name="4D - Intangible Pnt" sheetId="33" r:id="rId10"/>
    <sheet name="4E COA" sheetId="49" r:id="rId11"/>
    <sheet name="5-P3 Support" sheetId="6" r:id="rId12"/>
    <sheet name="5A - Revenue Credits" sheetId="30" r:id="rId13"/>
    <sheet name="5B - A&amp;G" sheetId="32" r:id="rId14"/>
    <sheet name="6-True-Up Interest" sheetId="7" r:id="rId15"/>
    <sheet name="7 - PBOP" sheetId="17" r:id="rId16"/>
    <sheet name="8 - Depreciation Rates" sheetId="52" r:id="rId17"/>
  </sheets>
  <externalReferences>
    <externalReference r:id="rId18"/>
    <externalReference r:id="rId19"/>
    <externalReference r:id="rId20"/>
    <externalReference r:id="rId21"/>
    <externalReference r:id="rId22"/>
    <externalReference r:id="rId23"/>
    <externalReference r:id="rId24"/>
  </externalReferences>
  <definedNames>
    <definedName name="_1K" hidden="1">[1]Masterdata!#REF!</definedName>
    <definedName name="_2K" hidden="1">[1]Masterdata!#REF!</definedName>
    <definedName name="_2S" hidden="1">[1]Masterdata!#REF!</definedName>
    <definedName name="_4S" hidden="1">[1]Masterdata!#REF!</definedName>
    <definedName name="_FEB01" localSheetId="6" hidden="1">{#N/A,#N/A,FALSE,"EMPPAY"}</definedName>
    <definedName name="_FEB01" localSheetId="7" hidden="1">{#N/A,#N/A,FALSE,"EMPPAY"}</definedName>
    <definedName name="_FEB01" localSheetId="8" hidden="1">{#N/A,#N/A,FALSE,"EMPPAY"}</definedName>
    <definedName name="_FEB01" hidden="1">{#N/A,#N/A,FALSE,"EMPPAY"}</definedName>
    <definedName name="_Fill" localSheetId="9" hidden="1">#REF!</definedName>
    <definedName name="_Fill" hidden="1">#REF!</definedName>
    <definedName name="_JAN01" localSheetId="6" hidden="1">{#N/A,#N/A,FALSE,"EMPPAY"}</definedName>
    <definedName name="_JAN01" localSheetId="7" hidden="1">{#N/A,#N/A,FALSE,"EMPPAY"}</definedName>
    <definedName name="_JAN01" localSheetId="8" hidden="1">{#N/A,#N/A,FALSE,"EMPPAY"}</definedName>
    <definedName name="_JAN01" hidden="1">{#N/A,#N/A,FALSE,"EMPPAY"}</definedName>
    <definedName name="_JAN2001" localSheetId="6" hidden="1">{#N/A,#N/A,FALSE,"EMPPAY"}</definedName>
    <definedName name="_JAN2001" localSheetId="7" hidden="1">{#N/A,#N/A,FALSE,"EMPPAY"}</definedName>
    <definedName name="_JAN2001" localSheetId="8" hidden="1">{#N/A,#N/A,FALSE,"EMPPAY"}</definedName>
    <definedName name="_JAN2001" hidden="1">{#N/A,#N/A,FALSE,"EMPPAY"}</definedName>
    <definedName name="_Order1" hidden="1">255</definedName>
    <definedName name="_Order2" hidden="1">0</definedName>
    <definedName name="_ryr56565" hidden="1">{#N/A,#N/A,FALSE,"Monthly SAIFI";#N/A,#N/A,FALSE,"Yearly SAIFI";#N/A,#N/A,FALSE,"Monthly CAIDI";#N/A,#N/A,FALSE,"Yearly CAIDI";#N/A,#N/A,FALSE,"Monthly SAIDI";#N/A,#N/A,FALSE,"Yearly SAIDI";#N/A,#N/A,FALSE,"Monthly MAIFI";#N/A,#N/A,FALSE,"Yearly MAIFI";#N/A,#N/A,FALSE,"Monthly Cust &gt;=4 Int"}</definedName>
    <definedName name="A" localSheetId="6" hidden="1">{#N/A,#N/A,FALSE,"EMPPAY"}</definedName>
    <definedName name="A" localSheetId="7" hidden="1">{#N/A,#N/A,FALSE,"EMPPAY"}</definedName>
    <definedName name="A" localSheetId="8" hidden="1">{#N/A,#N/A,FALSE,"EMPPAY"}</definedName>
    <definedName name="A" hidden="1">{#N/A,#N/A,FALSE,"EMPPAY"}</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dfsadfds" hidden="1">{#N/A,#N/A,FALSE,"Monthly SAIFI";#N/A,#N/A,FALSE,"Yearly SAIFI";#N/A,#N/A,FALSE,"Monthly CAIDI";#N/A,#N/A,FALSE,"Yearly CAIDI";#N/A,#N/A,FALSE,"Monthly SAIDI";#N/A,#N/A,FALSE,"Yearly SAIDI";#N/A,#N/A,FALSE,"Monthly MAIFI";#N/A,#N/A,FALSE,"Yearly MAIFI";#N/A,#N/A,FALSE,"Monthly Cust &gt;=4 Int"}</definedName>
    <definedName name="Alignment" hidden="1">"a1"</definedName>
    <definedName name="alsdfa" hidden="1">{#N/A,#N/A,FALSE,"Monthly SAIFI";#N/A,#N/A,FALSE,"Yearly SAIFI";#N/A,#N/A,FALSE,"Monthly CAIDI";#N/A,#N/A,FALSE,"Yearly CAIDI";#N/A,#N/A,FALSE,"Monthly SAIDI";#N/A,#N/A,FALSE,"Yearly SAIDI";#N/A,#N/A,FALSE,"Monthly MAIFI";#N/A,#N/A,FALSE,"Yearly MAIFI";#N/A,#N/A,FALSE,"Monthly Cust &gt;=4 Int"}</definedName>
    <definedName name="anscount" hidden="1">1</definedName>
    <definedName name="AS2DocOpenMode" hidden="1">"AS2DocumentEdit"</definedName>
    <definedName name="asdf" hidden="1">{#N/A,#N/A,FALSE,"Monthly SAIFI";#N/A,#N/A,FALSE,"Yearly SAIFI";#N/A,#N/A,FALSE,"Monthly CAIDI";#N/A,#N/A,FALSE,"Yearly CAIDI";#N/A,#N/A,FALSE,"Monthly SAIDI";#N/A,#N/A,FALSE,"Yearly SAIDI";#N/A,#N/A,FALSE,"Monthly MAIFI";#N/A,#N/A,FALSE,"Yearly MAIFI";#N/A,#N/A,FALSE,"Monthly Cust &gt;=4 Int"}</definedName>
    <definedName name="asdfasdfasdfasdfsdfa" hidden="1">{#N/A,#N/A,FALSE,"Monthly SAIFI";#N/A,#N/A,FALSE,"Yearly SAIFI";#N/A,#N/A,FALSE,"Monthly CAIDI";#N/A,#N/A,FALSE,"Yearly CAIDI";#N/A,#N/A,FALSE,"Monthly SAIDI";#N/A,#N/A,FALSE,"Yearly SAIDI";#N/A,#N/A,FALSE,"Monthly MAIFI";#N/A,#N/A,FALSE,"Yearly MAIFI";#N/A,#N/A,FALSE,"Monthly Cust &gt;=4 Int"}</definedName>
    <definedName name="ashaita" hidden="1">{#N/A,#N/A,FALSE,"Monthly SAIFI";#N/A,#N/A,FALSE,"Yearly SAIFI";#N/A,#N/A,FALSE,"Monthly CAIDI";#N/A,#N/A,FALSE,"Yearly CAIDI";#N/A,#N/A,FALSE,"Monthly SAIDI";#N/A,#N/A,FALSE,"Yearly SAIDI";#N/A,#N/A,FALSE,"Monthly MAIFI";#N/A,#N/A,FALSE,"Yearly MAIFI";#N/A,#N/A,FALSE,"Monthly Cust &gt;=4 Int"}</definedName>
    <definedName name="assd" hidden="1">{#N/A,#N/A,FALSE,"Monthly SAIFI";#N/A,#N/A,FALSE,"Yearly SAIFI";#N/A,#N/A,FALSE,"Monthly CAIDI";#N/A,#N/A,FALSE,"Yearly CAIDI";#N/A,#N/A,FALSE,"Monthly SAIDI";#N/A,#N/A,FALSE,"Yearly SAIDI";#N/A,#N/A,FALSE,"Monthly MAIFI";#N/A,#N/A,FALSE,"Yearly MAIFI";#N/A,#N/A,FALSE,"Monthly Cust &gt;=4 Int"}</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eny" hidden="1">{#N/A,#N/A,FALSE,"Monthly SAIFI";#N/A,#N/A,FALSE,"Yearly SAIFI";#N/A,#N/A,FALSE,"Monthly CAIDI";#N/A,#N/A,FALSE,"Yearly CAIDI";#N/A,#N/A,FALSE,"Monthly SAIDI";#N/A,#N/A,FALSE,"Yearly SAIDI";#N/A,#N/A,FALSE,"Monthly MAIFI";#N/A,#N/A,FALSE,"Yearly MAIFI";#N/A,#N/A,FALSE,"Monthly Cust &gt;=4 Int"}</definedName>
    <definedName name="can" hidden="1">{#N/A,#N/A,FALSE,"O&amp;M by processes";#N/A,#N/A,FALSE,"Elec Act vs Bud";#N/A,#N/A,FALSE,"G&amp;A";#N/A,#N/A,FALSE,"BGS";#N/A,#N/A,FALSE,"Res Cost"}</definedName>
    <definedName name="cbcvbcv" hidden="1">{#N/A,#N/A,FALSE,"Monthly SAIFI";#N/A,#N/A,FALSE,"Yearly SAIFI";#N/A,#N/A,FALSE,"Monthly CAIDI";#N/A,#N/A,FALSE,"Yearly CAIDI";#N/A,#N/A,FALSE,"Monthly SAIDI";#N/A,#N/A,FALSE,"Yearly SAIDI";#N/A,#N/A,FALSE,"Monthly MAIFI";#N/A,#N/A,FALSE,"Yearly MAIFI";#N/A,#N/A,FALSE,"Monthly Cust &gt;=4 Int"}</definedName>
    <definedName name="ccbbcvbc" hidden="1">{#N/A,#N/A,FALSE,"Monthly SAIFI";#N/A,#N/A,FALSE,"Yearly SAIFI";#N/A,#N/A,FALSE,"Monthly CAIDI";#N/A,#N/A,FALSE,"Yearly CAIDI";#N/A,#N/A,FALSE,"Monthly SAIDI";#N/A,#N/A,FALSE,"Yearly SAIDI";#N/A,#N/A,FALSE,"Monthly MAIFI";#N/A,#N/A,FALSE,"Yearly MAIFI";#N/A,#N/A,FALSE,"Monthly Cust &gt;=4 Int"}</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lientMatter" hidden="1">"b1"</definedName>
    <definedName name="CompanyName">'[2]Title Page'!$A$22</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SDD" hidden="1">{#N/A,#N/A,FALSE,"Monthly SAIFI";#N/A,#N/A,FALSE,"Yearly SAIFI";#N/A,#N/A,FALSE,"Monthly CAIDI";#N/A,#N/A,FALSE,"Yearly CAIDI";#N/A,#N/A,FALSE,"Monthly SAIDI";#N/A,#N/A,FALSE,"Yearly SAIDI";#N/A,#N/A,FALSE,"Monthly MAIFI";#N/A,#N/A,FALSE,"Yearly MAIFI";#N/A,#N/A,FALSE,"Monthly Cust &gt;=4 Int"}</definedName>
    <definedName name="DATAFEEDER">[0]!DATAFEEDER</definedName>
    <definedName name="Date" hidden="1">"b1"</definedName>
    <definedName name="dd" hidden="1">{#N/A,#N/A,FALSE,"Monthly SAIFI";#N/A,#N/A,FALSE,"Yearly SAIFI";#N/A,#N/A,FALSE,"Monthly CAIDI";#N/A,#N/A,FALSE,"Yearly CAIDI";#N/A,#N/A,FALSE,"Monthly SAIDI";#N/A,#N/A,FALSE,"Yearly SAIDI";#N/A,#N/A,FALSE,"Monthly MAIFI";#N/A,#N/A,FALSE,"Yearly MAIFI";#N/A,#N/A,FALSE,"Monthly Cust &gt;=4 Int"}</definedName>
    <definedName name="ddfsaf" hidden="1">{#N/A,#N/A,FALSE,"Monthly SAIFI";#N/A,#N/A,FALSE,"Yearly SAIFI";#N/A,#N/A,FALSE,"Monthly CAIDI";#N/A,#N/A,FALSE,"Yearly CAIDI";#N/A,#N/A,FALSE,"Monthly SAIDI";#N/A,#N/A,FALSE,"Yearly SAIDI";#N/A,#N/A,FALSE,"Monthly MAIFI";#N/A,#N/A,FALSE,"Yearly MAIFI";#N/A,#N/A,FALSE,"Monthly Cust &gt;=4 Int"}</definedName>
    <definedName name="DEC00" localSheetId="6" hidden="1">{#N/A,#N/A,FALSE,"ARREC"}</definedName>
    <definedName name="DEC00" localSheetId="7" hidden="1">{#N/A,#N/A,FALSE,"ARREC"}</definedName>
    <definedName name="DEC00" localSheetId="8" hidden="1">{#N/A,#N/A,FALSE,"ARREC"}</definedName>
    <definedName name="DEC00" hidden="1">{#N/A,#N/A,FALSE,"ARREC"}</definedName>
    <definedName name="delete" hidden="1">{#N/A,#N/A,FALSE,"CURRENT"}</definedName>
    <definedName name="dfasdfsdfZX" hidden="1">{#N/A,#N/A,FALSE,"Monthly SAIFI";#N/A,#N/A,FALSE,"Yearly SAIFI";#N/A,#N/A,FALSE,"Monthly CAIDI";#N/A,#N/A,FALSE,"Yearly CAIDI";#N/A,#N/A,FALSE,"Monthly SAIDI";#N/A,#N/A,FALSE,"Yearly SAIDI";#N/A,#N/A,FALSE,"Monthly MAIFI";#N/A,#N/A,FALSE,"Yearly MAIFI";#N/A,#N/A,FALSE,"Monthly Cust &gt;=4 Int"}</definedName>
    <definedName name="dfd">36787.5547596065</definedName>
    <definedName name="dfdsfs" hidden="1">{#N/A,#N/A,FALSE,"Monthly SAIFI";#N/A,#N/A,FALSE,"Yearly SAIFI";#N/A,#N/A,FALSE,"Monthly CAIDI";#N/A,#N/A,FALSE,"Yearly CAIDI";#N/A,#N/A,FALSE,"Monthly SAIDI";#N/A,#N/A,FALSE,"Yearly SAIDI";#N/A,#N/A,FALSE,"Monthly MAIFI";#N/A,#N/A,FALSE,"Yearly MAIFI";#N/A,#N/A,FALSE,"Monthly Cust &gt;=4 Int"}</definedName>
    <definedName name="dfsasdfasdfsdfasdfasdf" hidden="1">{#N/A,#N/A,FALSE,"Monthly SAIFI";#N/A,#N/A,FALSE,"Yearly SAIFI";#N/A,#N/A,FALSE,"Monthly CAIDI";#N/A,#N/A,FALSE,"Yearly CAIDI";#N/A,#N/A,FALSE,"Monthly SAIDI";#N/A,#N/A,FALSE,"Yearly SAIDI";#N/A,#N/A,FALSE,"Monthly MAIFI";#N/A,#N/A,FALSE,"Yearly MAIFI";#N/A,#N/A,FALSE,"Monthly Cust &gt;=4 Int"}</definedName>
    <definedName name="DocumentName" hidden="1">"b1"</definedName>
    <definedName name="DocumentNum" hidden="1">"a1"</definedName>
    <definedName name="dskdlss" hidden="1">{#N/A,#N/A,FALSE,"Monthly SAIFI";#N/A,#N/A,FALSE,"Yearly SAIFI";#N/A,#N/A,FALSE,"Monthly CAIDI";#N/A,#N/A,FALSE,"Yearly CAIDI";#N/A,#N/A,FALSE,"Monthly SAIDI";#N/A,#N/A,FALSE,"Yearly SAIDI";#N/A,#N/A,FALSE,"Monthly MAIFI";#N/A,#N/A,FALSE,"Yearly MAIFI";#N/A,#N/A,FALSE,"Monthly Cust &gt;=4 Int"}</definedName>
    <definedName name="edred" hidden="1">{#N/A,#N/A,FALSE,"Monthly SAIFI";#N/A,#N/A,FALSE,"Yearly SAIFI";#N/A,#N/A,FALSE,"Monthly CAIDI";#N/A,#N/A,FALSE,"Yearly CAIDI";#N/A,#N/A,FALSE,"Monthly SAIDI";#N/A,#N/A,FALSE,"Yearly SAIDI";#N/A,#N/A,FALSE,"Monthly MAIFI";#N/A,#N/A,FALSE,"Yearly MAIFI";#N/A,#N/A,FALSE,"Monthly Cust &gt;=4 Int"}</definedName>
    <definedName name="eeee" hidden="1">{#N/A,#N/A,FALSE,"O&amp;M by processes";#N/A,#N/A,FALSE,"Elec Act vs Bud";#N/A,#N/A,FALSE,"G&amp;A";#N/A,#N/A,FALSE,"BGS";#N/A,#N/A,FALSE,"Res Cost"}</definedName>
    <definedName name="EssOptions">"1100000000130100_11-          00"</definedName>
    <definedName name="EV__LASTREFTIME__" hidden="1">39826.8319444444</definedName>
    <definedName name="f" hidden="1">{#N/A,#N/A,FALSE,"Monthly SAIFI";#N/A,#N/A,FALSE,"Yearly SAIFI";#N/A,#N/A,FALSE,"Monthly CAIDI";#N/A,#N/A,FALSE,"Yearly CAIDI";#N/A,#N/A,FALSE,"Monthly SAIDI";#N/A,#N/A,FALSE,"Yearly SAIDI";#N/A,#N/A,FALSE,"Monthly MAIFI";#N/A,#N/A,FALSE,"Yearly MAIFI";#N/A,#N/A,FALSE,"Monthly Cust &gt;=4 Int"}</definedName>
    <definedName name="FDSDFSF" hidden="1">{#N/A,#N/A,FALSE,"Monthly SAIFI";#N/A,#N/A,FALSE,"Yearly SAIFI";#N/A,#N/A,FALSE,"Monthly CAIDI";#N/A,#N/A,FALSE,"Yearly CAIDI";#N/A,#N/A,FALSE,"Monthly SAIDI";#N/A,#N/A,FALSE,"Yearly SAIDI";#N/A,#N/A,FALSE,"Monthly MAIFI";#N/A,#N/A,FALSE,"Yearly MAIFI";#N/A,#N/A,FALSE,"Monthly Cust &gt;=4 Int"}</definedName>
    <definedName name="FEB00" localSheetId="6" hidden="1">{#N/A,#N/A,FALSE,"ARREC"}</definedName>
    <definedName name="FEB00" localSheetId="7" hidden="1">{#N/A,#N/A,FALSE,"ARREC"}</definedName>
    <definedName name="FEB00" localSheetId="8" hidden="1">{#N/A,#N/A,FALSE,"ARREC"}</definedName>
    <definedName name="FEB00" hidden="1">{#N/A,#N/A,FALSE,"ARREC"}</definedName>
    <definedName name="ff" hidden="1">{#N/A,#N/A,FALSE,"Monthly SAIFI";#N/A,#N/A,FALSE,"Yearly SAIFI";#N/A,#N/A,FALSE,"Monthly CAIDI";#N/A,#N/A,FALSE,"Yearly CAIDI";#N/A,#N/A,FALSE,"Monthly SAIDI";#N/A,#N/A,FALSE,"Yearly SAIDI";#N/A,#N/A,FALSE,"Monthly MAIFI";#N/A,#N/A,FALSE,"Yearly MAIFI";#N/A,#N/A,FALSE,"Monthly Cust &gt;=4 Int"}</definedName>
    <definedName name="fff" hidden="1">{#N/A,#N/A,FALSE,"Monthly SAIFI";#N/A,#N/A,FALSE,"Yearly SAIFI";#N/A,#N/A,FALSE,"Monthly CAIDI";#N/A,#N/A,FALSE,"Yearly CAIDI";#N/A,#N/A,FALSE,"Monthly SAIDI";#N/A,#N/A,FALSE,"Yearly SAIDI";#N/A,#N/A,FALSE,"Monthly MAIFI";#N/A,#N/A,FALSE,"Yearly MAIFI";#N/A,#N/A,FALSE,"Monthly Cust &gt;=4 Int"}</definedName>
    <definedName name="fghjghjfgjf" hidden="1">{#N/A,#N/A,FALSE,"Monthly SAIFI";#N/A,#N/A,FALSE,"Yearly SAIFI";#N/A,#N/A,FALSE,"Monthly CAIDI";#N/A,#N/A,FALSE,"Yearly CAIDI";#N/A,#N/A,FALSE,"Monthly SAIDI";#N/A,#N/A,FALSE,"Yearly SAIDI";#N/A,#N/A,FALSE,"Monthly MAIFI";#N/A,#N/A,FALSE,"Yearly MAIFI";#N/A,#N/A,FALSE,"Monthly Cust &gt;=4 Int"}</definedName>
    <definedName name="fsdafasf" hidden="1">{#N/A,#N/A,FALSE,"Monthly SAIFI";#N/A,#N/A,FALSE,"Yearly SAIFI";#N/A,#N/A,FALSE,"Monthly CAIDI";#N/A,#N/A,FALSE,"Yearly CAIDI";#N/A,#N/A,FALSE,"Monthly SAIDI";#N/A,#N/A,FALSE,"Yearly SAIDI";#N/A,#N/A,FALSE,"Monthly MAIFI";#N/A,#N/A,FALSE,"Yearly MAIFI";#N/A,#N/A,FALSE,"Monthly Cust &gt;=4 Int"}</definedName>
    <definedName name="fsdfsfs" hidden="1">{#N/A,#N/A,FALSE,"Monthly SAIFI";#N/A,#N/A,FALSE,"Yearly SAIFI";#N/A,#N/A,FALSE,"Monthly CAIDI";#N/A,#N/A,FALSE,"Yearly CAIDI";#N/A,#N/A,FALSE,"Monthly SAIDI";#N/A,#N/A,FALSE,"Yearly SAIDI";#N/A,#N/A,FALSE,"Monthly MAIFI";#N/A,#N/A,FALSE,"Yearly MAIFI";#N/A,#N/A,FALSE,"Monthly Cust &gt;=4 Int"}</definedName>
    <definedName name="fsdfsfsdfasfa" hidden="1">{#N/A,#N/A,FALSE,"Monthly SAIFI";#N/A,#N/A,FALSE,"Yearly SAIFI";#N/A,#N/A,FALSE,"Monthly CAIDI";#N/A,#N/A,FALSE,"Yearly CAIDI";#N/A,#N/A,FALSE,"Monthly SAIDI";#N/A,#N/A,FALSE,"Yearly SAIDI";#N/A,#N/A,FALSE,"Monthly MAIFI";#N/A,#N/A,FALSE,"Yearly MAIFI";#N/A,#N/A,FALSE,"Monthly Cust &gt;=4 Int"}</definedName>
    <definedName name="fsfsfsafasf" hidden="1">{#N/A,#N/A,FALSE,"Monthly SAIFI";#N/A,#N/A,FALSE,"Yearly SAIFI";#N/A,#N/A,FALSE,"Monthly CAIDI";#N/A,#N/A,FALSE,"Yearly CAIDI";#N/A,#N/A,FALSE,"Monthly SAIDI";#N/A,#N/A,FALSE,"Yearly SAIDI";#N/A,#N/A,FALSE,"Monthly MAIFI";#N/A,#N/A,FALSE,"Yearly MAIFI";#N/A,#N/A,FALSE,"Monthly Cust &gt;=4 Int"}</definedName>
    <definedName name="fwrwerwerwerwer" hidden="1">{#N/A,#N/A,FALSE,"Monthly SAIFI";#N/A,#N/A,FALSE,"Yearly SAIFI";#N/A,#N/A,FALSE,"Monthly CAIDI";#N/A,#N/A,FALSE,"Yearly CAIDI";#N/A,#N/A,FALSE,"Monthly SAIDI";#N/A,#N/A,FALSE,"Yearly SAIDI";#N/A,#N/A,FALSE,"Monthly MAIFI";#N/A,#N/A,FALSE,"Yearly MAIFI";#N/A,#N/A,FALSE,"Monthly Cust &gt;=4 Int"}</definedName>
    <definedName name="ghjgfj" hidden="1">{#N/A,#N/A,FALSE,"Monthly SAIFI";#N/A,#N/A,FALSE,"Yearly SAIFI";#N/A,#N/A,FALSE,"Monthly CAIDI";#N/A,#N/A,FALSE,"Yearly CAIDI";#N/A,#N/A,FALSE,"Monthly SAIDI";#N/A,#N/A,FALSE,"Yearly SAIDI";#N/A,#N/A,FALSE,"Monthly MAIFI";#N/A,#N/A,FALSE,"Yearly MAIFI";#N/A,#N/A,FALSE,"Monthly Cust &gt;=4 Int"}</definedName>
    <definedName name="ghjgfjfj" hidden="1">{#N/A,#N/A,FALSE,"Monthly SAIFI";#N/A,#N/A,FALSE,"Yearly SAIFI";#N/A,#N/A,FALSE,"Monthly CAIDI";#N/A,#N/A,FALSE,"Yearly CAIDI";#N/A,#N/A,FALSE,"Monthly SAIDI";#N/A,#N/A,FALSE,"Yearly SAIDI";#N/A,#N/A,FALSE,"Monthly MAIFI";#N/A,#N/A,FALSE,"Yearly MAIFI";#N/A,#N/A,FALSE,"Monthly Cust &gt;=4 Int"}</definedName>
    <definedName name="ghjgfjg" hidden="1">{#N/A,#N/A,FALSE,"Monthly SAIFI";#N/A,#N/A,FALSE,"Yearly SAIFI";#N/A,#N/A,FALSE,"Monthly CAIDI";#N/A,#N/A,FALSE,"Yearly CAIDI";#N/A,#N/A,FALSE,"Monthly SAIDI";#N/A,#N/A,FALSE,"Yearly SAIDI";#N/A,#N/A,FALSE,"Monthly MAIFI";#N/A,#N/A,FALSE,"Yearly MAIFI";#N/A,#N/A,FALSE,"Monthly Cust &gt;=4 Int"}</definedName>
    <definedName name="ghjgjgfjf" hidden="1">{#N/A,#N/A,FALSE,"Monthly SAIFI";#N/A,#N/A,FALSE,"Yearly SAIFI";#N/A,#N/A,FALSE,"Monthly CAIDI";#N/A,#N/A,FALSE,"Yearly CAIDI";#N/A,#N/A,FALSE,"Monthly SAIDI";#N/A,#N/A,FALSE,"Yearly SAIDI";#N/A,#N/A,FALSE,"Monthly MAIFI";#N/A,#N/A,FALSE,"Yearly MAIFI";#N/A,#N/A,FALSE,"Monthly Cust &gt;=4 Int"}</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h" hidden="1">{#N/A,#N/A,FALSE,"Monthly SAIFI";#N/A,#N/A,FALSE,"Yearly SAIFI";#N/A,#N/A,FALSE,"Monthly CAIDI";#N/A,#N/A,FALSE,"Yearly CAIDI";#N/A,#N/A,FALSE,"Monthly SAIDI";#N/A,#N/A,FALSE,"Yearly SAIDI";#N/A,#N/A,FALSE,"Monthly MAIFI";#N/A,#N/A,FALSE,"Yearly MAIFI";#N/A,#N/A,FALSE,"Monthly Cust &gt;=4 Int"}</definedName>
    <definedName name="hh" hidden="1">{#N/A,#N/A,FALSE,"Monthly SAIFI";#N/A,#N/A,FALSE,"Yearly SAIFI";#N/A,#N/A,FALSE,"Monthly CAIDI";#N/A,#N/A,FALSE,"Yearly CAIDI";#N/A,#N/A,FALSE,"Monthly SAIDI";#N/A,#N/A,FALSE,"Yearly SAIDI";#N/A,#N/A,FALSE,"Monthly MAIFI";#N/A,#N/A,FALSE,"Yearly MAIFI";#N/A,#N/A,FALSE,"Monthly Cust &gt;=4 Int"}</definedName>
    <definedName name="hjfjghjgfjgj" hidden="1">{#N/A,#N/A,FALSE,"Monthly SAIFI";#N/A,#N/A,FALSE,"Yearly SAIFI";#N/A,#N/A,FALSE,"Monthly CAIDI";#N/A,#N/A,FALSE,"Yearly CAIDI";#N/A,#N/A,FALSE,"Monthly SAIDI";#N/A,#N/A,FALSE,"Yearly SAIDI";#N/A,#N/A,FALSE,"Monthly MAIFI";#N/A,#N/A,FALSE,"Yearly MAIFI";#N/A,#N/A,FALSE,"Monthly Cust &gt;=4 Int"}</definedName>
    <definedName name="hjghjgf" hidden="1">{#N/A,#N/A,FALSE,"Monthly SAIFI";#N/A,#N/A,FALSE,"Yearly SAIFI";#N/A,#N/A,FALSE,"Monthly CAIDI";#N/A,#N/A,FALSE,"Yearly CAIDI";#N/A,#N/A,FALSE,"Monthly SAIDI";#N/A,#N/A,FALSE,"Yearly SAIDI";#N/A,#N/A,FALSE,"Monthly MAIFI";#N/A,#N/A,FALSE,"Yearly MAIFI";#N/A,#N/A,FALSE,"Monthly Cust &gt;=4 Int"}</definedName>
    <definedName name="jeff" hidden="1">{#N/A,#N/A,FALSE,"Monthly SAIFI";#N/A,#N/A,FALSE,"Yearly SAIFI";#N/A,#N/A,FALSE,"Monthly CAIDI";#N/A,#N/A,FALSE,"Yearly CAIDI";#N/A,#N/A,FALSE,"Monthly SAIDI";#N/A,#N/A,FALSE,"Yearly SAIDI";#N/A,#N/A,FALSE,"Monthly MAIFI";#N/A,#N/A,FALSE,"Yearly MAIFI";#N/A,#N/A,FALSE,"Monthly Cust &gt;=4 Int"}</definedName>
    <definedName name="jghjgjgfjgj" hidden="1">{#N/A,#N/A,FALSE,"Monthly SAIFI";#N/A,#N/A,FALSE,"Yearly SAIFI";#N/A,#N/A,FALSE,"Monthly CAIDI";#N/A,#N/A,FALSE,"Yearly CAIDI";#N/A,#N/A,FALSE,"Monthly SAIDI";#N/A,#N/A,FALSE,"Yearly SAIDI";#N/A,#N/A,FALSE,"Monthly MAIFI";#N/A,#N/A,FALSE,"Yearly MAIFI";#N/A,#N/A,FALSE,"Monthly Cust &gt;=4 Int"}</definedName>
    <definedName name="John" hidden="1">{#N/A,#N/A,FALSE,"Monthly SAIFI";#N/A,#N/A,FALSE,"Yearly SAIFI";#N/A,#N/A,FALSE,"Monthly CAIDI";#N/A,#N/A,FALSE,"Yearly CAIDI";#N/A,#N/A,FALSE,"Monthly SAIDI";#N/A,#N/A,FALSE,"Yearly SAIDI";#N/A,#N/A,FALSE,"Monthly MAIFI";#N/A,#N/A,FALSE,"Yearly MAIFI";#N/A,#N/A,FALSE,"Monthly Cust &gt;=4 Int"}</definedName>
    <definedName name="k" hidden="1">{#N/A,#N/A,FALSE,"Monthly SAIFI";#N/A,#N/A,FALSE,"Yearly SAIFI";#N/A,#N/A,FALSE,"Monthly CAIDI";#N/A,#N/A,FALSE,"Yearly CAIDI";#N/A,#N/A,FALSE,"Monthly SAIDI";#N/A,#N/A,FALSE,"Yearly SAIDI";#N/A,#N/A,FALSE,"Monthly MAIFI";#N/A,#N/A,FALSE,"Yearly MAIFI";#N/A,#N/A,FALSE,"Monthly Cust &gt;=4 Int"}</definedName>
    <definedName name="kk" hidden="1">{#N/A,#N/A,FALSE,"Monthly SAIFI";#N/A,#N/A,FALSE,"Yearly SAIFI";#N/A,#N/A,FALSE,"Monthly CAIDI";#N/A,#N/A,FALSE,"Yearly CAIDI";#N/A,#N/A,FALSE,"Monthly SAIDI";#N/A,#N/A,FALSE,"Yearly SAIDI";#N/A,#N/A,FALSE,"Monthly MAIFI";#N/A,#N/A,FALSE,"Yearly MAIFI";#N/A,#N/A,FALSE,"Monthly Cust &gt;=4 Int"}</definedName>
    <definedName name="kkk" hidden="1">{#N/A,#N/A,FALSE,"Monthly SAIFI";#N/A,#N/A,FALSE,"Yearly SAIFI";#N/A,#N/A,FALSE,"Monthly CAIDI";#N/A,#N/A,FALSE,"Yearly CAIDI";#N/A,#N/A,FALSE,"Monthly SAIDI";#N/A,#N/A,FALSE,"Yearly SAIDI";#N/A,#N/A,FALSE,"Monthly MAIFI";#N/A,#N/A,FALSE,"Yearly MAIFI";#N/A,#N/A,FALSE,"Monthly Cust &gt;=4 Int"}</definedName>
    <definedName name="Library" hidden="1">"a1"</definedName>
    <definedName name="limcount" hidden="1">1</definedName>
    <definedName name="loilpuioopy" hidden="1">{#N/A,#N/A,FALSE,"Monthly SAIFI";#N/A,#N/A,FALSE,"Yearly SAIFI";#N/A,#N/A,FALSE,"Monthly CAIDI";#N/A,#N/A,FALSE,"Yearly CAIDI";#N/A,#N/A,FALSE,"Monthly SAIDI";#N/A,#N/A,FALSE,"Yearly SAIDI";#N/A,#N/A,FALSE,"Monthly MAIFI";#N/A,#N/A,FALSE,"Yearly MAIFI";#N/A,#N/A,FALSE,"Monthly Cust &gt;=4 Int"}</definedName>
    <definedName name="lsdfj" hidden="1">{#N/A,#N/A,FALSE,"Monthly SAIFI";#N/A,#N/A,FALSE,"Yearly SAIFI";#N/A,#N/A,FALSE,"Monthly CAIDI";#N/A,#N/A,FALSE,"Yearly CAIDI";#N/A,#N/A,FALSE,"Monthly SAIDI";#N/A,#N/A,FALSE,"Yearly SAIDI";#N/A,#N/A,FALSE,"Monthly MAIFI";#N/A,#N/A,FALSE,"Yearly MAIFI";#N/A,#N/A,FALSE,"Monthly Cust &gt;=4 Int"}</definedName>
    <definedName name="lsdjf" hidden="1">{#N/A,#N/A,FALSE,"Monthly SAIFI";#N/A,#N/A,FALSE,"Yearly SAIFI";#N/A,#N/A,FALSE,"Monthly CAIDI";#N/A,#N/A,FALSE,"Yearly CAIDI";#N/A,#N/A,FALSE,"Monthly SAIDI";#N/A,#N/A,FALSE,"Yearly SAIDI";#N/A,#N/A,FALSE,"Monthly MAIFI";#N/A,#N/A,FALSE,"Yearly MAIFI";#N/A,#N/A,FALSE,"Monthly Cust &gt;=4 Int"}</definedName>
    <definedName name="lsdjfl" hidden="1">{#N/A,#N/A,FALSE,"Monthly SAIFI";#N/A,#N/A,FALSE,"Yearly SAIFI";#N/A,#N/A,FALSE,"Monthly CAIDI";#N/A,#N/A,FALSE,"Yearly CAIDI";#N/A,#N/A,FALSE,"Monthly SAIDI";#N/A,#N/A,FALSE,"Yearly SAIDI";#N/A,#N/A,FALSE,"Monthly MAIFI";#N/A,#N/A,FALSE,"Yearly MAIFI";#N/A,#N/A,FALSE,"Monthly Cust &gt;=4 Int"}</definedName>
    <definedName name="lsdjfls" hidden="1">{#N/A,#N/A,FALSE,"Monthly SAIFI";#N/A,#N/A,FALSE,"Yearly SAIFI";#N/A,#N/A,FALSE,"Monthly CAIDI";#N/A,#N/A,FALSE,"Yearly CAIDI";#N/A,#N/A,FALSE,"Monthly SAIDI";#N/A,#N/A,FALSE,"Yearly SAIDI";#N/A,#N/A,FALSE,"Monthly MAIFI";#N/A,#N/A,FALSE,"Yearly MAIFI";#N/A,#N/A,FALSE,"Monthly Cust &gt;=4 Int"}</definedName>
    <definedName name="lsdjfsdl" hidden="1">{#N/A,#N/A,FALSE,"Monthly SAIFI";#N/A,#N/A,FALSE,"Yearly SAIFI";#N/A,#N/A,FALSE,"Monthly CAIDI";#N/A,#N/A,FALSE,"Yearly CAIDI";#N/A,#N/A,FALSE,"Monthly SAIDI";#N/A,#N/A,FALSE,"Yearly SAIDI";#N/A,#N/A,FALSE,"Monthly MAIFI";#N/A,#N/A,FALSE,"Yearly MAIFI";#N/A,#N/A,FALSE,"Monthly Cust &gt;=4 Int"}</definedName>
    <definedName name="lsdjfsl" hidden="1">{#N/A,#N/A,FALSE,"Monthly SAIFI";#N/A,#N/A,FALSE,"Yearly SAIFI";#N/A,#N/A,FALSE,"Monthly CAIDI";#N/A,#N/A,FALSE,"Yearly CAIDI";#N/A,#N/A,FALSE,"Monthly SAIDI";#N/A,#N/A,FALSE,"Yearly SAIDI";#N/A,#N/A,FALSE,"Monthly MAIFI";#N/A,#N/A,FALSE,"Yearly MAIFI";#N/A,#N/A,FALSE,"Monthly Cust &gt;=4 Int"}</definedName>
    <definedName name="lsjfls" hidden="1">{#N/A,#N/A,FALSE,"Monthly SAIFI";#N/A,#N/A,FALSE,"Yearly SAIFI";#N/A,#N/A,FALSE,"Monthly CAIDI";#N/A,#N/A,FALSE,"Yearly CAIDI";#N/A,#N/A,FALSE,"Monthly SAIDI";#N/A,#N/A,FALSE,"Yearly SAIDI";#N/A,#N/A,FALSE,"Monthly MAIFI";#N/A,#N/A,FALSE,"Yearly MAIFI";#N/A,#N/A,FALSE,"Monthly Cust &gt;=4 Int"}</definedName>
    <definedName name="MAY" localSheetId="6" hidden="1">{#N/A,#N/A,FALSE,"EMPPAY"}</definedName>
    <definedName name="MAY" localSheetId="7" hidden="1">{#N/A,#N/A,FALSE,"EMPPAY"}</definedName>
    <definedName name="MAY" localSheetId="8" hidden="1">{#N/A,#N/A,FALSE,"EMPPAY"}</definedName>
    <definedName name="MAY" hidden="1">{#N/A,#N/A,FALSE,"EMPPAY"}</definedName>
    <definedName name="New_99_IS">'[3]2nd qtr 2000'!$A$1:$I$58,'[3]2nd qtr 2000'!$K$1:$T$58,'[3]2nd qtr 2000'!$V$1:$AI$58</definedName>
    <definedName name="November09" hidden="1">{#N/A,#N/A,FALSE,"Monthly SAIFI";#N/A,#N/A,FALSE,"Yearly SAIFI";#N/A,#N/A,FALSE,"Monthly CAIDI";#N/A,#N/A,FALSE,"Yearly CAIDI";#N/A,#N/A,FALSE,"Monthly SAIDI";#N/A,#N/A,FALSE,"Yearly SAIDI";#N/A,#N/A,FALSE,"Monthly MAIFI";#N/A,#N/A,FALSE,"Yearly MAIFI";#N/A,#N/A,FALSE,"Monthly Cust &gt;=4 Int"}</definedName>
    <definedName name="NvsASD">"V2003-01-31"</definedName>
    <definedName name="NvsAutoDrillOk">"VN"</definedName>
    <definedName name="NvsElapsedTime">0.000885069443029352</definedName>
    <definedName name="NvsEndTime">37660.0906980324</definedName>
    <definedName name="NvsInstSpec">"%,FBUSINESS_UNIT,TBU_ROLLUP,NPED,FDEPTID,TDEPT_ROLLUP,NCFO_VP_FINANCE"</definedName>
    <definedName name="NvsLayoutType">"M3"</definedName>
    <definedName name="NvsNplSpec">"%,X,RZF..,CZF.."</definedName>
    <definedName name="NvsPanelEffdt">"V1990-01-02"</definedName>
    <definedName name="NvsPanelSetid">"VPESHR"</definedName>
    <definedName name="NvsReqBU">"V10200"</definedName>
    <definedName name="NvsReqBUOnly">"VN"</definedName>
    <definedName name="NvsTransLed">"VN"</definedName>
    <definedName name="NvsTreeASD">"V2003-01-31"</definedName>
    <definedName name="NvsValTbl.ACCOUNT">"GL_ACCOUNT_TBL"</definedName>
    <definedName name="Print_99_IS">'[3]2nd qtr 2000'!$D$1:$I$58,'[3]2nd qtr 2000'!$N$1:$T$58,'[3]2nd qtr 2000'!$AA$1:$AH$57</definedName>
    <definedName name="_xlnm.Print_Area" localSheetId="2">'1-Project Rev Req'!$A$1:$S$118</definedName>
    <definedName name="_xlnm.Print_Area" localSheetId="3">'2-Incentive ROE'!$A$1:$K$48</definedName>
    <definedName name="_xlnm.Print_Area" localSheetId="5">'4- Rate Base'!$A$1:$L$85</definedName>
    <definedName name="_xlnm.Print_Area" localSheetId="6">'4A - ADIT Summary'!$A$1:$M$100</definedName>
    <definedName name="_xlnm.Print_Area" localSheetId="7">'4B - ADIT BOY'!$A$1:$H$185</definedName>
    <definedName name="_xlnm.Print_Area" localSheetId="9">'4D - Intangible Pnt'!$A$1:$T$107</definedName>
    <definedName name="_xlnm.Print_Area" localSheetId="12">'5A - Revenue Credits'!$A$1:$H$92</definedName>
    <definedName name="_xlnm.Print_Area" localSheetId="13">'5B - A&amp;G'!$A$1:$J$31</definedName>
    <definedName name="_xlnm.Print_Area" localSheetId="11">'5-P3 Support'!$A$1:$M$55</definedName>
    <definedName name="_xlnm.Print_Area" localSheetId="14">'6-True-Up Interest'!$A$1:$I$70</definedName>
    <definedName name="_xlnm.Print_Area" localSheetId="15">'7 - PBOP'!$A$1:$F$25</definedName>
    <definedName name="_xlnm.Print_Area" localSheetId="16">'8 - Depreciation Rates'!$A$1:$K$82</definedName>
    <definedName name="_xlnm.Print_Area" localSheetId="1">'Attachment H-7'!$A$1:$K$248</definedName>
    <definedName name="_xlnm.Print_Area" localSheetId="0">Title!$A$1:$H$22</definedName>
    <definedName name="Print_TFI_use">'[4]TFI use'!$A$1:$P$40,'[4]TFI use'!$A$42:$P$65,'[4]TFI use'!$A$67:$R$84</definedName>
    <definedName name="reawreqw" hidden="1">{#N/A,#N/A,FALSE,"Monthly SAIFI";#N/A,#N/A,FALSE,"Yearly SAIFI";#N/A,#N/A,FALSE,"Monthly CAIDI";#N/A,#N/A,FALSE,"Yearly CAIDI";#N/A,#N/A,FALSE,"Monthly SAIDI";#N/A,#N/A,FALSE,"Yearly SAIDI";#N/A,#N/A,FALSE,"Monthly MAIFI";#N/A,#N/A,FALSE,"Yearly MAIFI";#N/A,#N/A,FALSE,"Monthly Cust &gt;=4 Int"}</definedName>
    <definedName name="rrrr" hidden="1">{#N/A,#N/A,FALSE,"O&amp;M by processes";#N/A,#N/A,FALSE,"Elec Act vs Bud";#N/A,#N/A,FALSE,"G&amp;A";#N/A,#N/A,FALSE,"BGS";#N/A,#N/A,FALSE,"Res Cost"}</definedName>
    <definedName name="saSAsa" hidden="1">{#N/A,#N/A,FALSE,"Monthly SAIFI";#N/A,#N/A,FALSE,"Yearly SAIFI";#N/A,#N/A,FALSE,"Monthly CAIDI";#N/A,#N/A,FALSE,"Yearly CAIDI";#N/A,#N/A,FALSE,"Monthly SAIDI";#N/A,#N/A,FALSE,"Yearly SAIDI";#N/A,#N/A,FALSE,"Monthly MAIFI";#N/A,#N/A,FALSE,"Yearly MAIFI";#N/A,#N/A,FALSE,"Monthly Cust &gt;=4 Int"}</definedName>
    <definedName name="sdf" hidden="1">{#N/A,#N/A,FALSE,"Monthly SAIFI";#N/A,#N/A,FALSE,"Yearly SAIFI";#N/A,#N/A,FALSE,"Monthly CAIDI";#N/A,#N/A,FALSE,"Yearly CAIDI";#N/A,#N/A,FALSE,"Monthly SAIDI";#N/A,#N/A,FALSE,"Yearly SAIDI";#N/A,#N/A,FALSE,"Monthly MAIFI";#N/A,#N/A,FALSE,"Yearly MAIFI";#N/A,#N/A,FALSE,"Monthly Cust &gt;=4 Int"}</definedName>
    <definedName name="sdfaadfasdfasdaasdfsdf" hidden="1">{#N/A,#N/A,FALSE,"Monthly SAIFI";#N/A,#N/A,FALSE,"Yearly SAIFI";#N/A,#N/A,FALSE,"Monthly CAIDI";#N/A,#N/A,FALSE,"Yearly CAIDI";#N/A,#N/A,FALSE,"Monthly SAIDI";#N/A,#N/A,FALSE,"Yearly SAIDI";#N/A,#N/A,FALSE,"Monthly MAIFI";#N/A,#N/A,FALSE,"Yearly MAIFI";#N/A,#N/A,FALSE,"Monthly Cust &gt;=4 Int"}</definedName>
    <definedName name="sdfasdfasdfasdfasdfsdf" hidden="1">{#N/A,#N/A,FALSE,"Monthly SAIFI";#N/A,#N/A,FALSE,"Yearly SAIFI";#N/A,#N/A,FALSE,"Monthly CAIDI";#N/A,#N/A,FALSE,"Yearly CAIDI";#N/A,#N/A,FALSE,"Monthly SAIDI";#N/A,#N/A,FALSE,"Yearly SAIDI";#N/A,#N/A,FALSE,"Monthly MAIFI";#N/A,#N/A,FALSE,"Yearly MAIFI";#N/A,#N/A,FALSE,"Monthly Cust &gt;=4 Int"}</definedName>
    <definedName name="sdfds" hidden="1">{#N/A,#N/A,FALSE,"Monthly SAIFI";#N/A,#N/A,FALSE,"Yearly SAIFI";#N/A,#N/A,FALSE,"Monthly CAIDI";#N/A,#N/A,FALSE,"Yearly CAIDI";#N/A,#N/A,FALSE,"Monthly SAIDI";#N/A,#N/A,FALSE,"Yearly SAIDI";#N/A,#N/A,FALSE,"Monthly MAIFI";#N/A,#N/A,FALSE,"Yearly MAIFI";#N/A,#N/A,FALSE,"Monthly Cust &gt;=4 Int"}</definedName>
    <definedName name="sdfsdffsdfasfsdfsfasfsdfsfsdf" hidden="1">{#N/A,#N/A,FALSE,"Monthly SAIFI";#N/A,#N/A,FALSE,"Yearly SAIFI";#N/A,#N/A,FALSE,"Monthly CAIDI";#N/A,#N/A,FALSE,"Yearly CAIDI";#N/A,#N/A,FALSE,"Monthly SAIDI";#N/A,#N/A,FALSE,"Yearly SAIDI";#N/A,#N/A,FALSE,"Monthly MAIFI";#N/A,#N/A,FALSE,"Yearly MAIFI";#N/A,#N/A,FALSE,"Monthly Cust &gt;=4 Int"}</definedName>
    <definedName name="sdfsdfsfsa" hidden="1">{#N/A,#N/A,FALSE,"Monthly SAIFI";#N/A,#N/A,FALSE,"Yearly SAIFI";#N/A,#N/A,FALSE,"Monthly CAIDI";#N/A,#N/A,FALSE,"Yearly CAIDI";#N/A,#N/A,FALSE,"Monthly SAIDI";#N/A,#N/A,FALSE,"Yearly SAIDI";#N/A,#N/A,FALSE,"Monthly MAIFI";#N/A,#N/A,FALSE,"Yearly MAIFI";#N/A,#N/A,FALSE,"Monthly Cust &gt;=4 Int"}</definedName>
    <definedName name="September09Billed" hidden="1">{#N/A,#N/A,FALSE,"Monthly SAIFI";#N/A,#N/A,FALSE,"Yearly SAIFI";#N/A,#N/A,FALSE,"Monthly CAIDI";#N/A,#N/A,FALSE,"Yearly CAIDI";#N/A,#N/A,FALSE,"Monthly SAIDI";#N/A,#N/A,FALSE,"Yearly SAIDI";#N/A,#N/A,FALSE,"Monthly MAIFI";#N/A,#N/A,FALSE,"Yearly MAIFI";#N/A,#N/A,FALSE,"Monthly Cust &gt;=4 Int"}</definedName>
    <definedName name="sffsfa" hidden="1">{#N/A,#N/A,FALSE,"Monthly SAIFI";#N/A,#N/A,FALSE,"Yearly SAIFI";#N/A,#N/A,FALSE,"Monthly CAIDI";#N/A,#N/A,FALSE,"Yearly CAIDI";#N/A,#N/A,FALSE,"Monthly SAIDI";#N/A,#N/A,FALSE,"Yearly SAIDI";#N/A,#N/A,FALSE,"Monthly MAIFI";#N/A,#N/A,FALSE,"Yearly MAIFI";#N/A,#N/A,FALSE,"Monthly Cust &gt;=4 Int"}</definedName>
    <definedName name="SFSFD" hidden="1">{#N/A,#N/A,FALSE,"Monthly SAIFI";#N/A,#N/A,FALSE,"Yearly SAIFI";#N/A,#N/A,FALSE,"Monthly CAIDI";#N/A,#N/A,FALSE,"Yearly CAIDI";#N/A,#N/A,FALSE,"Monthly SAIDI";#N/A,#N/A,FALSE,"Yearly SAIDI";#N/A,#N/A,FALSE,"Monthly MAIFI";#N/A,#N/A,FALSE,"Yearly MAIFI";#N/A,#N/A,FALSE,"Monthly Cust &gt;=4 Int"}</definedName>
    <definedName name="Sheet1" hidden="1">{#N/A,#N/A,FALSE,"Monthly SAIFI";#N/A,#N/A,FALSE,"Yearly SAIFI";#N/A,#N/A,FALSE,"Monthly CAIDI";#N/A,#N/A,FALSE,"Yearly CAIDI";#N/A,#N/A,FALSE,"Monthly SAIDI";#N/A,#N/A,FALSE,"Yearly SAIDI";#N/A,#N/A,FALSE,"Monthly MAIFI";#N/A,#N/A,FALSE,"Yearly MAIFI";#N/A,#N/A,FALSE,"Monthly Cust &gt;=4 Int"}</definedName>
    <definedName name="shiva" hidden="1">{#N/A,#N/A,FALSE,"O&amp;M by processes";#N/A,#N/A,FALSE,"Elec Act vs Bud";#N/A,#N/A,FALSE,"G&amp;A";#N/A,#N/A,FALSE,"BGS";#N/A,#N/A,FALSE,"Res Cost"}</definedName>
    <definedName name="slldk" hidden="1">{#N/A,#N/A,FALSE,"Monthly SAIFI";#N/A,#N/A,FALSE,"Yearly SAIFI";#N/A,#N/A,FALSE,"Monthly CAIDI";#N/A,#N/A,FALSE,"Yearly CAIDI";#N/A,#N/A,FALSE,"Monthly SAIDI";#N/A,#N/A,FALSE,"Yearly SAIDI";#N/A,#N/A,FALSE,"Monthly MAIFI";#N/A,#N/A,FALSE,"Yearly MAIFI";#N/A,#N/A,FALSE,"Monthly Cust &gt;=4 Int"}</definedName>
    <definedName name="solver_lin" hidden="1">0</definedName>
    <definedName name="solver_num" hidden="1">0</definedName>
    <definedName name="solver_opt" hidden="1">#REF!</definedName>
    <definedName name="solver_typ" hidden="1">1</definedName>
    <definedName name="solver_val" hidden="1">0</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TEST" localSheetId="6" hidden="1">{#N/A,#N/A,FALSE,"EMPPAY"}</definedName>
    <definedName name="TEST" localSheetId="7" hidden="1">{#N/A,#N/A,FALSE,"EMPPAY"}</definedName>
    <definedName name="TEST" localSheetId="8" hidden="1">{#N/A,#N/A,FALSE,"EMPPAY"}</definedName>
    <definedName name="TEST" hidden="1">{#N/A,#N/A,FALSE,"EMPPAY"}</definedName>
    <definedName name="Time" hidden="1">"b1"</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P_Footer_Path" hidden="1">"S:\74639\03RET\(417) 2004 Cost Projection\"</definedName>
    <definedName name="TP_Footer_Path1" hidden="1">"S:\74639\03RET\(852) Pension Val - OOS\Contribution Allocations\"</definedName>
    <definedName name="TP_Footer_User" hidden="1">"Mary Lou Barrios"</definedName>
    <definedName name="TP_Footer_Version" hidden="1">"v3.00"</definedName>
    <definedName name="Typist" hidden="1">"b1"</definedName>
    <definedName name="tyty" hidden="1">{#N/A,#N/A,FALSE,"Monthly SAIFI";#N/A,#N/A,FALSE,"Yearly SAIFI";#N/A,#N/A,FALSE,"Monthly CAIDI";#N/A,#N/A,FALSE,"Yearly CAIDI";#N/A,#N/A,FALSE,"Monthly SAIDI";#N/A,#N/A,FALSE,"Yearly SAIDI";#N/A,#N/A,FALSE,"Monthly MAIFI";#N/A,#N/A,FALSE,"Yearly MAIFI";#N/A,#N/A,FALSE,"Monthly Cust &gt;=4 Int"}</definedName>
    <definedName name="vcbcvbcv" hidden="1">{#N/A,#N/A,FALSE,"Monthly SAIFI";#N/A,#N/A,FALSE,"Yearly SAIFI";#N/A,#N/A,FALSE,"Monthly CAIDI";#N/A,#N/A,FALSE,"Yearly CAIDI";#N/A,#N/A,FALSE,"Monthly SAIDI";#N/A,#N/A,FALSE,"Yearly SAIDI";#N/A,#N/A,FALSE,"Monthly MAIFI";#N/A,#N/A,FALSE,"Yearly MAIFI";#N/A,#N/A,FALSE,"Monthly Cust &gt;=4 Int"}</definedName>
    <definedName name="Version" hidden="1">"a1"</definedName>
    <definedName name="wer" hidden="1">{#N/A,#N/A,FALSE,"Monthly SAIFI";#N/A,#N/A,FALSE,"Yearly SAIFI";#N/A,#N/A,FALSE,"Monthly CAIDI";#N/A,#N/A,FALSE,"Yearly CAIDI";#N/A,#N/A,FALSE,"Monthly SAIDI";#N/A,#N/A,FALSE,"Yearly SAIDI";#N/A,#N/A,FALSE,"Monthly MAIFI";#N/A,#N/A,FALSE,"Yearly MAIFI";#N/A,#N/A,FALSE,"Monthly Cust &gt;=4 Int"}</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RREC." localSheetId="6" hidden="1">{#N/A,#N/A,FALSE,"ARREC"}</definedName>
    <definedName name="wrn.ARREC." localSheetId="7" hidden="1">{#N/A,#N/A,FALSE,"ARREC"}</definedName>
    <definedName name="wrn.ARREC." localSheetId="8" hidden="1">{#N/A,#N/A,FALSE,"ARREC"}</definedName>
    <definedName name="wrn.ARREC." hidden="1">{#N/A,#N/A,FALSE,"ARREC"}</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CP._.Demand." hidden="1">{"Retail CP pg1",#N/A,FALSE,"FACTOR3";"Retail CP pg2",#N/A,FALSE,"FACTOR3";"Retail CP pg3",#N/A,FALSE,"FACTOR3"}</definedName>
    <definedName name="wrn.CP._.Demand2." hidden="1">{"Retail CP pg1",#N/A,FALSE,"FACTOR3";"Retail CP pg2",#N/A,FALSE,"FACTOR3";"Retail CP pg3",#N/A,FALSE,"FACTOR3"}</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MPPAY." localSheetId="6" hidden="1">{#N/A,#N/A,FALSE,"EMPPAY"}</definedName>
    <definedName name="wrn.EMPPAY." localSheetId="7" hidden="1">{#N/A,#N/A,FALSE,"EMPPAY"}</definedName>
    <definedName name="wrn.EMPPAY." localSheetId="8" hidden="1">{#N/A,#N/A,FALSE,"EMPPAY"}</definedName>
    <definedName name="wrn.EMPPAY." hidden="1">{#N/A,#N/A,FALSE,"EMPPAY"}</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PrintAll." hidden="1">{#N/A,#N/A,FALSE,"Monthly SAIFI";#N/A,#N/A,FALSE,"Yearly SAIFI";#N/A,#N/A,FALSE,"Monthly CAIDI";#N/A,#N/A,FALSE,"Yearly CAIDI";#N/A,#N/A,FALSE,"Monthly SAIDI";#N/A,#N/A,FALSE,"Yearly SAIDI";#N/A,#N/A,FALSE,"Monthly MAIFI";#N/A,#N/A,FALSE,"Yearly MAIFI";#N/A,#N/A,FALSE,"Monthly Cust &gt;=4 Int"}</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xx" localSheetId="6" hidden="1">{#N/A,#N/A,FALSE,"EMPPAY"}</definedName>
    <definedName name="xx" localSheetId="7" hidden="1">{#N/A,#N/A,FALSE,"EMPPAY"}</definedName>
    <definedName name="xx" localSheetId="8" hidden="1">{#N/A,#N/A,FALSE,"EMPPAY"}</definedName>
    <definedName name="xx" hidden="1">{#N/A,#N/A,FALSE,"EMPPAY"}</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y" hidden="1">{#N/A,#N/A,FALSE,"Monthly SAIFI";#N/A,#N/A,FALSE,"Yearly SAIFI";#N/A,#N/A,FALSE,"Monthly CAIDI";#N/A,#N/A,FALSE,"Yearly CAIDI";#N/A,#N/A,FALSE,"Monthly SAIDI";#N/A,#N/A,FALSE,"Yearly SAIDI";#N/A,#N/A,FALSE,"Monthly MAIFI";#N/A,#N/A,FALSE,"Yearly MAIFI";#N/A,#N/A,FALSE,"Monthly Cust &gt;=4 Int"}</definedName>
    <definedName name="Year">[5]Rev_Req!$I$5</definedName>
    <definedName name="yryryrr" hidden="1">{#N/A,#N/A,FALSE,"Monthly SAIFI";#N/A,#N/A,FALSE,"Yearly SAIFI";#N/A,#N/A,FALSE,"Monthly CAIDI";#N/A,#N/A,FALSE,"Yearly CAIDI";#N/A,#N/A,FALSE,"Monthly SAIDI";#N/A,#N/A,FALSE,"Yearly SAIDI";#N/A,#N/A,FALSE,"Monthly MAIFI";#N/A,#N/A,FALSE,"Yearly MAIFI";#N/A,#N/A,FALSE,"Monthly Cust &gt;=4 Int"}</definedName>
    <definedName name="z" hidden="1">{#N/A,#N/A,FALSE,"Monthly SAIFI";#N/A,#N/A,FALSE,"Yearly SAIFI";#N/A,#N/A,FALSE,"Monthly CAIDI";#N/A,#N/A,FALSE,"Yearly CAIDI";#N/A,#N/A,FALSE,"Monthly SAIDI";#N/A,#N/A,FALSE,"Yearly SAIDI";#N/A,#N/A,FALSE,"Monthly MAIFI";#N/A,#N/A,FALSE,"Yearly MAIFI";#N/A,#N/A,FALSE,"Monthly Cust &gt;=4 Int"}</definedName>
    <definedName name="Z_F04A2B9A_C6FE_4FEB_AD1E_2CF9AC309BE4_.wvu.PrintArea" localSheetId="2" hidden="1">'1-Project Rev Req'!$A$1:$Q$114</definedName>
    <definedName name="Z_F04A2B9A_C6FE_4FEB_AD1E_2CF9AC309BE4_.wvu.PrintArea" localSheetId="4" hidden="1">'3-Project True-up'!$A$1:$L$24</definedName>
    <definedName name="Z_F04A2B9A_C6FE_4FEB_AD1E_2CF9AC309BE4_.wvu.PrintArea" localSheetId="5" hidden="1">'4- Rate Base'!$A$1:$L$46</definedName>
    <definedName name="Z_F04A2B9A_C6FE_4FEB_AD1E_2CF9AC309BE4_.wvu.PrintArea" localSheetId="1" hidden="1">'Attachment H-7'!$A$1:$K$241</definedName>
  </definedNames>
  <calcPr calcId="191029"/>
  <customWorkbookViews>
    <customWorkbookView name="Chrystina Steffy - Personal View" guid="{F04A2B9A-C6FE-4FEB-AD1E-2CF9AC309BE4}" mergeInterval="0" personalView="1" maximized="1" windowWidth="1276" windowHeight="799" tabRatio="918" activeSheetId="5"/>
    <customWorkbookView name="Allegheny Energy - Personal View" guid="{931DA938-C92D-4DFC-BCC1-9349A5DC9BD4}" mergeInterval="0" personalView="1" maximized="1" windowWidth="1239" windowHeight="637" tabRatio="918" activeSheetId="19" showComments="commIndAndComment"/>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69" i="33" l="1"/>
  <c r="B94" i="33" s="1"/>
  <c r="D74" i="30" l="1"/>
  <c r="D73" i="30"/>
  <c r="G72" i="30"/>
  <c r="E71" i="30"/>
  <c r="D70" i="30"/>
  <c r="D69" i="30"/>
  <c r="B110" i="29" l="1"/>
  <c r="B109" i="29"/>
  <c r="E170" i="29" l="1"/>
  <c r="D170" i="29"/>
  <c r="G170" i="29"/>
  <c r="F170" i="29"/>
  <c r="C69" i="33" l="1"/>
  <c r="J29" i="6" l="1"/>
  <c r="D20" i="17" l="1"/>
  <c r="D19" i="17"/>
  <c r="R88" i="2" l="1"/>
  <c r="R89" i="2"/>
  <c r="R90" i="2"/>
  <c r="F61" i="52" l="1"/>
  <c r="I61" i="52"/>
  <c r="H67" i="52"/>
  <c r="H49" i="52"/>
  <c r="I18" i="32" l="1"/>
  <c r="D61" i="30"/>
  <c r="E60" i="30"/>
  <c r="D6" i="30" s="1"/>
  <c r="F12" i="6"/>
  <c r="D190" i="1"/>
  <c r="D85" i="30" l="1"/>
  <c r="E77" i="30" l="1"/>
  <c r="F77" i="30" l="1"/>
  <c r="C77" i="30"/>
  <c r="K94" i="27" l="1"/>
  <c r="I94" i="27"/>
  <c r="G94" i="27"/>
  <c r="F94" i="27"/>
  <c r="K82" i="27"/>
  <c r="I82" i="27"/>
  <c r="G82" i="27"/>
  <c r="F82" i="27"/>
  <c r="K76" i="27"/>
  <c r="I76" i="27"/>
  <c r="G76" i="27"/>
  <c r="F76" i="27"/>
  <c r="D94" i="33" l="1"/>
  <c r="P16" i="33" l="1"/>
  <c r="Q16" i="33" s="1"/>
  <c r="P41" i="33" l="1"/>
  <c r="Q41" i="33" s="1"/>
  <c r="I66" i="5" l="1"/>
  <c r="I59" i="5"/>
  <c r="A1" i="30" l="1"/>
  <c r="C21" i="17" l="1"/>
  <c r="F51" i="1" l="1"/>
  <c r="H29" i="27" l="1"/>
  <c r="J69" i="52" l="1"/>
  <c r="H69" i="52"/>
  <c r="G69" i="52"/>
  <c r="I67" i="52"/>
  <c r="F67" i="52" s="1"/>
  <c r="I66" i="52"/>
  <c r="F66" i="52" s="1"/>
  <c r="I65" i="52"/>
  <c r="F65" i="52" s="1"/>
  <c r="I64" i="52"/>
  <c r="F64" i="52" s="1"/>
  <c r="I63" i="52"/>
  <c r="F63" i="52" s="1"/>
  <c r="I62" i="52"/>
  <c r="F62" i="52"/>
  <c r="I60" i="52"/>
  <c r="F60" i="52" s="1"/>
  <c r="I59" i="52"/>
  <c r="F59" i="52" s="1"/>
  <c r="I58" i="52"/>
  <c r="F58" i="52" s="1"/>
  <c r="I57" i="52"/>
  <c r="F57" i="52" s="1"/>
  <c r="I56" i="52"/>
  <c r="F56" i="52" s="1"/>
  <c r="I55" i="52"/>
  <c r="F55" i="52" s="1"/>
  <c r="I54" i="52"/>
  <c r="F54" i="52" s="1"/>
  <c r="I53" i="52"/>
  <c r="F53" i="52" s="1"/>
  <c r="I52" i="52"/>
  <c r="F52" i="52" s="1"/>
  <c r="I51" i="52"/>
  <c r="F51" i="52" s="1"/>
  <c r="I50" i="52"/>
  <c r="I49" i="52"/>
  <c r="F49" i="52"/>
  <c r="G43" i="52"/>
  <c r="I42" i="52"/>
  <c r="J43" i="52"/>
  <c r="H43" i="52"/>
  <c r="J38" i="52"/>
  <c r="H38" i="52"/>
  <c r="I37" i="52"/>
  <c r="F37" i="52" s="1"/>
  <c r="I36" i="52"/>
  <c r="F36" i="52" s="1"/>
  <c r="I35" i="52"/>
  <c r="F35" i="52" s="1"/>
  <c r="I34" i="52"/>
  <c r="F34" i="52" s="1"/>
  <c r="I33" i="52"/>
  <c r="F33" i="52" s="1"/>
  <c r="I32" i="52"/>
  <c r="F32" i="52" s="1"/>
  <c r="I31" i="52"/>
  <c r="F31" i="52" s="1"/>
  <c r="I30" i="52"/>
  <c r="F30" i="52" s="1"/>
  <c r="I29" i="52"/>
  <c r="F29" i="52" s="1"/>
  <c r="I28" i="52"/>
  <c r="F28" i="52" s="1"/>
  <c r="I27" i="52"/>
  <c r="F27" i="52" s="1"/>
  <c r="I26" i="52"/>
  <c r="F26" i="52" s="1"/>
  <c r="J23" i="52"/>
  <c r="H23" i="52"/>
  <c r="I22" i="52"/>
  <c r="F22" i="52" s="1"/>
  <c r="I21" i="52"/>
  <c r="F21" i="52" s="1"/>
  <c r="I20" i="52"/>
  <c r="F20" i="52" s="1"/>
  <c r="I19" i="52"/>
  <c r="F19" i="52" s="1"/>
  <c r="I18" i="52"/>
  <c r="F18" i="52" s="1"/>
  <c r="I17" i="52"/>
  <c r="F17" i="52" s="1"/>
  <c r="I15" i="52"/>
  <c r="F15" i="52" s="1"/>
  <c r="I68" i="52" l="1"/>
  <c r="F68" i="52" s="1"/>
  <c r="G23" i="52"/>
  <c r="I16" i="52"/>
  <c r="I38" i="52"/>
  <c r="G38" i="52"/>
  <c r="I41" i="52"/>
  <c r="I43" i="52" s="1"/>
  <c r="I69" i="52" l="1"/>
  <c r="F16" i="52"/>
  <c r="I23" i="52"/>
  <c r="D154" i="1" l="1"/>
  <c r="E26" i="16" s="1"/>
  <c r="F11" i="17"/>
  <c r="F10" i="17"/>
  <c r="C3" i="17"/>
  <c r="D69" i="7"/>
  <c r="D68" i="7"/>
  <c r="D67" i="7"/>
  <c r="C41" i="7"/>
  <c r="B41" i="7"/>
  <c r="E26" i="7"/>
  <c r="F41" i="7" s="1"/>
  <c r="F42" i="7" s="1"/>
  <c r="F43" i="7" s="1"/>
  <c r="F44" i="7" s="1"/>
  <c r="F45" i="7" s="1"/>
  <c r="F46" i="7" s="1"/>
  <c r="F47" i="7" s="1"/>
  <c r="E3" i="7"/>
  <c r="E24" i="32"/>
  <c r="D115" i="1" s="1"/>
  <c r="G23" i="32"/>
  <c r="G22" i="32"/>
  <c r="G21" i="32"/>
  <c r="I20" i="32"/>
  <c r="G19" i="32"/>
  <c r="G17" i="32"/>
  <c r="G16" i="32"/>
  <c r="G15" i="32"/>
  <c r="H14" i="32"/>
  <c r="G13" i="32"/>
  <c r="G12" i="32"/>
  <c r="G11" i="32"/>
  <c r="A11" i="32"/>
  <c r="A12" i="32" s="1"/>
  <c r="A13" i="32" s="1"/>
  <c r="A14" i="32" s="1"/>
  <c r="A15" i="32" s="1"/>
  <c r="A16" i="32" s="1"/>
  <c r="A17" i="32" s="1"/>
  <c r="A18" i="32" s="1"/>
  <c r="A19" i="32" s="1"/>
  <c r="A20" i="32" s="1"/>
  <c r="A21" i="32" s="1"/>
  <c r="A22" i="32" s="1"/>
  <c r="A23" i="32" s="1"/>
  <c r="A24" i="32" s="1"/>
  <c r="A26" i="32" s="1"/>
  <c r="A27" i="32" s="1"/>
  <c r="A28" i="32" s="1"/>
  <c r="G10" i="32"/>
  <c r="G88" i="30"/>
  <c r="F88" i="30"/>
  <c r="C88" i="30"/>
  <c r="D86" i="30"/>
  <c r="E84" i="30"/>
  <c r="D13" i="30" s="1"/>
  <c r="E83" i="30"/>
  <c r="D82" i="30"/>
  <c r="E79" i="30"/>
  <c r="G77" i="30"/>
  <c r="G64" i="30"/>
  <c r="C64" i="30"/>
  <c r="F62" i="30"/>
  <c r="F64" i="30" s="1"/>
  <c r="D32" i="30"/>
  <c r="E59" i="30"/>
  <c r="D58" i="30"/>
  <c r="D64" i="30" s="1"/>
  <c r="D66" i="30" s="1"/>
  <c r="D54" i="30"/>
  <c r="F52" i="30"/>
  <c r="F51" i="30"/>
  <c r="A7" i="30"/>
  <c r="A8" i="30" s="1"/>
  <c r="A12" i="30" s="1"/>
  <c r="A13" i="30" s="1"/>
  <c r="A14" i="30" s="1"/>
  <c r="A15" i="30" s="1"/>
  <c r="A16" i="30" s="1"/>
  <c r="A17" i="30" s="1"/>
  <c r="A18" i="30" s="1"/>
  <c r="A19" i="30" s="1"/>
  <c r="A20" i="30" s="1"/>
  <c r="A22" i="30" s="1"/>
  <c r="A23" i="30" s="1"/>
  <c r="A24" i="30" s="1"/>
  <c r="C14" i="1" s="1"/>
  <c r="I44" i="6"/>
  <c r="G199" i="1" s="1"/>
  <c r="H14" i="16" s="1"/>
  <c r="J37" i="6"/>
  <c r="F44" i="6" s="1"/>
  <c r="I42" i="6"/>
  <c r="G197" i="1" s="1"/>
  <c r="H12" i="16" s="1"/>
  <c r="A29" i="6"/>
  <c r="A31" i="6" s="1"/>
  <c r="A33" i="6" s="1"/>
  <c r="A34" i="6" s="1"/>
  <c r="A35" i="6" s="1"/>
  <c r="A36" i="6" s="1"/>
  <c r="A37" i="6" s="1"/>
  <c r="A42" i="6" s="1"/>
  <c r="A43" i="6" s="1"/>
  <c r="A44" i="6" s="1"/>
  <c r="A45" i="6" s="1"/>
  <c r="D140" i="1"/>
  <c r="D138" i="1"/>
  <c r="D135" i="1"/>
  <c r="H12" i="6"/>
  <c r="D118" i="1" s="1"/>
  <c r="D114" i="1"/>
  <c r="I114" i="1" s="1"/>
  <c r="G3" i="6"/>
  <c r="G25" i="6" s="1"/>
  <c r="D85" i="49"/>
  <c r="C85" i="49"/>
  <c r="D84" i="49"/>
  <c r="C84" i="49"/>
  <c r="D83" i="49"/>
  <c r="C83" i="49"/>
  <c r="D82" i="49"/>
  <c r="C82" i="49"/>
  <c r="D81" i="49"/>
  <c r="C81" i="49"/>
  <c r="D80" i="49"/>
  <c r="C80" i="49"/>
  <c r="D79" i="49"/>
  <c r="C79" i="49"/>
  <c r="D78" i="49"/>
  <c r="C78" i="49"/>
  <c r="D77" i="49"/>
  <c r="D76" i="49"/>
  <c r="D75" i="49"/>
  <c r="C75" i="49"/>
  <c r="D74" i="49"/>
  <c r="C74" i="49"/>
  <c r="G69" i="49"/>
  <c r="F69" i="49"/>
  <c r="E69" i="49"/>
  <c r="D69" i="49"/>
  <c r="C69" i="49"/>
  <c r="G68" i="49"/>
  <c r="F68" i="49"/>
  <c r="E68" i="49"/>
  <c r="D68" i="49"/>
  <c r="C68" i="49"/>
  <c r="G67" i="49"/>
  <c r="F67" i="49"/>
  <c r="E67" i="49"/>
  <c r="D67" i="49"/>
  <c r="C67" i="49"/>
  <c r="G66" i="49"/>
  <c r="F66" i="49"/>
  <c r="E66" i="49"/>
  <c r="D66" i="49"/>
  <c r="C66" i="49"/>
  <c r="G65" i="49"/>
  <c r="F65" i="49"/>
  <c r="E65" i="49"/>
  <c r="D65" i="49"/>
  <c r="C65" i="49"/>
  <c r="G64" i="49"/>
  <c r="F64" i="49"/>
  <c r="E64" i="49"/>
  <c r="D64" i="49"/>
  <c r="C64" i="49"/>
  <c r="G63" i="49"/>
  <c r="F63" i="49"/>
  <c r="E63" i="49"/>
  <c r="D63" i="49"/>
  <c r="C63" i="49"/>
  <c r="G62" i="49"/>
  <c r="F62" i="49"/>
  <c r="E62" i="49"/>
  <c r="D62" i="49"/>
  <c r="C62" i="49"/>
  <c r="G61" i="49"/>
  <c r="F61" i="49"/>
  <c r="E61" i="49"/>
  <c r="D61" i="49"/>
  <c r="C61" i="49"/>
  <c r="G60" i="49"/>
  <c r="F60" i="49"/>
  <c r="E60" i="49"/>
  <c r="D60" i="49"/>
  <c r="G59" i="49"/>
  <c r="F59" i="49"/>
  <c r="E59" i="49"/>
  <c r="D59" i="49"/>
  <c r="C59" i="49"/>
  <c r="G58" i="49"/>
  <c r="F58" i="49"/>
  <c r="E58" i="49"/>
  <c r="D58" i="49"/>
  <c r="C58" i="49"/>
  <c r="G57" i="49"/>
  <c r="F57" i="49"/>
  <c r="E57" i="49"/>
  <c r="D57" i="49"/>
  <c r="C57" i="49"/>
  <c r="A54" i="49"/>
  <c r="D51" i="49"/>
  <c r="H50" i="49"/>
  <c r="H49" i="49"/>
  <c r="H48" i="49"/>
  <c r="H47" i="49"/>
  <c r="H46" i="49"/>
  <c r="H45" i="49"/>
  <c r="H44" i="49"/>
  <c r="H43" i="49"/>
  <c r="H42" i="49"/>
  <c r="H41" i="49"/>
  <c r="C77" i="49"/>
  <c r="H40" i="49"/>
  <c r="H39" i="49"/>
  <c r="H38" i="49"/>
  <c r="D34" i="49"/>
  <c r="H33" i="49"/>
  <c r="H32" i="49"/>
  <c r="H31" i="49"/>
  <c r="H30" i="49"/>
  <c r="H29" i="49"/>
  <c r="H28" i="49"/>
  <c r="H27" i="49"/>
  <c r="H26" i="49"/>
  <c r="H25" i="49"/>
  <c r="H24" i="49"/>
  <c r="H23" i="49"/>
  <c r="H22" i="49"/>
  <c r="H21" i="49"/>
  <c r="D20" i="49"/>
  <c r="D37" i="49" s="1"/>
  <c r="D56" i="49" s="1"/>
  <c r="D73" i="49" s="1"/>
  <c r="C20" i="49"/>
  <c r="C37" i="49" s="1"/>
  <c r="C56" i="49" s="1"/>
  <c r="C73" i="49" s="1"/>
  <c r="D17" i="49"/>
  <c r="C17" i="49"/>
  <c r="H16" i="49"/>
  <c r="H15" i="49"/>
  <c r="H14" i="49"/>
  <c r="H13" i="49"/>
  <c r="H12" i="49"/>
  <c r="H11" i="49"/>
  <c r="H10" i="49"/>
  <c r="H9" i="49"/>
  <c r="H8" i="49"/>
  <c r="A8" i="49"/>
  <c r="A9" i="49" s="1"/>
  <c r="A10" i="49" s="1"/>
  <c r="A11" i="49" s="1"/>
  <c r="A12" i="49" s="1"/>
  <c r="A13" i="49" s="1"/>
  <c r="A14" i="49" s="1"/>
  <c r="A15" i="49" s="1"/>
  <c r="A16" i="49" s="1"/>
  <c r="A17" i="49" s="1"/>
  <c r="A21" i="49" s="1"/>
  <c r="A22" i="49" s="1"/>
  <c r="A23" i="49" s="1"/>
  <c r="A24" i="49" s="1"/>
  <c r="A25" i="49" s="1"/>
  <c r="A26" i="49" s="1"/>
  <c r="A27" i="49" s="1"/>
  <c r="A28" i="49" s="1"/>
  <c r="A29" i="49" s="1"/>
  <c r="A30" i="49" s="1"/>
  <c r="A31" i="49" s="1"/>
  <c r="A32" i="49" s="1"/>
  <c r="A33" i="49" s="1"/>
  <c r="A34" i="49" s="1"/>
  <c r="A38" i="49" s="1"/>
  <c r="A39" i="49" s="1"/>
  <c r="A40" i="49" s="1"/>
  <c r="A41" i="49" s="1"/>
  <c r="A42" i="49" s="1"/>
  <c r="A43" i="49" s="1"/>
  <c r="A44" i="49" s="1"/>
  <c r="A45" i="49" s="1"/>
  <c r="A46" i="49" s="1"/>
  <c r="A47" i="49" s="1"/>
  <c r="A48" i="49" s="1"/>
  <c r="A49" i="49" s="1"/>
  <c r="A50" i="49" s="1"/>
  <c r="A51" i="49" s="1"/>
  <c r="A57" i="49" s="1"/>
  <c r="A58" i="49" s="1"/>
  <c r="A59" i="49" s="1"/>
  <c r="A60" i="49" s="1"/>
  <c r="A61" i="49" s="1"/>
  <c r="A62" i="49" s="1"/>
  <c r="A63" i="49" s="1"/>
  <c r="A64" i="49" s="1"/>
  <c r="A65" i="49" s="1"/>
  <c r="A66" i="49" s="1"/>
  <c r="A67" i="49" s="1"/>
  <c r="A68" i="49" s="1"/>
  <c r="A69" i="49" s="1"/>
  <c r="A70" i="49" s="1"/>
  <c r="A74" i="49" s="1"/>
  <c r="A75" i="49" s="1"/>
  <c r="A76" i="49" s="1"/>
  <c r="A77" i="49" s="1"/>
  <c r="A78" i="49" s="1"/>
  <c r="A79" i="49" s="1"/>
  <c r="A80" i="49" s="1"/>
  <c r="A81" i="49" s="1"/>
  <c r="A82" i="49" s="1"/>
  <c r="A83" i="49" s="1"/>
  <c r="A84" i="49" s="1"/>
  <c r="A85" i="49" s="1"/>
  <c r="A86" i="49" s="1"/>
  <c r="H7" i="49"/>
  <c r="C105" i="33"/>
  <c r="G104" i="33"/>
  <c r="G103" i="33"/>
  <c r="G102" i="33"/>
  <c r="G101" i="33"/>
  <c r="G100" i="33"/>
  <c r="G99" i="33"/>
  <c r="G98" i="33"/>
  <c r="G97" i="33"/>
  <c r="G96" i="33"/>
  <c r="G95" i="33"/>
  <c r="G94" i="33"/>
  <c r="E93" i="33"/>
  <c r="G93" i="33" s="1"/>
  <c r="E92" i="33"/>
  <c r="G92" i="33" s="1"/>
  <c r="E91" i="33"/>
  <c r="G91" i="33" s="1"/>
  <c r="E90" i="33"/>
  <c r="G90" i="33" s="1"/>
  <c r="E89" i="33"/>
  <c r="G89" i="33" s="1"/>
  <c r="D88" i="33"/>
  <c r="D105" i="33" s="1"/>
  <c r="F87" i="33"/>
  <c r="G87" i="33" s="1"/>
  <c r="T79" i="33"/>
  <c r="O79" i="33"/>
  <c r="N79" i="33"/>
  <c r="M79" i="33"/>
  <c r="L79" i="33"/>
  <c r="K79" i="33"/>
  <c r="J79" i="33"/>
  <c r="I79" i="33"/>
  <c r="H79" i="33"/>
  <c r="G79" i="33"/>
  <c r="F79" i="33"/>
  <c r="E79" i="33"/>
  <c r="D79" i="33"/>
  <c r="C79" i="33"/>
  <c r="T78" i="33"/>
  <c r="O78" i="33"/>
  <c r="N78" i="33"/>
  <c r="M78" i="33"/>
  <c r="L78" i="33"/>
  <c r="K78" i="33"/>
  <c r="J78" i="33"/>
  <c r="I78" i="33"/>
  <c r="H78" i="33"/>
  <c r="G78" i="33"/>
  <c r="F78" i="33"/>
  <c r="E78" i="33"/>
  <c r="D78" i="33"/>
  <c r="C78" i="33"/>
  <c r="T77" i="33"/>
  <c r="O77" i="33"/>
  <c r="N77" i="33"/>
  <c r="M77" i="33"/>
  <c r="L77" i="33"/>
  <c r="K77" i="33"/>
  <c r="J77" i="33"/>
  <c r="I77" i="33"/>
  <c r="H77" i="33"/>
  <c r="G77" i="33"/>
  <c r="F77" i="33"/>
  <c r="E77" i="33"/>
  <c r="D77" i="33"/>
  <c r="C77" i="33"/>
  <c r="T76" i="33"/>
  <c r="O76" i="33"/>
  <c r="N76" i="33"/>
  <c r="M76" i="33"/>
  <c r="L76" i="33"/>
  <c r="K76" i="33"/>
  <c r="J76" i="33"/>
  <c r="I76" i="33"/>
  <c r="H76" i="33"/>
  <c r="G76" i="33"/>
  <c r="F76" i="33"/>
  <c r="E76" i="33"/>
  <c r="D76" i="33"/>
  <c r="C76" i="33"/>
  <c r="T75" i="33"/>
  <c r="O75" i="33"/>
  <c r="N75" i="33"/>
  <c r="M75" i="33"/>
  <c r="L75" i="33"/>
  <c r="K75" i="33"/>
  <c r="J75" i="33"/>
  <c r="I75" i="33"/>
  <c r="H75" i="33"/>
  <c r="G75" i="33"/>
  <c r="F75" i="33"/>
  <c r="E75" i="33"/>
  <c r="D75" i="33"/>
  <c r="C75" i="33"/>
  <c r="T74" i="33"/>
  <c r="O74" i="33"/>
  <c r="N74" i="33"/>
  <c r="M74" i="33"/>
  <c r="L74" i="33"/>
  <c r="K74" i="33"/>
  <c r="J74" i="33"/>
  <c r="I74" i="33"/>
  <c r="H74" i="33"/>
  <c r="G74" i="33"/>
  <c r="F74" i="33"/>
  <c r="E74" i="33"/>
  <c r="D74" i="33"/>
  <c r="C74" i="33"/>
  <c r="T73" i="33"/>
  <c r="O73" i="33"/>
  <c r="N73" i="33"/>
  <c r="M73" i="33"/>
  <c r="L73" i="33"/>
  <c r="K73" i="33"/>
  <c r="J73" i="33"/>
  <c r="I73" i="33"/>
  <c r="H73" i="33"/>
  <c r="G73" i="33"/>
  <c r="F73" i="33"/>
  <c r="E73" i="33"/>
  <c r="D73" i="33"/>
  <c r="C73" i="33"/>
  <c r="T72" i="33"/>
  <c r="O72" i="33"/>
  <c r="N72" i="33"/>
  <c r="M72" i="33"/>
  <c r="L72" i="33"/>
  <c r="K72" i="33"/>
  <c r="J72" i="33"/>
  <c r="I72" i="33"/>
  <c r="H72" i="33"/>
  <c r="G72" i="33"/>
  <c r="F72" i="33"/>
  <c r="E72" i="33"/>
  <c r="D72" i="33"/>
  <c r="C72" i="33"/>
  <c r="T71" i="33"/>
  <c r="O71" i="33"/>
  <c r="N71" i="33"/>
  <c r="M71" i="33"/>
  <c r="L71" i="33"/>
  <c r="K71" i="33"/>
  <c r="J71" i="33"/>
  <c r="I71" i="33"/>
  <c r="H71" i="33"/>
  <c r="G71" i="33"/>
  <c r="F71" i="33"/>
  <c r="E71" i="33"/>
  <c r="D71" i="33"/>
  <c r="C71" i="33"/>
  <c r="T70" i="33"/>
  <c r="O70" i="33"/>
  <c r="N70" i="33"/>
  <c r="M70" i="33"/>
  <c r="L70" i="33"/>
  <c r="K70" i="33"/>
  <c r="J70" i="33"/>
  <c r="I70" i="33"/>
  <c r="H70" i="33"/>
  <c r="G70" i="33"/>
  <c r="F70" i="33"/>
  <c r="E70" i="33"/>
  <c r="D70" i="33"/>
  <c r="C70" i="33"/>
  <c r="O69" i="33"/>
  <c r="N69" i="33"/>
  <c r="M69" i="33"/>
  <c r="L69" i="33"/>
  <c r="K69" i="33"/>
  <c r="J69" i="33"/>
  <c r="I69" i="33"/>
  <c r="H69" i="33"/>
  <c r="G69" i="33"/>
  <c r="F69" i="33"/>
  <c r="E69" i="33"/>
  <c r="D69" i="33"/>
  <c r="O68" i="33"/>
  <c r="N68" i="33"/>
  <c r="M68" i="33"/>
  <c r="L68" i="33"/>
  <c r="K68" i="33"/>
  <c r="J68" i="33"/>
  <c r="I68" i="33"/>
  <c r="H68" i="33"/>
  <c r="G68" i="33"/>
  <c r="F68" i="33"/>
  <c r="E68" i="33"/>
  <c r="D68" i="33"/>
  <c r="C68" i="33"/>
  <c r="O67" i="33"/>
  <c r="N67" i="33"/>
  <c r="M67" i="33"/>
  <c r="L67" i="33"/>
  <c r="K67" i="33"/>
  <c r="J67" i="33"/>
  <c r="I67" i="33"/>
  <c r="H67" i="33"/>
  <c r="G67" i="33"/>
  <c r="F67" i="33"/>
  <c r="E67" i="33"/>
  <c r="D67" i="33"/>
  <c r="C67" i="33"/>
  <c r="O66" i="33"/>
  <c r="N66" i="33"/>
  <c r="M66" i="33"/>
  <c r="L66" i="33"/>
  <c r="K66" i="33"/>
  <c r="J66" i="33"/>
  <c r="I66" i="33"/>
  <c r="H66" i="33"/>
  <c r="G66" i="33"/>
  <c r="F66" i="33"/>
  <c r="E66" i="33"/>
  <c r="D66" i="33"/>
  <c r="C66" i="33"/>
  <c r="O65" i="33"/>
  <c r="N65" i="33"/>
  <c r="M65" i="33"/>
  <c r="L65" i="33"/>
  <c r="K65" i="33"/>
  <c r="J65" i="33"/>
  <c r="I65" i="33"/>
  <c r="H65" i="33"/>
  <c r="G65" i="33"/>
  <c r="F65" i="33"/>
  <c r="E65" i="33"/>
  <c r="D65" i="33"/>
  <c r="C65" i="33"/>
  <c r="O64" i="33"/>
  <c r="N64" i="33"/>
  <c r="M64" i="33"/>
  <c r="L64" i="33"/>
  <c r="K64" i="33"/>
  <c r="J64" i="33"/>
  <c r="I64" i="33"/>
  <c r="H64" i="33"/>
  <c r="G64" i="33"/>
  <c r="F64" i="33"/>
  <c r="E64" i="33"/>
  <c r="D64" i="33"/>
  <c r="C64" i="33"/>
  <c r="O63" i="33"/>
  <c r="N63" i="33"/>
  <c r="M63" i="33"/>
  <c r="L63" i="33"/>
  <c r="K63" i="33"/>
  <c r="J63" i="33"/>
  <c r="I63" i="33"/>
  <c r="H63" i="33"/>
  <c r="G63" i="33"/>
  <c r="F63" i="33"/>
  <c r="E63" i="33"/>
  <c r="D63" i="33"/>
  <c r="C63" i="33"/>
  <c r="O62" i="33"/>
  <c r="N62" i="33"/>
  <c r="M62" i="33"/>
  <c r="L62" i="33"/>
  <c r="K62" i="33"/>
  <c r="J62" i="33"/>
  <c r="I62" i="33"/>
  <c r="H62" i="33"/>
  <c r="G62" i="33"/>
  <c r="F62" i="33"/>
  <c r="E62" i="33"/>
  <c r="D62" i="33"/>
  <c r="C62" i="33"/>
  <c r="B61" i="33"/>
  <c r="R53" i="33"/>
  <c r="R81" i="33" s="1"/>
  <c r="E106" i="33" s="1"/>
  <c r="Q53" i="33"/>
  <c r="Q81" i="33" s="1"/>
  <c r="D106" i="33" s="1"/>
  <c r="O52" i="33"/>
  <c r="N52" i="33"/>
  <c r="M52" i="33"/>
  <c r="L52" i="33"/>
  <c r="K52" i="33"/>
  <c r="J52" i="33"/>
  <c r="I52" i="33"/>
  <c r="H52" i="33"/>
  <c r="G52" i="33"/>
  <c r="F52" i="33"/>
  <c r="E52" i="33"/>
  <c r="D52" i="33"/>
  <c r="C52" i="33"/>
  <c r="T51" i="33"/>
  <c r="T50" i="33"/>
  <c r="T49" i="33"/>
  <c r="T48" i="33"/>
  <c r="T47" i="33"/>
  <c r="T46" i="33"/>
  <c r="T45" i="33"/>
  <c r="T44" i="33"/>
  <c r="T43" i="33"/>
  <c r="T42" i="33"/>
  <c r="T41" i="33"/>
  <c r="P40" i="33"/>
  <c r="R40" i="33" s="1"/>
  <c r="T40" i="33" s="1"/>
  <c r="B68" i="33"/>
  <c r="B93" i="33" s="1"/>
  <c r="P39" i="33"/>
  <c r="R39" i="33" s="1"/>
  <c r="T39" i="33" s="1"/>
  <c r="B67" i="33"/>
  <c r="B92" i="33" s="1"/>
  <c r="P38" i="33"/>
  <c r="R38" i="33" s="1"/>
  <c r="T38" i="33" s="1"/>
  <c r="B66" i="33"/>
  <c r="B91" i="33" s="1"/>
  <c r="P37" i="33"/>
  <c r="R37" i="33" s="1"/>
  <c r="T37" i="33" s="1"/>
  <c r="B65" i="33"/>
  <c r="B90" i="33" s="1"/>
  <c r="P36" i="33"/>
  <c r="R36" i="33" s="1"/>
  <c r="B64" i="33"/>
  <c r="B89" i="33" s="1"/>
  <c r="P35" i="33"/>
  <c r="Q35" i="33" s="1"/>
  <c r="T35" i="33" s="1"/>
  <c r="B63" i="33"/>
  <c r="B88" i="33" s="1"/>
  <c r="P34" i="33"/>
  <c r="S34" i="33" s="1"/>
  <c r="B62" i="33"/>
  <c r="B87" i="33" s="1"/>
  <c r="O27" i="33"/>
  <c r="N27" i="33"/>
  <c r="M27" i="33"/>
  <c r="L27" i="33"/>
  <c r="K27" i="33"/>
  <c r="J27" i="33"/>
  <c r="I27" i="33"/>
  <c r="H27" i="33"/>
  <c r="G27" i="33"/>
  <c r="F27" i="33"/>
  <c r="E27" i="33"/>
  <c r="D27" i="33"/>
  <c r="C27" i="33"/>
  <c r="T26" i="33"/>
  <c r="T25" i="33"/>
  <c r="T24" i="33"/>
  <c r="T23" i="33"/>
  <c r="T22" i="33"/>
  <c r="T21" i="33"/>
  <c r="T20" i="33"/>
  <c r="T19" i="33"/>
  <c r="T18" i="33"/>
  <c r="T17" i="33"/>
  <c r="T16" i="33"/>
  <c r="P15" i="33"/>
  <c r="R15" i="33" s="1"/>
  <c r="T15" i="33" s="1"/>
  <c r="P14" i="33"/>
  <c r="R14" i="33" s="1"/>
  <c r="T14" i="33" s="1"/>
  <c r="P13" i="33"/>
  <c r="R13" i="33" s="1"/>
  <c r="T13" i="33" s="1"/>
  <c r="P12" i="33"/>
  <c r="R12" i="33" s="1"/>
  <c r="T12" i="33" s="1"/>
  <c r="P11" i="33"/>
  <c r="R11" i="33" s="1"/>
  <c r="T11" i="33" s="1"/>
  <c r="P10" i="33"/>
  <c r="Q10" i="33" s="1"/>
  <c r="Q27" i="33" s="1"/>
  <c r="A10" i="33"/>
  <c r="A11" i="33" s="1"/>
  <c r="A12" i="33" s="1"/>
  <c r="A13" i="33" s="1"/>
  <c r="A14" i="33" s="1"/>
  <c r="A15" i="33" s="1"/>
  <c r="A16" i="33" s="1"/>
  <c r="A17" i="33" s="1"/>
  <c r="A18" i="33" s="1"/>
  <c r="A19" i="33" s="1"/>
  <c r="A20" i="33" s="1"/>
  <c r="A21" i="33" s="1"/>
  <c r="A22" i="33" s="1"/>
  <c r="A23" i="33" s="1"/>
  <c r="A24" i="33" s="1"/>
  <c r="A25" i="33" s="1"/>
  <c r="A26" i="33" s="1"/>
  <c r="A27" i="33" s="1"/>
  <c r="A28" i="33" s="1"/>
  <c r="A29"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62" i="33" s="1"/>
  <c r="A63" i="33" s="1"/>
  <c r="A64" i="33" s="1"/>
  <c r="A65" i="33" s="1"/>
  <c r="A66" i="33" s="1"/>
  <c r="A67" i="33" s="1"/>
  <c r="A68" i="33" s="1"/>
  <c r="A69" i="33" s="1"/>
  <c r="A70" i="33" s="1"/>
  <c r="A71" i="33" s="1"/>
  <c r="A72" i="33" s="1"/>
  <c r="A73" i="33" s="1"/>
  <c r="A74" i="33" s="1"/>
  <c r="A75" i="33" s="1"/>
  <c r="A76" i="33" s="1"/>
  <c r="A77" i="33" s="1"/>
  <c r="A78" i="33" s="1"/>
  <c r="A79" i="33" s="1"/>
  <c r="A80" i="33" s="1"/>
  <c r="A81" i="33" s="1"/>
  <c r="A82" i="33" s="1"/>
  <c r="A87" i="33" s="1"/>
  <c r="A88" i="33" s="1"/>
  <c r="A89" i="33" s="1"/>
  <c r="A90" i="33" s="1"/>
  <c r="A91" i="33" s="1"/>
  <c r="A92" i="33" s="1"/>
  <c r="A93" i="33" s="1"/>
  <c r="A94" i="33" s="1"/>
  <c r="A95" i="33" s="1"/>
  <c r="A96" i="33" s="1"/>
  <c r="A97" i="33" s="1"/>
  <c r="A98" i="33" s="1"/>
  <c r="A99" i="33" s="1"/>
  <c r="A100" i="33" s="1"/>
  <c r="A101" i="33" s="1"/>
  <c r="A102" i="33" s="1"/>
  <c r="A103" i="33" s="1"/>
  <c r="A104" i="33" s="1"/>
  <c r="A105" i="33" s="1"/>
  <c r="A106" i="33" s="1"/>
  <c r="A107" i="33" s="1"/>
  <c r="P9" i="33"/>
  <c r="S9" i="33" s="1"/>
  <c r="S27" i="33" s="1"/>
  <c r="G173" i="29"/>
  <c r="F173" i="29"/>
  <c r="I83" i="27" s="1"/>
  <c r="I84" i="27" s="1"/>
  <c r="E173" i="29"/>
  <c r="G83" i="27" s="1"/>
  <c r="H83" i="27" s="1"/>
  <c r="D173" i="29"/>
  <c r="C170" i="29"/>
  <c r="C173" i="29" s="1"/>
  <c r="G108" i="29"/>
  <c r="G111" i="29" s="1"/>
  <c r="K77" i="27" s="1"/>
  <c r="K78" i="27" s="1"/>
  <c r="F108" i="29"/>
  <c r="F111" i="29" s="1"/>
  <c r="E108" i="29"/>
  <c r="E111" i="29" s="1"/>
  <c r="G77" i="27" s="1"/>
  <c r="G78" i="27" s="1"/>
  <c r="H78" i="27" s="1"/>
  <c r="D108" i="29"/>
  <c r="D111" i="29" s="1"/>
  <c r="C108" i="29"/>
  <c r="C111" i="29" s="1"/>
  <c r="G73" i="29"/>
  <c r="G76" i="29" s="1"/>
  <c r="F73" i="29"/>
  <c r="F76" i="29" s="1"/>
  <c r="I95" i="27" s="1"/>
  <c r="I96" i="27" s="1"/>
  <c r="E73" i="29"/>
  <c r="E76" i="29" s="1"/>
  <c r="G95" i="27" s="1"/>
  <c r="H95" i="27" s="1"/>
  <c r="D73" i="29"/>
  <c r="D76" i="29" s="1"/>
  <c r="C73" i="29"/>
  <c r="C76" i="29" s="1"/>
  <c r="G174" i="28"/>
  <c r="G177" i="28" s="1"/>
  <c r="G10" i="28" s="1"/>
  <c r="F174" i="28"/>
  <c r="F177" i="28" s="1"/>
  <c r="F10" i="28" s="1"/>
  <c r="E174" i="28"/>
  <c r="E177" i="28" s="1"/>
  <c r="E10" i="28" s="1"/>
  <c r="D174" i="28"/>
  <c r="D177" i="28" s="1"/>
  <c r="C174" i="28"/>
  <c r="C177" i="28" s="1"/>
  <c r="C10" i="28" s="1"/>
  <c r="G113" i="28"/>
  <c r="G116" i="28" s="1"/>
  <c r="G9" i="28" s="1"/>
  <c r="F113" i="28"/>
  <c r="F116" i="28" s="1"/>
  <c r="F9" i="28" s="1"/>
  <c r="E113" i="28"/>
  <c r="E116" i="28" s="1"/>
  <c r="E9" i="28" s="1"/>
  <c r="D113" i="28"/>
  <c r="D116" i="28" s="1"/>
  <c r="C113" i="28"/>
  <c r="C116" i="28" s="1"/>
  <c r="C9" i="28" s="1"/>
  <c r="G78" i="28"/>
  <c r="G81" i="28" s="1"/>
  <c r="G11" i="28" s="1"/>
  <c r="F78" i="28"/>
  <c r="F81" i="28" s="1"/>
  <c r="F11" i="28" s="1"/>
  <c r="E78" i="28"/>
  <c r="E81" i="28" s="1"/>
  <c r="E11" i="28" s="1"/>
  <c r="D78" i="28"/>
  <c r="D81" i="28" s="1"/>
  <c r="C78" i="28"/>
  <c r="C81" i="28" s="1"/>
  <c r="C11" i="28" s="1"/>
  <c r="H94" i="27"/>
  <c r="C83" i="27"/>
  <c r="H82" i="27"/>
  <c r="C77" i="27"/>
  <c r="F57" i="27"/>
  <c r="C56" i="27"/>
  <c r="H55" i="27"/>
  <c r="H54" i="27"/>
  <c r="H53" i="27"/>
  <c r="H52" i="27"/>
  <c r="H51" i="27"/>
  <c r="H50" i="27"/>
  <c r="H49" i="27"/>
  <c r="H48" i="27"/>
  <c r="H47" i="27"/>
  <c r="H46" i="27"/>
  <c r="H45" i="27"/>
  <c r="D44" i="27"/>
  <c r="D45" i="27" s="1"/>
  <c r="D46" i="27" s="1"/>
  <c r="D47" i="27" s="1"/>
  <c r="D48" i="27" s="1"/>
  <c r="D49" i="27" s="1"/>
  <c r="D50" i="27" s="1"/>
  <c r="D51" i="27" s="1"/>
  <c r="D52" i="27" s="1"/>
  <c r="D53" i="27" s="1"/>
  <c r="D54" i="27" s="1"/>
  <c r="D55" i="27" s="1"/>
  <c r="D56" i="27" s="1"/>
  <c r="D57" i="27" s="1"/>
  <c r="C39" i="27"/>
  <c r="F34" i="27"/>
  <c r="C33" i="27"/>
  <c r="D32" i="27"/>
  <c r="D38" i="27" s="1"/>
  <c r="M29" i="27"/>
  <c r="H27" i="27"/>
  <c r="C27" i="27"/>
  <c r="H26" i="27"/>
  <c r="H25" i="27"/>
  <c r="H24" i="27"/>
  <c r="H23" i="27"/>
  <c r="H22" i="27"/>
  <c r="H21" i="27"/>
  <c r="H20" i="27"/>
  <c r="H19" i="27"/>
  <c r="H18" i="27"/>
  <c r="I17" i="27"/>
  <c r="H17" i="27"/>
  <c r="F17" i="27"/>
  <c r="F18" i="27" s="1"/>
  <c r="F19" i="27" s="1"/>
  <c r="F20" i="27" s="1"/>
  <c r="F21" i="27" s="1"/>
  <c r="F22" i="27" s="1"/>
  <c r="F23" i="27" s="1"/>
  <c r="F24" i="27" s="1"/>
  <c r="F25" i="27" s="1"/>
  <c r="F26" i="27" s="1"/>
  <c r="F27" i="27" s="1"/>
  <c r="A17" i="27"/>
  <c r="A18" i="27" s="1"/>
  <c r="A19" i="27" s="1"/>
  <c r="A20" i="27" s="1"/>
  <c r="A21" i="27" s="1"/>
  <c r="A22" i="27" s="1"/>
  <c r="A23" i="27" s="1"/>
  <c r="A24" i="27" s="1"/>
  <c r="A25" i="27" s="1"/>
  <c r="A26" i="27" s="1"/>
  <c r="A27" i="27" s="1"/>
  <c r="A28" i="27" s="1"/>
  <c r="A29" i="27" s="1"/>
  <c r="A30" i="27" s="1"/>
  <c r="A32" i="27" s="1"/>
  <c r="A33" i="27" s="1"/>
  <c r="A34" i="27" s="1"/>
  <c r="A38" i="27" s="1"/>
  <c r="A39" i="27" s="1"/>
  <c r="A40" i="27" s="1"/>
  <c r="A44" i="27" s="1"/>
  <c r="A45" i="27" s="1"/>
  <c r="A46" i="27" s="1"/>
  <c r="A47" i="27" s="1"/>
  <c r="A48" i="27" s="1"/>
  <c r="A49" i="27" s="1"/>
  <c r="A50" i="27" s="1"/>
  <c r="A51" i="27" s="1"/>
  <c r="A52" i="27" s="1"/>
  <c r="A53" i="27" s="1"/>
  <c r="A54" i="27" s="1"/>
  <c r="A55" i="27" s="1"/>
  <c r="A56" i="27" s="1"/>
  <c r="A57" i="27" s="1"/>
  <c r="A60" i="27" s="1"/>
  <c r="A76" i="27" s="1"/>
  <c r="A77" i="27" s="1"/>
  <c r="A78" i="27" s="1"/>
  <c r="A82" i="27" s="1"/>
  <c r="A83" i="27" s="1"/>
  <c r="A84" i="27" s="1"/>
  <c r="A88" i="27" s="1"/>
  <c r="A89" i="27" s="1"/>
  <c r="A90" i="27" s="1"/>
  <c r="A94" i="27" s="1"/>
  <c r="A95" i="27" s="1"/>
  <c r="A96" i="27" s="1"/>
  <c r="H16" i="27"/>
  <c r="D16" i="27"/>
  <c r="D17" i="27" s="1"/>
  <c r="D18" i="27" s="1"/>
  <c r="D19" i="27" s="1"/>
  <c r="D20" i="27" s="1"/>
  <c r="D21" i="27" s="1"/>
  <c r="D22" i="27" s="1"/>
  <c r="D23" i="27" s="1"/>
  <c r="D24" i="27" s="1"/>
  <c r="D25" i="27" s="1"/>
  <c r="D26" i="27" s="1"/>
  <c r="D27" i="27" s="1"/>
  <c r="D28" i="27" s="1"/>
  <c r="G3" i="27"/>
  <c r="G65" i="27" s="1"/>
  <c r="D68" i="5"/>
  <c r="I67" i="5"/>
  <c r="F49" i="5"/>
  <c r="J44" i="5"/>
  <c r="D83" i="1" s="1"/>
  <c r="I83" i="1" s="1"/>
  <c r="I44" i="5"/>
  <c r="E44" i="5"/>
  <c r="D76" i="1" s="1"/>
  <c r="D44" i="5"/>
  <c r="D85" i="1" s="1"/>
  <c r="I85" i="1" s="1"/>
  <c r="C44" i="5"/>
  <c r="D84" i="1" s="1"/>
  <c r="I84" i="1" s="1"/>
  <c r="L24" i="5"/>
  <c r="D61" i="1" s="1"/>
  <c r="K24" i="5"/>
  <c r="D59" i="1" s="1"/>
  <c r="J24" i="5"/>
  <c r="D57" i="1" s="1"/>
  <c r="H24" i="5"/>
  <c r="D94" i="1" s="1"/>
  <c r="G24" i="5"/>
  <c r="D90" i="1" s="1"/>
  <c r="E24" i="5"/>
  <c r="D51" i="1" s="1"/>
  <c r="D24" i="5"/>
  <c r="D49" i="1" s="1"/>
  <c r="C24" i="5"/>
  <c r="D47" i="1" s="1"/>
  <c r="G3" i="5"/>
  <c r="E68" i="21"/>
  <c r="B66" i="21"/>
  <c r="G48" i="21"/>
  <c r="D48" i="21"/>
  <c r="E42" i="21" s="1"/>
  <c r="F43" i="21"/>
  <c r="H43" i="21" s="1"/>
  <c r="F42" i="21"/>
  <c r="H42" i="21" s="1"/>
  <c r="F41" i="21"/>
  <c r="H41" i="21" s="1"/>
  <c r="E41" i="21"/>
  <c r="F40" i="21"/>
  <c r="H40" i="21" s="1"/>
  <c r="F39" i="21"/>
  <c r="H39" i="21" s="1"/>
  <c r="F38" i="21"/>
  <c r="H38" i="21" s="1"/>
  <c r="D61" i="7" s="1"/>
  <c r="F37" i="21"/>
  <c r="H37" i="21" s="1"/>
  <c r="D60" i="7" s="1"/>
  <c r="F36" i="21"/>
  <c r="H36" i="21" s="1"/>
  <c r="D59" i="7" s="1"/>
  <c r="F35" i="21"/>
  <c r="H35" i="21" s="1"/>
  <c r="F34" i="21"/>
  <c r="H34" i="21" s="1"/>
  <c r="F33" i="21"/>
  <c r="H33" i="21" s="1"/>
  <c r="E33" i="21"/>
  <c r="F32" i="21"/>
  <c r="H32" i="21" s="1"/>
  <c r="F31" i="21"/>
  <c r="H31" i="21" s="1"/>
  <c r="F30" i="21"/>
  <c r="H30" i="21" s="1"/>
  <c r="D53" i="7" s="1"/>
  <c r="F29" i="21"/>
  <c r="H29" i="21" s="1"/>
  <c r="D52" i="7" s="1"/>
  <c r="F28" i="21"/>
  <c r="H28" i="21" s="1"/>
  <c r="D51" i="7" s="1"/>
  <c r="F27" i="21"/>
  <c r="H27" i="21" s="1"/>
  <c r="F26" i="21"/>
  <c r="H26" i="21" s="1"/>
  <c r="F25" i="21"/>
  <c r="H25" i="21" s="1"/>
  <c r="F24" i="21"/>
  <c r="H24" i="21" s="1"/>
  <c r="F23" i="21"/>
  <c r="H23" i="21" s="1"/>
  <c r="F22" i="21"/>
  <c r="H22" i="21" s="1"/>
  <c r="D45" i="7" s="1"/>
  <c r="G45" i="7" s="1"/>
  <c r="J22" i="21" s="1"/>
  <c r="F21" i="21"/>
  <c r="H21" i="21" s="1"/>
  <c r="D44" i="7" s="1"/>
  <c r="F20" i="21"/>
  <c r="H20" i="21" s="1"/>
  <c r="D43" i="7" s="1"/>
  <c r="E20" i="21"/>
  <c r="F19" i="21"/>
  <c r="H19" i="21" s="1"/>
  <c r="F18" i="21"/>
  <c r="H18" i="21" s="1"/>
  <c r="E19" i="16"/>
  <c r="E23" i="16" s="1"/>
  <c r="A9" i="16"/>
  <c r="A12" i="16" s="1"/>
  <c r="A13" i="16" s="1"/>
  <c r="A14" i="16" s="1"/>
  <c r="A15" i="16" s="1"/>
  <c r="A16" i="16" s="1"/>
  <c r="A18" i="16" s="1"/>
  <c r="A19" i="16" s="1"/>
  <c r="F5" i="16"/>
  <c r="E7" i="21" s="1"/>
  <c r="P95" i="2"/>
  <c r="I26" i="1" s="1"/>
  <c r="G56" i="2"/>
  <c r="G55" i="2"/>
  <c r="I34" i="2"/>
  <c r="L34" i="2" s="1"/>
  <c r="G7" i="2"/>
  <c r="G57" i="2" s="1"/>
  <c r="K210" i="1"/>
  <c r="G198" i="1"/>
  <c r="H13" i="16" s="1"/>
  <c r="D198" i="1"/>
  <c r="E13" i="16" s="1"/>
  <c r="D197" i="1"/>
  <c r="E12" i="16" s="1"/>
  <c r="G196" i="1"/>
  <c r="D191" i="1"/>
  <c r="G189" i="1"/>
  <c r="G187" i="1"/>
  <c r="A179" i="1"/>
  <c r="A180" i="1" s="1"/>
  <c r="A181" i="1" s="1"/>
  <c r="A183" i="1" s="1"/>
  <c r="A185" i="1" s="1"/>
  <c r="A187" i="1" s="1"/>
  <c r="A188" i="1" s="1"/>
  <c r="A189" i="1" s="1"/>
  <c r="A190" i="1" s="1"/>
  <c r="A191" i="1" s="1"/>
  <c r="K169" i="1"/>
  <c r="D153" i="1"/>
  <c r="E25" i="16" s="1"/>
  <c r="D152" i="1"/>
  <c r="E24" i="16" s="1"/>
  <c r="D147" i="1"/>
  <c r="C146" i="1"/>
  <c r="I144" i="1"/>
  <c r="D141" i="1"/>
  <c r="D139" i="1"/>
  <c r="D136" i="1"/>
  <c r="B136" i="1"/>
  <c r="D130" i="1"/>
  <c r="I130" i="1" s="1"/>
  <c r="D128" i="1"/>
  <c r="D126" i="1"/>
  <c r="D125" i="1"/>
  <c r="D117" i="1"/>
  <c r="I117" i="1" s="1"/>
  <c r="D113" i="1"/>
  <c r="F112" i="1"/>
  <c r="F113" i="1" s="1"/>
  <c r="F114" i="1" s="1"/>
  <c r="D112" i="1"/>
  <c r="A112" i="1"/>
  <c r="A113" i="1" s="1"/>
  <c r="A114" i="1" s="1"/>
  <c r="A115" i="1" s="1"/>
  <c r="A116" i="1" s="1"/>
  <c r="A117" i="1" s="1"/>
  <c r="A118" i="1" s="1"/>
  <c r="A119" i="1" s="1"/>
  <c r="A120" i="1" s="1"/>
  <c r="A121" i="1" s="1"/>
  <c r="A122" i="1" s="1"/>
  <c r="D111" i="1"/>
  <c r="K103" i="1"/>
  <c r="I87" i="1"/>
  <c r="I86" i="1"/>
  <c r="F86" i="1"/>
  <c r="F84" i="1"/>
  <c r="F82" i="1" s="1"/>
  <c r="F83" i="1"/>
  <c r="F144" i="1" s="1"/>
  <c r="G81" i="1"/>
  <c r="D80" i="1"/>
  <c r="D68" i="1"/>
  <c r="I66" i="1"/>
  <c r="D66" i="1"/>
  <c r="G58" i="1"/>
  <c r="I58" i="1" s="1"/>
  <c r="F52" i="1"/>
  <c r="F61" i="1" s="1"/>
  <c r="F62" i="1" s="1"/>
  <c r="I48" i="1"/>
  <c r="A47" i="1"/>
  <c r="A48" i="1" s="1"/>
  <c r="D39" i="1"/>
  <c r="D105" i="1" s="1"/>
  <c r="D171" i="1" s="1"/>
  <c r="K37" i="1"/>
  <c r="A14" i="1"/>
  <c r="A16" i="1" s="1"/>
  <c r="A18" i="1" s="1"/>
  <c r="A19" i="1" s="1"/>
  <c r="A20" i="1" s="1"/>
  <c r="A22" i="1" s="1"/>
  <c r="A23" i="1" s="1"/>
  <c r="A24" i="1" s="1"/>
  <c r="G96" i="27" l="1"/>
  <c r="G84" i="27"/>
  <c r="D77" i="30"/>
  <c r="D79" i="30" s="1"/>
  <c r="P69" i="33"/>
  <c r="Q69" i="33" s="1"/>
  <c r="T69" i="33" s="1"/>
  <c r="C10" i="29"/>
  <c r="F83" i="27"/>
  <c r="F84" i="27" s="1"/>
  <c r="K32" i="27"/>
  <c r="K33" i="27" s="1"/>
  <c r="K83" i="27"/>
  <c r="K84" i="27" s="1"/>
  <c r="C11" i="29"/>
  <c r="F95" i="27"/>
  <c r="F96" i="27" s="1"/>
  <c r="G11" i="29"/>
  <c r="K95" i="27"/>
  <c r="K96" i="27" s="1"/>
  <c r="F9" i="29"/>
  <c r="I77" i="27"/>
  <c r="I78" i="27" s="1"/>
  <c r="C9" i="29"/>
  <c r="F77" i="27"/>
  <c r="F78" i="27" s="1"/>
  <c r="D88" i="30"/>
  <c r="D90" i="30" s="1"/>
  <c r="E88" i="30"/>
  <c r="E90" i="30" s="1"/>
  <c r="E18" i="21"/>
  <c r="G43" i="7"/>
  <c r="J20" i="21" s="1"/>
  <c r="K20" i="21" s="1"/>
  <c r="R68" i="2" s="1"/>
  <c r="E31" i="21"/>
  <c r="E39" i="21"/>
  <c r="H81" i="49"/>
  <c r="H83" i="49"/>
  <c r="H85" i="49"/>
  <c r="E37" i="21"/>
  <c r="J50" i="21"/>
  <c r="H84" i="27"/>
  <c r="H96" i="27"/>
  <c r="E22" i="21"/>
  <c r="E35" i="21"/>
  <c r="F12" i="17"/>
  <c r="D120" i="1" s="1"/>
  <c r="E24" i="21"/>
  <c r="E26" i="21"/>
  <c r="E28" i="21"/>
  <c r="K44" i="27"/>
  <c r="E19" i="21"/>
  <c r="E21" i="21"/>
  <c r="E30" i="21"/>
  <c r="E32" i="21"/>
  <c r="E34" i="21"/>
  <c r="E36" i="21"/>
  <c r="E38" i="21"/>
  <c r="E40" i="21"/>
  <c r="G12" i="28"/>
  <c r="G44" i="7"/>
  <c r="J21" i="21" s="1"/>
  <c r="K21" i="21" s="1"/>
  <c r="R69" i="2" s="1"/>
  <c r="E23" i="21"/>
  <c r="E25" i="21"/>
  <c r="E27" i="21"/>
  <c r="E29" i="21"/>
  <c r="G88" i="33"/>
  <c r="F54" i="30"/>
  <c r="D33" i="30" s="1"/>
  <c r="D34" i="30" s="1"/>
  <c r="D35" i="30" s="1"/>
  <c r="I24" i="32"/>
  <c r="I27" i="32" s="1"/>
  <c r="F45" i="6"/>
  <c r="D200" i="1" s="1"/>
  <c r="D199" i="1"/>
  <c r="E14" i="16" s="1"/>
  <c r="E15" i="16" s="1"/>
  <c r="H57" i="49"/>
  <c r="A194" i="1"/>
  <c r="A195" i="1" s="1"/>
  <c r="A196" i="1" s="1"/>
  <c r="A197" i="1" s="1"/>
  <c r="A198" i="1" s="1"/>
  <c r="A199" i="1" s="1"/>
  <c r="A200" i="1" s="1"/>
  <c r="D69" i="1"/>
  <c r="H77" i="49"/>
  <c r="H64" i="49"/>
  <c r="H66" i="49"/>
  <c r="H80" i="33"/>
  <c r="P63" i="33"/>
  <c r="Q63" i="33" s="1"/>
  <c r="H17" i="49"/>
  <c r="D121" i="1" s="1"/>
  <c r="D151" i="1"/>
  <c r="D157" i="1" s="1"/>
  <c r="I157" i="1" s="1"/>
  <c r="H75" i="49"/>
  <c r="H84" i="49"/>
  <c r="H82" i="49"/>
  <c r="H79" i="49"/>
  <c r="H58" i="49"/>
  <c r="H65" i="49"/>
  <c r="D71" i="1"/>
  <c r="R52" i="33"/>
  <c r="R54" i="33" s="1"/>
  <c r="T36" i="33"/>
  <c r="G80" i="33"/>
  <c r="O80" i="33"/>
  <c r="P66" i="33"/>
  <c r="R66" i="33" s="1"/>
  <c r="T66" i="33" s="1"/>
  <c r="C76" i="49"/>
  <c r="H76" i="49" s="1"/>
  <c r="H80" i="49"/>
  <c r="C12" i="28"/>
  <c r="P27" i="33"/>
  <c r="I80" i="33"/>
  <c r="J80" i="33"/>
  <c r="P64" i="33"/>
  <c r="R64" i="33" s="1"/>
  <c r="T64" i="33" s="1"/>
  <c r="P65" i="33"/>
  <c r="R65" i="33" s="1"/>
  <c r="T65" i="33" s="1"/>
  <c r="E70" i="49"/>
  <c r="H62" i="49"/>
  <c r="H74" i="49"/>
  <c r="H78" i="49"/>
  <c r="D119" i="1"/>
  <c r="P52" i="33"/>
  <c r="P62" i="33"/>
  <c r="S62" i="33" s="1"/>
  <c r="K80" i="33"/>
  <c r="H51" i="49"/>
  <c r="D62" i="1" s="1"/>
  <c r="F70" i="49"/>
  <c r="H59" i="49"/>
  <c r="H67" i="49"/>
  <c r="H68" i="49"/>
  <c r="D86" i="49"/>
  <c r="G24" i="32"/>
  <c r="I68" i="1"/>
  <c r="D142" i="1"/>
  <c r="D80" i="33"/>
  <c r="L80" i="33"/>
  <c r="P67" i="33"/>
  <c r="R67" i="33" s="1"/>
  <c r="T67" i="33" s="1"/>
  <c r="G70" i="49"/>
  <c r="H61" i="49"/>
  <c r="E43" i="21"/>
  <c r="E80" i="33"/>
  <c r="M80" i="33"/>
  <c r="C51" i="49"/>
  <c r="H69" i="49"/>
  <c r="G190" i="1"/>
  <c r="F80" i="33"/>
  <c r="N80" i="33"/>
  <c r="P68" i="33"/>
  <c r="R68" i="33" s="1"/>
  <c r="T68" i="33" s="1"/>
  <c r="H63" i="49"/>
  <c r="D48" i="7"/>
  <c r="D49" i="7"/>
  <c r="D56" i="7"/>
  <c r="D47" i="7"/>
  <c r="G47" i="7" s="1"/>
  <c r="J24" i="21" s="1"/>
  <c r="K24" i="21" s="1"/>
  <c r="R72" i="2" s="1"/>
  <c r="D62" i="7"/>
  <c r="B1" i="32"/>
  <c r="B52" i="49"/>
  <c r="A1" i="49"/>
  <c r="B1" i="33"/>
  <c r="C55" i="33" s="1"/>
  <c r="D212" i="1"/>
  <c r="B23" i="16"/>
  <c r="A20" i="16"/>
  <c r="B27" i="16" s="1"/>
  <c r="D46" i="7"/>
  <c r="G46" i="7" s="1"/>
  <c r="J23" i="21" s="1"/>
  <c r="K23" i="21" s="1"/>
  <c r="R71" i="2" s="1"/>
  <c r="D50" i="7"/>
  <c r="D63" i="7"/>
  <c r="A49" i="1"/>
  <c r="E29" i="16"/>
  <c r="E28" i="16"/>
  <c r="D57" i="7"/>
  <c r="D64" i="7"/>
  <c r="D41" i="7"/>
  <c r="G41" i="7" s="1"/>
  <c r="J18" i="21" s="1"/>
  <c r="K18" i="21" s="1"/>
  <c r="H48" i="21"/>
  <c r="D54" i="7"/>
  <c r="D58" i="7"/>
  <c r="D65" i="7"/>
  <c r="A124" i="1"/>
  <c r="A125" i="1" s="1"/>
  <c r="D42" i="7"/>
  <c r="G42" i="7" s="1"/>
  <c r="J19" i="21" s="1"/>
  <c r="K19" i="21" s="1"/>
  <c r="R67" i="2" s="1"/>
  <c r="D55" i="7"/>
  <c r="D66" i="7"/>
  <c r="F24" i="5"/>
  <c r="D82" i="1" s="1"/>
  <c r="I82" i="1" s="1"/>
  <c r="F28" i="27"/>
  <c r="D33" i="27"/>
  <c r="D39" i="27" s="1"/>
  <c r="T34" i="33"/>
  <c r="S52" i="33"/>
  <c r="F48" i="21"/>
  <c r="B128" i="28"/>
  <c r="B86" i="29"/>
  <c r="B91" i="28"/>
  <c r="B122" i="29"/>
  <c r="B2" i="29"/>
  <c r="B2" i="28"/>
  <c r="G77" i="1"/>
  <c r="G78" i="1" s="1"/>
  <c r="H34" i="49"/>
  <c r="D52" i="1" s="1"/>
  <c r="I178" i="1"/>
  <c r="I18" i="27"/>
  <c r="D67" i="1"/>
  <c r="Q29" i="33"/>
  <c r="F58" i="7"/>
  <c r="F59" i="7" s="1"/>
  <c r="F60" i="7" s="1"/>
  <c r="F61" i="7" s="1"/>
  <c r="F62" i="7" s="1"/>
  <c r="F63" i="7" s="1"/>
  <c r="F64" i="7" s="1"/>
  <c r="F65" i="7" s="1"/>
  <c r="F66" i="7" s="1"/>
  <c r="F67" i="7" s="1"/>
  <c r="F68" i="7" s="1"/>
  <c r="F69" i="7" s="1"/>
  <c r="G69" i="7" s="1"/>
  <c r="F48" i="7"/>
  <c r="F49" i="7" s="1"/>
  <c r="F50" i="7" s="1"/>
  <c r="F51" i="7" s="1"/>
  <c r="F52" i="7" s="1"/>
  <c r="F53" i="7" s="1"/>
  <c r="F54" i="7" s="1"/>
  <c r="F55" i="7" s="1"/>
  <c r="F56" i="7" s="1"/>
  <c r="F57" i="7" s="1"/>
  <c r="K22" i="21"/>
  <c r="R70" i="2" s="1"/>
  <c r="F12" i="28"/>
  <c r="E12" i="28"/>
  <c r="D70" i="49"/>
  <c r="T10" i="33"/>
  <c r="C80" i="33"/>
  <c r="E105" i="33"/>
  <c r="E107" i="33" s="1"/>
  <c r="D107" i="33"/>
  <c r="C60" i="49"/>
  <c r="H60" i="49" s="1"/>
  <c r="F105" i="33"/>
  <c r="C34" i="49"/>
  <c r="D12" i="30"/>
  <c r="R27" i="33"/>
  <c r="R29" i="33" s="1"/>
  <c r="H24" i="32"/>
  <c r="T9" i="33"/>
  <c r="E64" i="30"/>
  <c r="E66" i="30" s="1"/>
  <c r="Q52" i="33"/>
  <c r="E30" i="16"/>
  <c r="E11" i="29"/>
  <c r="G44" i="27"/>
  <c r="F11" i="29"/>
  <c r="I44" i="27"/>
  <c r="E10" i="29"/>
  <c r="G32" i="27"/>
  <c r="G10" i="29"/>
  <c r="E9" i="29"/>
  <c r="G15" i="27"/>
  <c r="K15" i="27"/>
  <c r="G9" i="29"/>
  <c r="I15" i="27"/>
  <c r="I32" i="27"/>
  <c r="F10" i="29"/>
  <c r="G44" i="6" l="1"/>
  <c r="K44" i="6" s="1"/>
  <c r="I199" i="1" s="1"/>
  <c r="D122" i="1"/>
  <c r="D93" i="1" s="1"/>
  <c r="C12" i="29"/>
  <c r="Q80" i="33"/>
  <c r="Q82" i="33" s="1"/>
  <c r="R80" i="33"/>
  <c r="R82" i="33" s="1"/>
  <c r="T63" i="33"/>
  <c r="G43" i="6"/>
  <c r="K43" i="6" s="1"/>
  <c r="I198" i="1" s="1"/>
  <c r="D158" i="1"/>
  <c r="I158" i="1" s="1"/>
  <c r="G42" i="6"/>
  <c r="K42" i="6" s="1"/>
  <c r="P80" i="33"/>
  <c r="E48" i="21"/>
  <c r="D156" i="1"/>
  <c r="I156" i="1" s="1"/>
  <c r="G60" i="7"/>
  <c r="J37" i="21" s="1"/>
  <c r="K37" i="21" s="1"/>
  <c r="R85" i="2" s="1"/>
  <c r="G66" i="7"/>
  <c r="J43" i="21" s="1"/>
  <c r="K43" i="21" s="1"/>
  <c r="C86" i="49"/>
  <c r="H86" i="49" s="1"/>
  <c r="D129" i="1" s="1"/>
  <c r="G52" i="7"/>
  <c r="J29" i="21" s="1"/>
  <c r="K29" i="21" s="1"/>
  <c r="R77" i="2" s="1"/>
  <c r="C70" i="49"/>
  <c r="G62" i="7"/>
  <c r="J39" i="21" s="1"/>
  <c r="K39" i="21" s="1"/>
  <c r="R87" i="2" s="1"/>
  <c r="G53" i="7"/>
  <c r="J30" i="21" s="1"/>
  <c r="K30" i="21" s="1"/>
  <c r="R78" i="2" s="1"/>
  <c r="H70" i="49"/>
  <c r="G51" i="7"/>
  <c r="J28" i="21" s="1"/>
  <c r="K28" i="21" s="1"/>
  <c r="R76" i="2" s="1"/>
  <c r="G12" i="29"/>
  <c r="I181" i="1"/>
  <c r="I183" i="1" s="1"/>
  <c r="G54" i="7"/>
  <c r="J31" i="21" s="1"/>
  <c r="K31" i="21" s="1"/>
  <c r="R79" i="2" s="1"/>
  <c r="G57" i="7"/>
  <c r="J34" i="21" s="1"/>
  <c r="K34" i="21" s="1"/>
  <c r="R82" i="2" s="1"/>
  <c r="G63" i="7"/>
  <c r="J40" i="21" s="1"/>
  <c r="K40" i="21" s="1"/>
  <c r="G105" i="33"/>
  <c r="D127" i="1" s="1"/>
  <c r="R66" i="2"/>
  <c r="G49" i="7"/>
  <c r="J26" i="21" s="1"/>
  <c r="K26" i="21" s="1"/>
  <c r="R74" i="2" s="1"/>
  <c r="T27" i="33"/>
  <c r="D50" i="1" s="1"/>
  <c r="G79" i="1"/>
  <c r="G80" i="1"/>
  <c r="I80" i="1" s="1"/>
  <c r="I19" i="27"/>
  <c r="G50" i="7"/>
  <c r="J27" i="21" s="1"/>
  <c r="K27" i="21" s="1"/>
  <c r="R75" i="2" s="1"/>
  <c r="G61" i="7"/>
  <c r="J38" i="21" s="1"/>
  <c r="K38" i="21" s="1"/>
  <c r="R86" i="2" s="1"/>
  <c r="G55" i="7"/>
  <c r="J32" i="21" s="1"/>
  <c r="K32" i="21" s="1"/>
  <c r="R80" i="2" s="1"/>
  <c r="A126" i="1"/>
  <c r="A127" i="1" s="1"/>
  <c r="A128" i="1" s="1"/>
  <c r="A129" i="1" s="1"/>
  <c r="A130" i="1" s="1"/>
  <c r="A131" i="1" s="1"/>
  <c r="G59" i="7"/>
  <c r="J36" i="21" s="1"/>
  <c r="K36" i="21" s="1"/>
  <c r="R84" i="2" s="1"/>
  <c r="G65" i="7"/>
  <c r="J42" i="21" s="1"/>
  <c r="K42" i="21" s="1"/>
  <c r="G56" i="7"/>
  <c r="J33" i="21" s="1"/>
  <c r="K33" i="21" s="1"/>
  <c r="R81" i="2" s="1"/>
  <c r="G48" i="7"/>
  <c r="J25" i="21" s="1"/>
  <c r="K25" i="21" s="1"/>
  <c r="R73" i="2" s="1"/>
  <c r="A50" i="1"/>
  <c r="A21" i="16"/>
  <c r="A22" i="16" s="1"/>
  <c r="A23" i="16" s="1"/>
  <c r="Q54" i="33"/>
  <c r="T52" i="33"/>
  <c r="D60" i="1" s="1"/>
  <c r="D63" i="1" s="1"/>
  <c r="D72" i="1"/>
  <c r="J24" i="32"/>
  <c r="J27" i="32" s="1"/>
  <c r="G67" i="7"/>
  <c r="T62" i="33"/>
  <c r="S80" i="33"/>
  <c r="G68" i="7"/>
  <c r="G58" i="7"/>
  <c r="J35" i="21" s="1"/>
  <c r="K35" i="21" s="1"/>
  <c r="R83" i="2" s="1"/>
  <c r="G64" i="7"/>
  <c r="J41" i="21" s="1"/>
  <c r="K41" i="21" s="1"/>
  <c r="I56" i="27"/>
  <c r="E12" i="29"/>
  <c r="F12" i="29"/>
  <c r="H44" i="27"/>
  <c r="G56" i="27"/>
  <c r="H56" i="27" s="1"/>
  <c r="G33" i="27"/>
  <c r="H33" i="27" s="1"/>
  <c r="H32" i="27"/>
  <c r="K34" i="27"/>
  <c r="I33" i="27"/>
  <c r="I34" i="27" s="1"/>
  <c r="G28" i="27"/>
  <c r="G30" i="27" s="1"/>
  <c r="H15" i="27"/>
  <c r="H28" i="27" s="1"/>
  <c r="H30" i="27" s="1"/>
  <c r="K28" i="27"/>
  <c r="K30" i="27" s="1"/>
  <c r="E199" i="1" l="1"/>
  <c r="F14" i="16" s="1"/>
  <c r="J14" i="16" s="1"/>
  <c r="T80" i="33"/>
  <c r="E198" i="1"/>
  <c r="F13" i="16" s="1"/>
  <c r="J13" i="16" s="1"/>
  <c r="E197" i="1"/>
  <c r="F12" i="16" s="1"/>
  <c r="J12" i="16" s="1"/>
  <c r="G34" i="27"/>
  <c r="D131" i="1"/>
  <c r="J48" i="21"/>
  <c r="J51" i="21" s="1"/>
  <c r="A24" i="16"/>
  <c r="A25" i="16" s="1"/>
  <c r="A26" i="16" s="1"/>
  <c r="A27" i="16" s="1"/>
  <c r="A51" i="1"/>
  <c r="D70" i="1"/>
  <c r="D73" i="1" s="1"/>
  <c r="D53" i="1"/>
  <c r="E188" i="1"/>
  <c r="G188" i="1" s="1"/>
  <c r="G191" i="1" s="1"/>
  <c r="I191" i="1" s="1"/>
  <c r="G111" i="1"/>
  <c r="G47" i="1"/>
  <c r="G14" i="1"/>
  <c r="A133" i="1"/>
  <c r="A134" i="1" s="1"/>
  <c r="A135" i="1" s="1"/>
  <c r="R95" i="2"/>
  <c r="I19" i="1" s="1"/>
  <c r="I23" i="1"/>
  <c r="K45" i="6"/>
  <c r="I200" i="1" s="1"/>
  <c r="I197" i="1"/>
  <c r="C131" i="1"/>
  <c r="I20" i="27"/>
  <c r="K48" i="21"/>
  <c r="H34" i="27"/>
  <c r="J15" i="16" l="1"/>
  <c r="E20" i="16" s="1"/>
  <c r="S28" i="33"/>
  <c r="G121" i="1"/>
  <c r="B30" i="16"/>
  <c r="D148" i="1"/>
  <c r="A136" i="1"/>
  <c r="A137" i="1" s="1"/>
  <c r="A138" i="1" s="1"/>
  <c r="A139" i="1" s="1"/>
  <c r="A140" i="1" s="1"/>
  <c r="A141" i="1" s="1"/>
  <c r="A142" i="1" s="1"/>
  <c r="A52" i="1"/>
  <c r="G57" i="1"/>
  <c r="I47" i="1"/>
  <c r="B29" i="16"/>
  <c r="G112" i="1"/>
  <c r="G94" i="1"/>
  <c r="I94" i="1" s="1"/>
  <c r="G118" i="1"/>
  <c r="I111" i="1"/>
  <c r="A28" i="16"/>
  <c r="A29" i="16" s="1"/>
  <c r="A30" i="16" s="1"/>
  <c r="A31" i="16" s="1"/>
  <c r="A33" i="16" s="1"/>
  <c r="G51" i="30"/>
  <c r="G89" i="30"/>
  <c r="G90" i="30" s="1"/>
  <c r="G78" i="30"/>
  <c r="G79" i="30" s="1"/>
  <c r="G65" i="30"/>
  <c r="G66" i="30" s="1"/>
  <c r="G26" i="32"/>
  <c r="G27" i="32" s="1"/>
  <c r="H53" i="5"/>
  <c r="I53" i="5" s="1"/>
  <c r="L12" i="27"/>
  <c r="G126" i="1"/>
  <c r="G120" i="1"/>
  <c r="I120" i="1" s="1"/>
  <c r="G128" i="1"/>
  <c r="I128" i="1" s="1"/>
  <c r="G49" i="1"/>
  <c r="G51" i="1" s="1"/>
  <c r="B28" i="16"/>
  <c r="I21" i="27"/>
  <c r="G59" i="1" l="1"/>
  <c r="I59" i="1" s="1"/>
  <c r="I49" i="1"/>
  <c r="H51" i="30"/>
  <c r="G52" i="30"/>
  <c r="H52" i="30" s="1"/>
  <c r="E66" i="2"/>
  <c r="I18" i="2"/>
  <c r="L56" i="27"/>
  <c r="L73" i="27"/>
  <c r="L53" i="27"/>
  <c r="L54" i="27"/>
  <c r="L50" i="27"/>
  <c r="L24" i="27"/>
  <c r="L16" i="27"/>
  <c r="L51" i="27"/>
  <c r="L46" i="27"/>
  <c r="L25" i="27"/>
  <c r="L17" i="27"/>
  <c r="L27" i="27"/>
  <c r="L26" i="27"/>
  <c r="L18" i="27"/>
  <c r="L47" i="27"/>
  <c r="L19" i="27"/>
  <c r="L20" i="27"/>
  <c r="L48" i="27"/>
  <c r="L21" i="27"/>
  <c r="L55" i="27"/>
  <c r="L52" i="27"/>
  <c r="L22" i="27"/>
  <c r="L49" i="27"/>
  <c r="L45" i="27"/>
  <c r="L23" i="27"/>
  <c r="L44" i="27"/>
  <c r="L32" i="27"/>
  <c r="L15" i="27"/>
  <c r="L33" i="27"/>
  <c r="B31" i="16"/>
  <c r="I57" i="1"/>
  <c r="I67" i="1" s="1"/>
  <c r="G90" i="1"/>
  <c r="A144" i="1"/>
  <c r="A146" i="1" s="1"/>
  <c r="A147" i="1" s="1"/>
  <c r="I126" i="1"/>
  <c r="G135" i="1"/>
  <c r="I22" i="27"/>
  <c r="A35" i="16"/>
  <c r="A36" i="16" s="1"/>
  <c r="A37" i="16" s="1"/>
  <c r="A38" i="16" s="1"/>
  <c r="A39" i="16" s="1"/>
  <c r="A40" i="16" s="1"/>
  <c r="A53" i="1"/>
  <c r="A55" i="1" s="1"/>
  <c r="A56" i="1" s="1"/>
  <c r="G113" i="1"/>
  <c r="I113" i="1" s="1"/>
  <c r="I112" i="1"/>
  <c r="H54" i="5"/>
  <c r="I54" i="5" s="1"/>
  <c r="I121" i="1"/>
  <c r="I118" i="1"/>
  <c r="I119" i="1" s="1"/>
  <c r="C142" i="1"/>
  <c r="I69" i="1" l="1"/>
  <c r="H54" i="30"/>
  <c r="D36" i="30" s="1"/>
  <c r="D37" i="30" s="1"/>
  <c r="D38" i="30" s="1"/>
  <c r="D23" i="30" s="1"/>
  <c r="H66" i="2"/>
  <c r="H95" i="2" s="1"/>
  <c r="I19" i="2"/>
  <c r="I23" i="27"/>
  <c r="E95" i="2"/>
  <c r="H55" i="5"/>
  <c r="I55" i="5" s="1"/>
  <c r="G136" i="1"/>
  <c r="I136" i="1" s="1"/>
  <c r="I135" i="1"/>
  <c r="L28" i="27"/>
  <c r="L30" i="27" s="1"/>
  <c r="C66" i="1"/>
  <c r="A57" i="1"/>
  <c r="L78" i="27"/>
  <c r="L95" i="27"/>
  <c r="L94" i="27"/>
  <c r="L83" i="27"/>
  <c r="L82" i="27"/>
  <c r="S53" i="33"/>
  <c r="S29" i="33"/>
  <c r="T29" i="33" s="1"/>
  <c r="I50" i="1" s="1"/>
  <c r="L34" i="27"/>
  <c r="A148" i="1"/>
  <c r="B151" i="1"/>
  <c r="G61" i="1"/>
  <c r="G52" i="1"/>
  <c r="I52" i="1" s="1"/>
  <c r="I51" i="1"/>
  <c r="I90" i="1"/>
  <c r="G125" i="1"/>
  <c r="I125" i="1" s="1"/>
  <c r="L96" i="27" l="1"/>
  <c r="G129" i="1"/>
  <c r="I129" i="1" s="1"/>
  <c r="I61" i="1"/>
  <c r="I71" i="1" s="1"/>
  <c r="G62" i="1"/>
  <c r="I62" i="1" s="1"/>
  <c r="I72" i="1" s="1"/>
  <c r="A149" i="1"/>
  <c r="A150" i="1" s="1"/>
  <c r="A151" i="1" s="1"/>
  <c r="S81" i="33"/>
  <c r="S54" i="33"/>
  <c r="T54" i="33" s="1"/>
  <c r="I60" i="1" s="1"/>
  <c r="I53" i="1"/>
  <c r="G53" i="1" s="1"/>
  <c r="J12" i="27" s="1"/>
  <c r="K66" i="2"/>
  <c r="K95" i="2" s="1"/>
  <c r="L84" i="27"/>
  <c r="A58" i="1"/>
  <c r="C67" i="1"/>
  <c r="H56" i="5"/>
  <c r="I24" i="27"/>
  <c r="I56" i="5" l="1"/>
  <c r="H57" i="5"/>
  <c r="I63" i="1"/>
  <c r="F106" i="33"/>
  <c r="F107" i="33" s="1"/>
  <c r="G107" i="33" s="1"/>
  <c r="I127" i="1" s="1"/>
  <c r="S82" i="33"/>
  <c r="T82" i="33" s="1"/>
  <c r="A59" i="1"/>
  <c r="C68" i="1"/>
  <c r="I70" i="1"/>
  <c r="I73" i="1" s="1"/>
  <c r="G73" i="1" s="1"/>
  <c r="A152" i="1"/>
  <c r="C156" i="1" s="1"/>
  <c r="I25" i="27"/>
  <c r="H26" i="32"/>
  <c r="H27" i="32" s="1"/>
  <c r="G138" i="1"/>
  <c r="H58" i="5" l="1"/>
  <c r="I57" i="5"/>
  <c r="J28" i="32"/>
  <c r="I115" i="1" s="1"/>
  <c r="I122" i="1" s="1"/>
  <c r="G141" i="1"/>
  <c r="I141" i="1" s="1"/>
  <c r="I138" i="1"/>
  <c r="G140" i="1"/>
  <c r="I140" i="1" s="1"/>
  <c r="F89" i="30"/>
  <c r="F90" i="30" s="1"/>
  <c r="H90" i="30" s="1"/>
  <c r="F78" i="30"/>
  <c r="F79" i="30" s="1"/>
  <c r="H79" i="30" s="1"/>
  <c r="D15" i="30" s="1"/>
  <c r="F65" i="30"/>
  <c r="F66" i="30" s="1"/>
  <c r="I26" i="27"/>
  <c r="A60" i="1"/>
  <c r="C69" i="1"/>
  <c r="A153" i="1"/>
  <c r="I26" i="2"/>
  <c r="I27" i="2" s="1"/>
  <c r="L27" i="2" s="1"/>
  <c r="I131" i="1"/>
  <c r="I58" i="5" l="1"/>
  <c r="I22" i="2"/>
  <c r="I23" i="2" s="1"/>
  <c r="L23" i="2" s="1"/>
  <c r="I93" i="1"/>
  <c r="I142" i="1"/>
  <c r="I30" i="2" s="1"/>
  <c r="I31" i="2" s="1"/>
  <c r="L31" i="2" s="1"/>
  <c r="H29" i="16"/>
  <c r="J28" i="16"/>
  <c r="A154" i="1"/>
  <c r="C158" i="1" s="1"/>
  <c r="C157" i="1"/>
  <c r="J54" i="27"/>
  <c r="M54" i="27" s="1"/>
  <c r="J50" i="27"/>
  <c r="M50" i="27" s="1"/>
  <c r="J55" i="27"/>
  <c r="M55" i="27" s="1"/>
  <c r="J51" i="27"/>
  <c r="M51" i="27" s="1"/>
  <c r="J52" i="27"/>
  <c r="M52" i="27" s="1"/>
  <c r="J73" i="27"/>
  <c r="J49" i="27"/>
  <c r="M49" i="27" s="1"/>
  <c r="J45" i="27"/>
  <c r="M45" i="27" s="1"/>
  <c r="J16" i="27"/>
  <c r="M16" i="27" s="1"/>
  <c r="J46" i="27"/>
  <c r="M46" i="27" s="1"/>
  <c r="J53" i="27"/>
  <c r="M53" i="27" s="1"/>
  <c r="J47" i="27"/>
  <c r="M47" i="27" s="1"/>
  <c r="J48" i="27"/>
  <c r="M48" i="27" s="1"/>
  <c r="J78" i="27"/>
  <c r="M78" i="27" s="1"/>
  <c r="F44" i="5" s="1"/>
  <c r="D77" i="1" s="1"/>
  <c r="J17" i="27"/>
  <c r="M17" i="27" s="1"/>
  <c r="J15" i="27"/>
  <c r="M15" i="27" s="1"/>
  <c r="J18" i="27"/>
  <c r="M18" i="27" s="1"/>
  <c r="J32" i="27"/>
  <c r="J44" i="27"/>
  <c r="M44" i="27" s="1"/>
  <c r="J19" i="27"/>
  <c r="M19" i="27" s="1"/>
  <c r="J56" i="27"/>
  <c r="M56" i="27" s="1"/>
  <c r="J33" i="27"/>
  <c r="M33" i="27" s="1"/>
  <c r="J20" i="27"/>
  <c r="M20" i="27" s="1"/>
  <c r="J21" i="27"/>
  <c r="M21" i="27" s="1"/>
  <c r="J22" i="27"/>
  <c r="M22" i="27" s="1"/>
  <c r="J23" i="27"/>
  <c r="M23" i="27" s="1"/>
  <c r="J24" i="27"/>
  <c r="M24" i="27" s="1"/>
  <c r="D7" i="30"/>
  <c r="D8" i="30" s="1"/>
  <c r="D22" i="30" s="1"/>
  <c r="H66" i="30"/>
  <c r="A61" i="1"/>
  <c r="C70" i="1"/>
  <c r="J26" i="27"/>
  <c r="M26" i="27" s="1"/>
  <c r="I27" i="27"/>
  <c r="J25" i="27"/>
  <c r="M25" i="27" s="1"/>
  <c r="I60" i="5" l="1"/>
  <c r="L36" i="2"/>
  <c r="M57" i="27"/>
  <c r="D43" i="30"/>
  <c r="D24" i="30"/>
  <c r="J34" i="27"/>
  <c r="M34" i="27" s="1"/>
  <c r="M32" i="27"/>
  <c r="A62" i="1"/>
  <c r="C71" i="1"/>
  <c r="J27" i="27"/>
  <c r="M27" i="27" s="1"/>
  <c r="M28" i="27" s="1"/>
  <c r="M30" i="27" s="1"/>
  <c r="I28" i="27"/>
  <c r="J28" i="27" s="1"/>
  <c r="A155" i="1"/>
  <c r="J77" i="27"/>
  <c r="J95" i="27"/>
  <c r="M95" i="27" s="1"/>
  <c r="J82" i="27"/>
  <c r="J94" i="27"/>
  <c r="J83" i="27"/>
  <c r="J76" i="27"/>
  <c r="H30" i="16"/>
  <c r="J30" i="16" s="1"/>
  <c r="J29" i="16"/>
  <c r="F70" i="2" l="1"/>
  <c r="G70" i="2" s="1"/>
  <c r="F89" i="2"/>
  <c r="G89" i="2" s="1"/>
  <c r="F88" i="2"/>
  <c r="G88" i="2" s="1"/>
  <c r="F90" i="2"/>
  <c r="G90" i="2" s="1"/>
  <c r="I61" i="5"/>
  <c r="F73" i="2"/>
  <c r="G73" i="2" s="1"/>
  <c r="F75" i="2"/>
  <c r="G75" i="2" s="1"/>
  <c r="F74" i="2"/>
  <c r="G74" i="2" s="1"/>
  <c r="F76" i="2"/>
  <c r="G76" i="2" s="1"/>
  <c r="F85" i="2"/>
  <c r="G85" i="2" s="1"/>
  <c r="F82" i="2"/>
  <c r="G82" i="2" s="1"/>
  <c r="F83" i="2"/>
  <c r="G83" i="2" s="1"/>
  <c r="F86" i="2"/>
  <c r="G86" i="2" s="1"/>
  <c r="F67" i="2"/>
  <c r="G67" i="2" s="1"/>
  <c r="F66" i="2"/>
  <c r="G66" i="2" s="1"/>
  <c r="F84" i="2"/>
  <c r="G84" i="2" s="1"/>
  <c r="F79" i="2"/>
  <c r="G79" i="2" s="1"/>
  <c r="F78" i="2"/>
  <c r="G78" i="2" s="1"/>
  <c r="F68" i="2"/>
  <c r="G68" i="2" s="1"/>
  <c r="F77" i="2"/>
  <c r="G77" i="2" s="1"/>
  <c r="F69" i="2"/>
  <c r="G69" i="2" s="1"/>
  <c r="F71" i="2"/>
  <c r="G71" i="2" s="1"/>
  <c r="F72" i="2"/>
  <c r="G72" i="2" s="1"/>
  <c r="F80" i="2"/>
  <c r="G80" i="2" s="1"/>
  <c r="F87" i="2"/>
  <c r="G87" i="2" s="1"/>
  <c r="F81" i="2"/>
  <c r="G81" i="2" s="1"/>
  <c r="J84" i="27"/>
  <c r="M84" i="27" s="1"/>
  <c r="G44" i="5" s="1"/>
  <c r="D78" i="1" s="1"/>
  <c r="I78" i="1" s="1"/>
  <c r="M60" i="27"/>
  <c r="A63" i="1"/>
  <c r="A65" i="1" s="1"/>
  <c r="A66" i="1" s="1"/>
  <c r="A67" i="1" s="1"/>
  <c r="A68" i="1" s="1"/>
  <c r="A69" i="1" s="1"/>
  <c r="A70" i="1" s="1"/>
  <c r="A71" i="1" s="1"/>
  <c r="A72" i="1" s="1"/>
  <c r="A73" i="1" s="1"/>
  <c r="A75" i="1" s="1"/>
  <c r="A76" i="1" s="1"/>
  <c r="A77" i="1" s="1"/>
  <c r="A78" i="1" s="1"/>
  <c r="A79" i="1" s="1"/>
  <c r="A80" i="1" s="1"/>
  <c r="A81" i="1" s="1"/>
  <c r="A82" i="1" s="1"/>
  <c r="A83" i="1" s="1"/>
  <c r="A84" i="1" s="1"/>
  <c r="A85" i="1" s="1"/>
  <c r="A86" i="1" s="1"/>
  <c r="A87" i="1" s="1"/>
  <c r="A88" i="1" s="1"/>
  <c r="A90" i="1" s="1"/>
  <c r="A92" i="1" s="1"/>
  <c r="A93" i="1" s="1"/>
  <c r="A94" i="1" s="1"/>
  <c r="A95" i="1" s="1"/>
  <c r="A96" i="1" s="1"/>
  <c r="A98" i="1" s="1"/>
  <c r="C72" i="1"/>
  <c r="A156" i="1"/>
  <c r="A157" i="1" s="1"/>
  <c r="A158" i="1" s="1"/>
  <c r="A159" i="1" s="1"/>
  <c r="I14" i="1"/>
  <c r="I33" i="2" s="1"/>
  <c r="D14" i="1"/>
  <c r="J96" i="27"/>
  <c r="M94" i="27"/>
  <c r="M96" i="27" s="1"/>
  <c r="H44" i="5" s="1"/>
  <c r="D79" i="1" s="1"/>
  <c r="I79" i="1" s="1"/>
  <c r="I62" i="5" l="1"/>
  <c r="C159" i="1"/>
  <c r="A161" i="1"/>
  <c r="A162" i="1" s="1"/>
  <c r="C164" i="1" s="1"/>
  <c r="I77" i="1"/>
  <c r="I63" i="5" l="1"/>
  <c r="A164" i="1"/>
  <c r="C11" i="1" s="1"/>
  <c r="C155" i="1"/>
  <c r="I65" i="5" l="1"/>
  <c r="I64" i="5"/>
  <c r="I68" i="5" l="1"/>
  <c r="D81" i="1" s="1"/>
  <c r="I81" i="1" l="1"/>
  <c r="I88" i="1" s="1"/>
  <c r="D88" i="1"/>
  <c r="I24" i="5" l="1"/>
  <c r="D95" i="1" s="1"/>
  <c r="I95" i="1" s="1"/>
  <c r="I96" i="1" s="1"/>
  <c r="I98" i="1" s="1"/>
  <c r="D96" i="1" l="1"/>
  <c r="D98" i="1" s="1"/>
  <c r="D162" i="1" s="1"/>
  <c r="D155" i="1" s="1"/>
  <c r="D159" i="1" s="1"/>
  <c r="D164" i="1" s="1"/>
  <c r="I162" i="1"/>
  <c r="K7" i="16"/>
  <c r="K39" i="16" l="1"/>
  <c r="K16" i="16"/>
  <c r="I43" i="2"/>
  <c r="I44" i="2" s="1"/>
  <c r="K35" i="16"/>
  <c r="I155" i="1"/>
  <c r="I159" i="1" s="1"/>
  <c r="I164" i="1" s="1"/>
  <c r="I11" i="1" s="1"/>
  <c r="T97" i="2" l="1"/>
  <c r="I16" i="1"/>
  <c r="L44" i="2"/>
  <c r="J27" i="16"/>
  <c r="J31" i="16" s="1"/>
  <c r="K31" i="16" s="1"/>
  <c r="K33" i="16" s="1"/>
  <c r="E27" i="16"/>
  <c r="E31" i="16" s="1"/>
  <c r="I39" i="2"/>
  <c r="I40" i="2" s="1"/>
  <c r="L40" i="2" s="1"/>
  <c r="K36" i="16"/>
  <c r="K37" i="16" s="1"/>
  <c r="L46" i="2" l="1"/>
  <c r="I80" i="2" s="1"/>
  <c r="J80" i="2" s="1"/>
  <c r="L80" i="2" s="1"/>
  <c r="I46" i="2"/>
  <c r="K38" i="16"/>
  <c r="K40" i="16" s="1"/>
  <c r="I78" i="2" l="1"/>
  <c r="J78" i="2" s="1"/>
  <c r="L78" i="2" s="1"/>
  <c r="I82" i="2"/>
  <c r="J82" i="2" s="1"/>
  <c r="L82" i="2" s="1"/>
  <c r="I90" i="2"/>
  <c r="J90" i="2" s="1"/>
  <c r="L90" i="2" s="1"/>
  <c r="I68" i="2"/>
  <c r="J68" i="2" s="1"/>
  <c r="L68" i="2" s="1"/>
  <c r="I73" i="2"/>
  <c r="J73" i="2" s="1"/>
  <c r="L73" i="2" s="1"/>
  <c r="I86" i="2"/>
  <c r="J86" i="2" s="1"/>
  <c r="L86" i="2" s="1"/>
  <c r="I74" i="2"/>
  <c r="J74" i="2" s="1"/>
  <c r="L74" i="2" s="1"/>
  <c r="I88" i="2"/>
  <c r="J88" i="2" s="1"/>
  <c r="L88" i="2" s="1"/>
  <c r="I76" i="2"/>
  <c r="J76" i="2" s="1"/>
  <c r="L76" i="2" s="1"/>
  <c r="I79" i="2"/>
  <c r="J79" i="2" s="1"/>
  <c r="L79" i="2" s="1"/>
  <c r="I75" i="2"/>
  <c r="J75" i="2" s="1"/>
  <c r="L75" i="2" s="1"/>
  <c r="I69" i="2"/>
  <c r="J69" i="2" s="1"/>
  <c r="L69" i="2" s="1"/>
  <c r="I85" i="2"/>
  <c r="J85" i="2" s="1"/>
  <c r="L85" i="2" s="1"/>
  <c r="I72" i="2"/>
  <c r="J72" i="2" s="1"/>
  <c r="L72" i="2" s="1"/>
  <c r="I89" i="2"/>
  <c r="J89" i="2" s="1"/>
  <c r="L89" i="2" s="1"/>
  <c r="I77" i="2"/>
  <c r="J77" i="2" s="1"/>
  <c r="L77" i="2" s="1"/>
  <c r="I71" i="2"/>
  <c r="J71" i="2" s="1"/>
  <c r="L71" i="2" s="1"/>
  <c r="I70" i="2"/>
  <c r="J70" i="2" s="1"/>
  <c r="L70" i="2" s="1"/>
  <c r="I83" i="2"/>
  <c r="J83" i="2" s="1"/>
  <c r="L83" i="2" s="1"/>
  <c r="I67" i="2"/>
  <c r="J67" i="2" s="1"/>
  <c r="L67" i="2" s="1"/>
  <c r="I81" i="2"/>
  <c r="J81" i="2" s="1"/>
  <c r="L81" i="2" s="1"/>
  <c r="I84" i="2"/>
  <c r="J84" i="2" s="1"/>
  <c r="L84" i="2" s="1"/>
  <c r="I87" i="2"/>
  <c r="J87" i="2" s="1"/>
  <c r="L87" i="2" s="1"/>
  <c r="I66" i="2"/>
  <c r="J66" i="2" s="1"/>
  <c r="L66" i="2" s="1"/>
  <c r="N84" i="2"/>
  <c r="N74" i="2"/>
  <c r="N67" i="2"/>
  <c r="N76" i="2"/>
  <c r="N77" i="2"/>
  <c r="N82" i="2"/>
  <c r="Q82" i="2" s="1"/>
  <c r="N79" i="2"/>
  <c r="N85" i="2"/>
  <c r="N73" i="2"/>
  <c r="O73" i="2" s="1"/>
  <c r="N68" i="2"/>
  <c r="N72" i="2"/>
  <c r="N89" i="2"/>
  <c r="N70" i="2"/>
  <c r="N86" i="2"/>
  <c r="Q86" i="2" s="1"/>
  <c r="N71" i="2"/>
  <c r="N90" i="2"/>
  <c r="N83" i="2"/>
  <c r="N80" i="2"/>
  <c r="O80" i="2" s="1"/>
  <c r="N87" i="2"/>
  <c r="N66" i="2"/>
  <c r="N78" i="2"/>
  <c r="O78" i="2" s="1"/>
  <c r="N88" i="2"/>
  <c r="N69" i="2"/>
  <c r="N75" i="2"/>
  <c r="N81" i="2"/>
  <c r="Q87" i="2" l="1"/>
  <c r="S87" i="2" s="1"/>
  <c r="S86" i="2"/>
  <c r="S82" i="2"/>
  <c r="Q90" i="2"/>
  <c r="O88" i="2"/>
  <c r="O77" i="2"/>
  <c r="O69" i="2"/>
  <c r="Q68" i="2"/>
  <c r="O71" i="2"/>
  <c r="Q72" i="2"/>
  <c r="Q79" i="2"/>
  <c r="Q74" i="2"/>
  <c r="Q70" i="2"/>
  <c r="O85" i="2"/>
  <c r="Q76" i="2"/>
  <c r="Q75" i="2"/>
  <c r="O89" i="2"/>
  <c r="O87" i="2"/>
  <c r="Q83" i="2"/>
  <c r="O83" i="2"/>
  <c r="Q67" i="2"/>
  <c r="Q77" i="2"/>
  <c r="Q73" i="2"/>
  <c r="Q84" i="2"/>
  <c r="O81" i="2"/>
  <c r="J95" i="2"/>
  <c r="O90" i="2"/>
  <c r="Q69" i="2"/>
  <c r="Q81" i="2"/>
  <c r="O84" i="2"/>
  <c r="Q89" i="2"/>
  <c r="Q78" i="2"/>
  <c r="O72" i="2"/>
  <c r="O74" i="2"/>
  <c r="N95" i="2"/>
  <c r="O75" i="2"/>
  <c r="Q85" i="2"/>
  <c r="Q71" i="2"/>
  <c r="O79" i="2"/>
  <c r="O86" i="2"/>
  <c r="Q88" i="2"/>
  <c r="O76" i="2"/>
  <c r="O67" i="2"/>
  <c r="O70" i="2"/>
  <c r="O82" i="2"/>
  <c r="Q80" i="2"/>
  <c r="O68" i="2"/>
  <c r="Q66" i="2"/>
  <c r="O66" i="2"/>
  <c r="L95" i="2"/>
  <c r="S78" i="2" l="1"/>
  <c r="S84" i="2"/>
  <c r="S74" i="2"/>
  <c r="S68" i="2"/>
  <c r="S73" i="2"/>
  <c r="S83" i="2"/>
  <c r="S76" i="2"/>
  <c r="S79" i="2"/>
  <c r="S88" i="2"/>
  <c r="S85" i="2"/>
  <c r="S81" i="2"/>
  <c r="S67" i="2"/>
  <c r="S70" i="2"/>
  <c r="S69" i="2"/>
  <c r="S75" i="2"/>
  <c r="S90" i="2"/>
  <c r="S89" i="2"/>
  <c r="S80" i="2"/>
  <c r="S71" i="2"/>
  <c r="S77" i="2"/>
  <c r="S72" i="2"/>
  <c r="O95" i="2"/>
  <c r="Q95" i="2"/>
  <c r="I18" i="1" s="1"/>
  <c r="I22" i="1"/>
  <c r="S66" i="2"/>
  <c r="S95" i="2" l="1"/>
  <c r="I20" i="1" s="1"/>
  <c r="I24" i="1"/>
  <c r="I30" i="1" s="1"/>
  <c r="T98" i="2" l="1"/>
  <c r="T99" i="2" s="1"/>
</calcChain>
</file>

<file path=xl/sharedStrings.xml><?xml version="1.0" encoding="utf-8"?>
<sst xmlns="http://schemas.openxmlformats.org/spreadsheetml/2006/main" count="2752" uniqueCount="1385">
  <si>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</si>
  <si>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</si>
  <si>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</si>
  <si>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</si>
  <si>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</si>
  <si>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</si>
  <si>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</si>
  <si>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</si>
  <si>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</si>
  <si>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</si>
  <si>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</si>
  <si>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</si>
  <si>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</si>
  <si>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</si>
  <si>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</si>
  <si>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</si>
  <si>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NET REVENUE REQUIREMENT</t>
  </si>
  <si>
    <t>Transmission</t>
  </si>
  <si>
    <t>Page, Line, Col.</t>
  </si>
  <si>
    <t>Company Total</t>
  </si>
  <si>
    <t xml:space="preserve">                  Allocator</t>
  </si>
  <si>
    <t>(Col 3 times Col 4)</t>
  </si>
  <si>
    <t>NA</t>
  </si>
  <si>
    <t xml:space="preserve">  Transmission</t>
  </si>
  <si>
    <t>W/S</t>
  </si>
  <si>
    <t>GP=</t>
  </si>
  <si>
    <t>NET PLANT IN SERVICE</t>
  </si>
  <si>
    <t>NP=</t>
  </si>
  <si>
    <t>GP</t>
  </si>
  <si>
    <t xml:space="preserve">  Transmission </t>
  </si>
  <si>
    <t xml:space="preserve">     Less Account 565</t>
  </si>
  <si>
    <t xml:space="preserve">  A&amp;G</t>
  </si>
  <si>
    <t xml:space="preserve">  LABOR RELATED</t>
  </si>
  <si>
    <t xml:space="preserve">          Payroll</t>
  </si>
  <si>
    <t xml:space="preserve">  PLANT RELATED</t>
  </si>
  <si>
    <t xml:space="preserve">         Property</t>
  </si>
  <si>
    <t xml:space="preserve">         Gross Receipts</t>
  </si>
  <si>
    <t xml:space="preserve">         Other</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</si>
  <si>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</si>
  <si>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</si>
  <si>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</si>
  <si>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</si>
  <si>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</si>
  <si>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</si>
  <si>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</si>
  <si>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</si>
  <si>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</si>
  <si>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</si>
  <si>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</si>
  <si>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</si>
  <si>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 Allocation)</t>
  </si>
  <si>
    <t>=</t>
  </si>
  <si>
    <t>WS</t>
  </si>
  <si>
    <t>RETURN (R)</t>
  </si>
  <si>
    <t>Cost</t>
  </si>
  <si>
    <t>%</t>
  </si>
  <si>
    <t>Weighted</t>
  </si>
  <si>
    <t>=WCLTD</t>
  </si>
  <si>
    <t>=R</t>
  </si>
  <si>
    <t>General Note:  References to pages in this formulary rate are indicated as:  (page#, line#, col.#)</t>
  </si>
  <si>
    <t>Note</t>
  </si>
  <si>
    <t>Letter</t>
  </si>
  <si>
    <t>A</t>
  </si>
  <si>
    <t>B</t>
  </si>
  <si>
    <t>C</t>
  </si>
  <si>
    <t>D</t>
  </si>
  <si>
    <t>E</t>
  </si>
  <si>
    <t>F</t>
  </si>
  <si>
    <t>G</t>
  </si>
  <si>
    <t>H</t>
  </si>
  <si>
    <t>I</t>
  </si>
  <si>
    <t>J</t>
  </si>
  <si>
    <t xml:space="preserve">         Inputs Required:</t>
  </si>
  <si>
    <t>FIT =</t>
  </si>
  <si>
    <t>SIT=</t>
  </si>
  <si>
    <t>p =</t>
  </si>
  <si>
    <t>Rate Formula Template</t>
  </si>
  <si>
    <t>May</t>
  </si>
  <si>
    <t>April</t>
  </si>
  <si>
    <t>Year</t>
  </si>
  <si>
    <t>DA</t>
  </si>
  <si>
    <t>December</t>
  </si>
  <si>
    <t>November</t>
  </si>
  <si>
    <t>September</t>
  </si>
  <si>
    <t>August</t>
  </si>
  <si>
    <t>July</t>
  </si>
  <si>
    <t>March</t>
  </si>
  <si>
    <t>February</t>
  </si>
  <si>
    <t>January</t>
  </si>
  <si>
    <t>October</t>
  </si>
  <si>
    <t xml:space="preserve">  CWIP</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</si>
  <si>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</si>
  <si>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</si>
  <si>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</si>
  <si>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</si>
  <si>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</si>
  <si>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</si>
  <si>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</si>
  <si>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</si>
  <si>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</si>
  <si>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 xml:space="preserve">     Less Account 566 (Misc Trans Expense)</t>
  </si>
  <si>
    <t>Total Account 566</t>
  </si>
  <si>
    <t xml:space="preserve">   Amortization of Regulatory Asset</t>
  </si>
  <si>
    <t>Utilizing FERC Form 1 Data</t>
  </si>
  <si>
    <t>K</t>
  </si>
  <si>
    <t xml:space="preserve">  Unamortized Regulatory Asset </t>
  </si>
  <si>
    <t xml:space="preserve">  Unamortized Abandoned Plant  </t>
  </si>
  <si>
    <t>page 1 of 5</t>
  </si>
  <si>
    <t>(Note C)</t>
  </si>
  <si>
    <t>(Note D)</t>
  </si>
  <si>
    <t>page 2 of 5</t>
  </si>
  <si>
    <t>zero</t>
  </si>
  <si>
    <t xml:space="preserve">  CWC </t>
  </si>
  <si>
    <t>page 3 of 5</t>
  </si>
  <si>
    <t>Permanent Differences Tax Adjustment</t>
  </si>
  <si>
    <t>page 4 of 5</t>
  </si>
  <si>
    <t>WAGES &amp; SALARY ALLOCATOR  (W&amp;S)</t>
  </si>
  <si>
    <t xml:space="preserve">  Preferred Stock  (112.3.c)</t>
  </si>
  <si>
    <t>page 5 of 5</t>
  </si>
  <si>
    <t>References to data from FERC Form 1 are indicated as:  #.y.x  (page, line, column)</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</si>
  <si>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</si>
  <si>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(State Income Tax Rate or Composite SIT)</t>
  </si>
  <si>
    <t>(percent of federal income tax deductible for state purposes)</t>
  </si>
  <si>
    <t>M</t>
  </si>
  <si>
    <t>Removes transmission plant determined by Commission order to be state-jurisdictional according to the seven-factor test (until Form 1 balances are adjusted to reflect application of seven-factor test).</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</si>
  <si>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</si>
  <si>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</si>
  <si>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P</t>
  </si>
  <si>
    <t>Q</t>
  </si>
  <si>
    <t>R</t>
  </si>
  <si>
    <t>S</t>
  </si>
  <si>
    <t>T</t>
  </si>
  <si>
    <t>Gross Transmission Plant - Total</t>
  </si>
  <si>
    <t>Net Transmission Plant - Total</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</si>
  <si>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</si>
  <si>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</si>
  <si>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</si>
  <si>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</si>
  <si>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</si>
  <si>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</si>
  <si>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</si>
  <si>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</si>
  <si>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</si>
  <si>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</si>
  <si>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</si>
  <si>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</si>
  <si>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</si>
  <si>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</si>
  <si>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</si>
  <si>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</si>
  <si>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</si>
  <si>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</si>
  <si>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</si>
  <si>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</si>
  <si>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</si>
  <si>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</si>
  <si>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</si>
  <si>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</si>
  <si>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</si>
  <si>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</si>
  <si>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</si>
  <si>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</si>
  <si>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</si>
  <si>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</si>
  <si>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Annual Return Charge</t>
  </si>
  <si>
    <t>Annual Revenue Requirement</t>
  </si>
  <si>
    <t>True-Up Adjustment</t>
  </si>
  <si>
    <t>(Col. 3 * Col. 4)</t>
  </si>
  <si>
    <t>(Col. 6 * Col. 7)</t>
  </si>
  <si>
    <t>(Sum Col. 5, 8 &amp; 9)</t>
  </si>
  <si>
    <t>(Note F)</t>
  </si>
  <si>
    <t>2</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</si>
  <si>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</si>
  <si>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</si>
  <si>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</si>
  <si>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</si>
  <si>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</si>
  <si>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</si>
  <si>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</si>
  <si>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</si>
  <si>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 xml:space="preserve">Unamortized Abandoned Plant  </t>
  </si>
  <si>
    <t>15</t>
  </si>
  <si>
    <t>16</t>
  </si>
  <si>
    <t>(line 9 divided by line 1 col 3)</t>
  </si>
  <si>
    <t>Project Depreciation/Amortization Expense</t>
  </si>
  <si>
    <t>Incentive Return</t>
  </si>
  <si>
    <t>Incentive Return in basis Points</t>
  </si>
  <si>
    <t>Less Revenue Credits</t>
  </si>
  <si>
    <t>Notes:</t>
  </si>
  <si>
    <t xml:space="preserve">A </t>
  </si>
  <si>
    <t xml:space="preserve">B </t>
  </si>
  <si>
    <t xml:space="preserve">L </t>
  </si>
  <si>
    <t xml:space="preserve">N </t>
  </si>
  <si>
    <t>Total Annual Revenue Requirement</t>
  </si>
  <si>
    <t>Project Revenue Requirement Worksheet</t>
  </si>
  <si>
    <t>Attachment 1</t>
  </si>
  <si>
    <t>Attachment 3</t>
  </si>
  <si>
    <t>Attachment 4</t>
  </si>
  <si>
    <t>Attachment 5</t>
  </si>
  <si>
    <t>Attachment 6</t>
  </si>
  <si>
    <t>Attachment 7</t>
  </si>
  <si>
    <t>ROE will be supported in the original filing and no change in ROE may be made absent a filing with FERC.</t>
  </si>
  <si>
    <t>December Prior Year</t>
  </si>
  <si>
    <t xml:space="preserve">December </t>
  </si>
  <si>
    <t>Line No</t>
  </si>
  <si>
    <t>(a)</t>
  </si>
  <si>
    <t>(b)</t>
  </si>
  <si>
    <t>(c)</t>
  </si>
  <si>
    <t>(d)</t>
  </si>
  <si>
    <t>(f)</t>
  </si>
  <si>
    <t>(e)</t>
  </si>
  <si>
    <t>(g)</t>
  </si>
  <si>
    <t>(h)</t>
  </si>
  <si>
    <t>(i)</t>
  </si>
  <si>
    <t>Source</t>
  </si>
  <si>
    <t>Accumulated Depreciation</t>
  </si>
  <si>
    <t>Gross Plant In Service</t>
  </si>
  <si>
    <t>Working Capital</t>
  </si>
  <si>
    <t>CWIP</t>
  </si>
  <si>
    <t>LHFFU</t>
  </si>
  <si>
    <t>Adjustments to Rate Base</t>
  </si>
  <si>
    <t>U</t>
  </si>
  <si>
    <t>GROSS REVENUE REQUIREMENT</t>
  </si>
  <si>
    <t xml:space="preserve">TOTAL DEPRECIATION </t>
  </si>
  <si>
    <t xml:space="preserve">TAXES OTHER THAN INCOME TAXES </t>
  </si>
  <si>
    <t>TOTAL OTHER TAXES</t>
  </si>
  <si>
    <t>TOTAL GROSS PLANT</t>
  </si>
  <si>
    <t xml:space="preserve">TOTAL ACCUM. DEPRECIATION </t>
  </si>
  <si>
    <t xml:space="preserve">TOTAL ADJUSTMENTS </t>
  </si>
  <si>
    <t>TOTAL NET PLANT</t>
  </si>
  <si>
    <t xml:space="preserve">TOTAL WORKING CAPITAL  </t>
  </si>
  <si>
    <t xml:space="preserve">WORKING CAPITAL </t>
  </si>
  <si>
    <t xml:space="preserve">RATE BASE </t>
  </si>
  <si>
    <t>TOTAL O&amp;M</t>
  </si>
  <si>
    <t xml:space="preserve">Total </t>
  </si>
  <si>
    <t>(Note H)</t>
  </si>
  <si>
    <t>(Note I)</t>
  </si>
  <si>
    <t xml:space="preserve">Total Transmission plant  </t>
  </si>
  <si>
    <t xml:space="preserve">Less Transmission plant included in OATT Ancillary Services  </t>
  </si>
  <si>
    <t>(Line 1 minus Lines 2 &amp; 3)</t>
  </si>
  <si>
    <t>(Line 4 divided by Line 1)</t>
  </si>
  <si>
    <t>(Sum of Lines 7 through 10)</t>
  </si>
  <si>
    <t xml:space="preserve">  Long Term Debt </t>
  </si>
  <si>
    <t>Amortized Investment Tax Credit</t>
  </si>
  <si>
    <t xml:space="preserve">Excess Deferred Income Taxes </t>
  </si>
  <si>
    <t xml:space="preserve">Income Tax Calculation </t>
  </si>
  <si>
    <t xml:space="preserve">ITC adjustment </t>
  </si>
  <si>
    <t xml:space="preserve">Excess Deferred Income Tax Adjustment </t>
  </si>
  <si>
    <t xml:space="preserve">Total Income Taxes </t>
  </si>
  <si>
    <t xml:space="preserve">     FIT &amp; SIT &amp; P</t>
  </si>
  <si>
    <t>(Note G)</t>
  </si>
  <si>
    <t>REV. REQUIREMENT</t>
  </si>
  <si>
    <t>Gross Receipts Taxes</t>
  </si>
  <si>
    <t>1</t>
  </si>
  <si>
    <t>18</t>
  </si>
  <si>
    <t>(j)</t>
  </si>
  <si>
    <t>Account No. 566 (Misc. Trans. Expense)</t>
  </si>
  <si>
    <t>Account No. 565</t>
  </si>
  <si>
    <t>Amortization of Abandoned Plant</t>
  </si>
  <si>
    <t>(k)</t>
  </si>
  <si>
    <t>V</t>
  </si>
  <si>
    <t>(Note 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</si>
  <si>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</si>
  <si>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</si>
  <si>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</si>
  <si>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</si>
  <si>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</si>
  <si>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</si>
  <si>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</si>
  <si>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</si>
  <si>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</si>
  <si>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 xml:space="preserve">Rate Base Worksheet </t>
  </si>
  <si>
    <t xml:space="preserve">Average of the 13 Monthly Balances </t>
  </si>
  <si>
    <t>Average of the 13 Monthly Balances</t>
  </si>
  <si>
    <t>Account No. 255
Accumulated Deferred Investment Credit</t>
  </si>
  <si>
    <t xml:space="preserve">  Production </t>
  </si>
  <si>
    <t xml:space="preserve">  Distribution </t>
  </si>
  <si>
    <t>Attachment 4, Line 14, Col. (b)</t>
  </si>
  <si>
    <t>Attachment 4, Line 14, Col. (c)</t>
  </si>
  <si>
    <t>207.75.g for end of year, records for other months</t>
  </si>
  <si>
    <t>219.20-24.c for end of year, records for other months</t>
  </si>
  <si>
    <t>219.26.c for end of year, records for other months</t>
  </si>
  <si>
    <t>Attachment 4, Line 14, Col. (h)</t>
  </si>
  <si>
    <t>Attachment 4, Line 14, Col. (i)</t>
  </si>
  <si>
    <t>354.21.b</t>
  </si>
  <si>
    <t>354.24,25,26.b</t>
  </si>
  <si>
    <t>(14)</t>
  </si>
  <si>
    <t>(15)</t>
  </si>
  <si>
    <t>Transmission O&amp;M Expenses</t>
  </si>
  <si>
    <t>Amortization of Regulatory Asset</t>
  </si>
  <si>
    <t>Depreciation Expense - Transmission</t>
  </si>
  <si>
    <t>Payroll Taxes</t>
  </si>
  <si>
    <t>Property Taxes</t>
  </si>
  <si>
    <t xml:space="preserve">  Common Stock</t>
  </si>
  <si>
    <t>Calculation of PBOP Expenses</t>
  </si>
  <si>
    <t>Tax Effect of Permanent Differences</t>
  </si>
  <si>
    <t>Attachment 4, Line 14, Col. (f) (Note C)</t>
  </si>
  <si>
    <t>PBOPs</t>
  </si>
  <si>
    <t>(Page 1 line 11)</t>
  </si>
  <si>
    <t>(Page 1 line 16)</t>
  </si>
  <si>
    <t>W</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</si>
  <si>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</si>
  <si>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</si>
  <si>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</si>
  <si>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For example, if the Commission were to grant a 137 basis point ROE incentive, the increase in return and taxes for a 100 basis point</t>
  </si>
  <si>
    <t>Rate Base times Return</t>
  </si>
  <si>
    <t>Project True-Up</t>
  </si>
  <si>
    <t>Company shall be allowed recovery of costs related to interest rate locks.  Absent a Section 205 filing, Company shall not include in the Formula Rate, the gains, losses, or costs related to other hedges.</t>
  </si>
  <si>
    <t>(16)</t>
  </si>
  <si>
    <t>(Sum Col. 10 &amp; 12 Less Col. 13)</t>
  </si>
  <si>
    <t>Sum Col. 14 &amp; 15 
(Note G)</t>
  </si>
  <si>
    <t>(Note J)</t>
  </si>
  <si>
    <t>…</t>
  </si>
  <si>
    <t>Interest</t>
  </si>
  <si>
    <t>Excludes Asset Retirement Obligation balances</t>
  </si>
  <si>
    <t>(Page 2, Line 2, Column 3)</t>
  </si>
  <si>
    <t>The Tax Effect of Permanent Differences captures the differences in the income taxes due under the Federal and State calculations and the income taxes calculated in Attachment H that are not the result of a timing difference</t>
  </si>
  <si>
    <t>Attachment H, Page 3, Line Number</t>
  </si>
  <si>
    <t>Long Term Interest (117, sum of 62.c through 67.c)</t>
  </si>
  <si>
    <t>Preferred Dividends (118.29c) (positive number)</t>
  </si>
  <si>
    <t>Proprietary Capital (112.16.c)</t>
  </si>
  <si>
    <t>Common Stock</t>
  </si>
  <si>
    <t>111.57.c for end of year, records for other months</t>
  </si>
  <si>
    <t>Under/(Over)</t>
  </si>
  <si>
    <t>Rate Base</t>
  </si>
  <si>
    <t xml:space="preserve">  Preferred Stock  </t>
  </si>
  <si>
    <t xml:space="preserve">      WCLTD = Line 3</t>
  </si>
  <si>
    <t xml:space="preserve">       and FIT, SIT &amp; p are as given in footnote K.</t>
  </si>
  <si>
    <t>Tax Effect of Permanent Differences  (Note B)</t>
  </si>
  <si>
    <t>Rate Base (line 1)</t>
  </si>
  <si>
    <t xml:space="preserve">     T=1 - {[(1 - SIT) * (1 - FIT)] / (1 - SIT * FIT * p)} =</t>
  </si>
  <si>
    <t>Requires approval by FERC of incentive return applicable to the specified project(s)</t>
  </si>
  <si>
    <t>(Note K)</t>
  </si>
  <si>
    <t xml:space="preserve">RATE BASE: </t>
  </si>
  <si>
    <t>DEPRECIATION EXPENSE  (Note U)</t>
  </si>
  <si>
    <t>The Unamortized Abandoned Plant balance is included in Net Plant, and Amortization of Abandoned Plant is included in Depreciation/Amortization Expense.</t>
  </si>
  <si>
    <t>Incentive ROE</t>
  </si>
  <si>
    <t>(Notes D &amp; I)</t>
  </si>
  <si>
    <t>(Notes E &amp; I)</t>
  </si>
  <si>
    <t>Ceiling Rate</t>
  </si>
  <si>
    <t>(Sum Col. 10 &amp; 12)</t>
  </si>
  <si>
    <t xml:space="preserve"> (12a)</t>
  </si>
  <si>
    <t xml:space="preserve">   Miscellaneous Transmission Expense (less amortization of regulatory asset)</t>
  </si>
  <si>
    <t>X</t>
  </si>
  <si>
    <t>Attachment H, Page 3, Line No.:</t>
  </si>
  <si>
    <t>Note:</t>
  </si>
  <si>
    <t>Note A</t>
  </si>
  <si>
    <t>Note B</t>
  </si>
  <si>
    <t xml:space="preserve">Note C  </t>
  </si>
  <si>
    <t>List of all reserves:</t>
  </si>
  <si>
    <r>
      <t>Enter 1 if NOT in a trust or</t>
    </r>
    <r>
      <rPr>
        <sz val="10"/>
        <rFont val="Times New Roman"/>
        <family val="1"/>
      </rPr>
      <t xml:space="preserve"> reserved account, enter zero (0) if included in a trust or reserved account </t>
    </r>
  </si>
  <si>
    <t>Enter 1 if the accrual account is included in the formula rate, enter (0) if  O if the accrual account is NOT included in the formula rate</t>
  </si>
  <si>
    <t xml:space="preserve">Allocation (Plant or Labor Allocator) </t>
  </si>
  <si>
    <t>Amount Allocated, col. c x col. d x col. e x col. f x col. g</t>
  </si>
  <si>
    <t>30a</t>
  </si>
  <si>
    <t>30b</t>
  </si>
  <si>
    <t>30c</t>
  </si>
  <si>
    <t>30d</t>
  </si>
  <si>
    <t>30e</t>
  </si>
  <si>
    <t>30f</t>
  </si>
  <si>
    <t>Recovery of regulatory asset is limited to any regulatory assets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</si>
  <si>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</si>
  <si>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Notes A &amp; E</t>
  </si>
  <si>
    <t>Notes B &amp; F</t>
  </si>
  <si>
    <t>Account No. 281
Accumulated Deferred Income Taxes (Note D)</t>
  </si>
  <si>
    <t>Account No. 282
Accumulated Deferred Income Taxes (Note D)</t>
  </si>
  <si>
    <t>Account No. 283
Accumulated Deferred Income Taxes (Note D)</t>
  </si>
  <si>
    <t>Actual Revenue</t>
  </si>
  <si>
    <t>Requirement</t>
  </si>
  <si>
    <t>Annual True-Up Calculation</t>
  </si>
  <si>
    <t xml:space="preserve">Net </t>
  </si>
  <si>
    <t>Net Revenue</t>
  </si>
  <si>
    <t xml:space="preserve">Revenue </t>
  </si>
  <si>
    <t>Income</t>
  </si>
  <si>
    <r>
      <t>Requirement</t>
    </r>
    <r>
      <rPr>
        <vertAlign val="superscript"/>
        <sz val="10"/>
        <color theme="1"/>
        <rFont val="Times New Roman"/>
        <family val="1"/>
      </rPr>
      <t>1</t>
    </r>
  </si>
  <si>
    <t>Received</t>
  </si>
  <si>
    <t>Monthly Interest Rate</t>
  </si>
  <si>
    <t>Interest Income (Expense)</t>
  </si>
  <si>
    <t>In Dollars</t>
  </si>
  <si>
    <t>Col. (b) + Col. (c)</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</si>
  <si>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</si>
  <si>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Annual Allocation Factor Revenue Credits</t>
  </si>
  <si>
    <t>Inclusive of any CWIP or unamortized abandoned plant included in rate base when authorized by FERC order less any prefunded AFUDC, if applicable.</t>
  </si>
  <si>
    <t xml:space="preserve"> Gross plant does not include Unamortized Abandoned Plant.</t>
  </si>
  <si>
    <t>Total Annual Revenue Requirements (Note A)</t>
  </si>
  <si>
    <t xml:space="preserve">  Unfunded Reserves (enter negative)</t>
  </si>
  <si>
    <t>GROSS PLANT IN SERVICE   (Notes U and R)</t>
  </si>
  <si>
    <t>ACCUMULATED DEPRECIATION  (Notes U and R)</t>
  </si>
  <si>
    <t>ADJUSTMENTS TO RATE BASE  (Note R)</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</si>
  <si>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</si>
  <si>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Prior Period</t>
  </si>
  <si>
    <t>Attachment 4, Line 28, Col. (h) (Notes B and X)</t>
  </si>
  <si>
    <t xml:space="preserve">LAND HELD FOR FUTURE USE  </t>
  </si>
  <si>
    <t xml:space="preserve"> Total  (W&amp; S Allocator is 1 if lines 7-10 are zero)</t>
  </si>
  <si>
    <t>Reserved</t>
  </si>
  <si>
    <t>GENERAL, INTANGIBLE AND COMMON (G&amp;C) DEPRECIATION EXPENSE</t>
  </si>
  <si>
    <t>Annual Allocation Factor for G, I &amp; C Depreciation Expense</t>
  </si>
  <si>
    <t>Total G, I &amp; C Depreciation Expense</t>
  </si>
  <si>
    <t>(line 14 divided by line 2 col 3)</t>
  </si>
  <si>
    <t>Gross Transmission Plant is that identified on page 2 line 2 of Attachment H</t>
  </si>
  <si>
    <t>The Total General, Intangible and Common Depreciation Expense excludes any depreciation expense directly associated with a project and thereby included in page 2 column 9.</t>
  </si>
  <si>
    <t>Net Rev Req</t>
  </si>
  <si>
    <t>Total  (sum lines 3-5)</t>
  </si>
  <si>
    <t>increase in ROE would be multiplied by 1.37 on Attachment 1 column 12.</t>
  </si>
  <si>
    <t>a 100 basis point increase in ROE.  Any actual ROE incentive must be approved by the Commission.</t>
  </si>
  <si>
    <r>
      <t>Revenue Received</t>
    </r>
    <r>
      <rPr>
        <vertAlign val="superscript"/>
        <sz val="10"/>
        <color theme="1"/>
        <rFont val="Times New Roman"/>
        <family val="1"/>
      </rPr>
      <t>3</t>
    </r>
  </si>
  <si>
    <t>% of</t>
  </si>
  <si>
    <t>Revenue</t>
  </si>
  <si>
    <t>Total True-Up</t>
  </si>
  <si>
    <r>
      <t>Requirement</t>
    </r>
    <r>
      <rPr>
        <vertAlign val="superscript"/>
        <sz val="10"/>
        <color theme="1"/>
        <rFont val="Times New Roman"/>
        <family val="1"/>
      </rPr>
      <t>2</t>
    </r>
  </si>
  <si>
    <r>
      <t xml:space="preserve">Adjustment </t>
    </r>
    <r>
      <rPr>
        <vertAlign val="superscript"/>
        <sz val="10"/>
        <rFont val="Times New Roman"/>
        <family val="1"/>
      </rPr>
      <t>5</t>
    </r>
  </si>
  <si>
    <r>
      <t>(Expense)</t>
    </r>
    <r>
      <rPr>
        <vertAlign val="superscript"/>
        <sz val="10"/>
        <color theme="1"/>
        <rFont val="Times New Roman"/>
        <family val="1"/>
      </rPr>
      <t>4</t>
    </r>
  </si>
  <si>
    <t>3a</t>
  </si>
  <si>
    <t>3b</t>
  </si>
  <si>
    <t>3c</t>
  </si>
  <si>
    <t>(Note B)</t>
  </si>
  <si>
    <t>Prior Period Adjustment is the amount of an adjustment to correct an error in a prior period.  The FERC Refund interest rate specified in CFR 35.19(a) for the period up to the date the projected rates that are subject to True Up here went into effect.</t>
  </si>
  <si>
    <t xml:space="preserve">CWIP in Rate Base </t>
  </si>
  <si>
    <t>Account No. 190
Accumulated Deferred Income Taxes (Note D)</t>
  </si>
  <si>
    <t>Attachment H, Page 2, Line No:</t>
  </si>
  <si>
    <t>Unfunded Reserves    (Notes G &amp; H)</t>
  </si>
  <si>
    <t>Recovery of abandoned plant is limited to any abandoned plant recovery authorized by FERC.</t>
  </si>
  <si>
    <t>Includes only CWIP authorized by the Commission for inclusion in rate base.  The annual report filed pursuant to Section 7 of the Protocols will include for each project under construction (i) the CWIP balance eligible for inclusion in rate base; (ii) the CWIP balance ineligible for inclusion in rate base; and</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</si>
  <si>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</si>
  <si>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Attachment H, Pages 3 and 4, Worksheet</t>
  </si>
  <si>
    <t>Form No. 1</t>
  </si>
  <si>
    <t>321.112.b</t>
  </si>
  <si>
    <t>321.97.b</t>
  </si>
  <si>
    <t>321.96.b</t>
  </si>
  <si>
    <t>Portion of Account 566</t>
  </si>
  <si>
    <t>Balance of Account 566</t>
  </si>
  <si>
    <t>336.7.b, d &amp; e</t>
  </si>
  <si>
    <t>(Note S)</t>
  </si>
  <si>
    <t>(Note W)</t>
  </si>
  <si>
    <t>Note A:</t>
  </si>
  <si>
    <t>True-Up Interest Rate</t>
  </si>
  <si>
    <t>N</t>
  </si>
  <si>
    <t xml:space="preserve">Facilities that provide Wholesale Distribution Service are not to be listed as projects on lines 15, the revenue requirements associated with these facilities are calculated on Attachment 11 </t>
  </si>
  <si>
    <t>over the remaining months of the Rate Year.</t>
  </si>
  <si>
    <t xml:space="preserve">4) Interest from Attachment 6. </t>
  </si>
  <si>
    <t>Unamortized Abandoned Plant and Amortization of Abandoned Plant will be zero until the Commission accepts or approves recovery of the cost of abandoned plant.  Utility must receive FERC authorization before recovering the cost of abandoned plant.</t>
  </si>
  <si>
    <t>When an updated projected net revenue requirement is posted due to an asset acquisition as provided for in the Protocols, the difference between the updated net revenue requirement in Col (16) and the revenues collected to date will be recovered</t>
  </si>
  <si>
    <t>Actual</t>
  </si>
  <si>
    <t>Projected</t>
  </si>
  <si>
    <t>(E, Line 2 ) x (D)</t>
  </si>
  <si>
    <t>Collection  (F)-(E)</t>
  </si>
  <si>
    <t>(G) + (H) + (I)</t>
  </si>
  <si>
    <t>3) The "Revenue Received" on line 2, Col. (E), is the total amount of revenue distributed to company in the  year as shown on  pages 328-330 of the Form No 1. The Revenue Received is input on line 2, Col. E excludes any True-Up revenues.</t>
  </si>
  <si>
    <t xml:space="preserve">      Column E, lines 3 are the dollar amounts of Revenue Received reflecting the % in Column D.  This assigns to each project a percentage of the revenue received based on the percentage of the Projected Net Revenue Requirement in Column C.</t>
  </si>
  <si>
    <t>5)  Prior Period Adjustment from line 5 is pro rata  to each project, unless the error was project specific.</t>
  </si>
  <si>
    <t>Rate Year being Trued-Up</t>
  </si>
  <si>
    <t>Revenue Requirement Projected</t>
  </si>
  <si>
    <t>For Rate Year</t>
  </si>
  <si>
    <t>True-Up Adjustment is calculated on the Project True-up Schedule for the Rate Year</t>
  </si>
  <si>
    <t>Page 1 of 1</t>
  </si>
  <si>
    <t>Preferred Stock balance will reflect the 13 month average of the balances, of which the 1st and 13th are found on page 112 line 3.c &amp; d in the Form No. 1</t>
  </si>
  <si>
    <t xml:space="preserve">     T=1 - {[(1 - SIT) * (1 - FIT)] / (1 - SIT * FIT * p)}</t>
  </si>
  <si>
    <t>Page 1 of 2</t>
  </si>
  <si>
    <t>Calculate using 13 month average balance, except ADIT.</t>
  </si>
  <si>
    <t>Enter the percentage paid for by the transmission formula customers</t>
  </si>
  <si>
    <t>Project Net Plant or CWIP Balance</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</si>
  <si>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the RTO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</si>
  <si>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 xml:space="preserve">Project Name </t>
  </si>
  <si>
    <t>205.46.g for end of year, records for other months</t>
  </si>
  <si>
    <t>[A]</t>
  </si>
  <si>
    <t>Competitive Bid Concession</t>
  </si>
  <si>
    <t>The Net Rev Req is the value to be used in the rate calculation under the applicable Schedule under the PJM OATT for each project.</t>
  </si>
  <si>
    <t>The Competitive Bid Concession is the reduction in revenue, if any, that the company agreed to, for instance, to be selected to build facilities as the result of a competitive process and equals the amount by which the annual revenue requirement is reduced from the ceiling rate</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</si>
  <si>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36).  Excess Deferred Income Taxes reduce income tax expense by the amount of the expense multiplied by (T/1-T).</t>
  </si>
  <si>
    <t>(Sum lines 7 &amp; 21)</t>
  </si>
  <si>
    <t>(Sum lines 23 &amp; 24)</t>
  </si>
  <si>
    <t>(Line 22 - line 25)</t>
  </si>
  <si>
    <t>(Line 26 / line 27)</t>
  </si>
  <si>
    <t xml:space="preserve">      Column D, lines 3 are sourced from the projected revenue requirement for the year at issue.</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</si>
  <si>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weighted cost of capital will be applied to the Regulatory Asset prior to the rate year when costs are first recovered. </t>
  </si>
  <si>
    <t>no amounts shall be credited to accounts 228.1 through 228.4 unless authorized by a regulatory authority or authorities to be collected in a utility’s rates.</t>
  </si>
  <si>
    <t>Y</t>
  </si>
  <si>
    <t>Attachment 4, Line 31, Col. (h)  (Note Y)</t>
  </si>
  <si>
    <t>REGIONAL NET REVENUE REQUIREMENT</t>
  </si>
  <si>
    <t>ZONAL NET REVENUE REQUIREMENT</t>
  </si>
  <si>
    <t>Regional True-up Adjustment with Interest</t>
  </si>
  <si>
    <t>REGIONAL NET REVENUE REQUIREMENT with TRUE-UP</t>
  </si>
  <si>
    <t>ZONAL NET REVENUE REQUIREMENT with TRUE-UP</t>
  </si>
  <si>
    <t>Zonal True-up Adjustment with Interest</t>
  </si>
  <si>
    <t xml:space="preserve">Zonal </t>
  </si>
  <si>
    <t>RTO Project Number or Zonal</t>
  </si>
  <si>
    <t>Zonal</t>
  </si>
  <si>
    <t>Projected balances are for the calendar year the revenue under this formula begins to be charged.</t>
  </si>
  <si>
    <t>Projected monthly balances that are expected to be included in 219.25.c for end of year and records for other months (Note I)</t>
  </si>
  <si>
    <t xml:space="preserve">For Projection </t>
  </si>
  <si>
    <t xml:space="preserve">ADIT Worksheet for Projection </t>
  </si>
  <si>
    <t>ADIT for the Projection</t>
  </si>
  <si>
    <t>(l)</t>
  </si>
  <si>
    <t>Beginning</t>
  </si>
  <si>
    <t>Weighting</t>
  </si>
  <si>
    <t>Beginning Balance/</t>
  </si>
  <si>
    <t>100% Allocator</t>
  </si>
  <si>
    <t>Plant</t>
  </si>
  <si>
    <t>Labor</t>
  </si>
  <si>
    <t>S/W Allocator</t>
  </si>
  <si>
    <t>Balance &amp;</t>
  </si>
  <si>
    <t xml:space="preserve"> for Projection</t>
  </si>
  <si>
    <t>Monthly Increment</t>
  </si>
  <si>
    <t>(f) x Allocator</t>
  </si>
  <si>
    <t xml:space="preserve"> Related</t>
  </si>
  <si>
    <t>(h) x Allocator</t>
  </si>
  <si>
    <t>Related</t>
  </si>
  <si>
    <t>(j) x Allocator</t>
  </si>
  <si>
    <t>ADIT</t>
  </si>
  <si>
    <t>Monthly</t>
  </si>
  <si>
    <t>(d) x [(g)+(i)+(k)]</t>
  </si>
  <si>
    <t>Changes</t>
  </si>
  <si>
    <t xml:space="preserve">From Attach H </t>
  </si>
  <si>
    <t>ADIT- 282</t>
  </si>
  <si>
    <t>Page 2, Line 18</t>
  </si>
  <si>
    <t>Page 4, Line 16</t>
  </si>
  <si>
    <t>Balance</t>
  </si>
  <si>
    <t>Increment</t>
  </si>
  <si>
    <t xml:space="preserve">Sum Ties to December </t>
  </si>
  <si>
    <t>ADIT-283</t>
  </si>
  <si>
    <t>Average</t>
  </si>
  <si>
    <t>ADIT-281</t>
  </si>
  <si>
    <t>ADIT-190</t>
  </si>
  <si>
    <t>For True-Up</t>
  </si>
  <si>
    <t>ADIT Worksheet for True-Up</t>
  </si>
  <si>
    <t>ADIT for True-Up</t>
  </si>
  <si>
    <t>from ADIT BOY</t>
  </si>
  <si>
    <t xml:space="preserve">and ADIT EOY </t>
  </si>
  <si>
    <t>workpapers</t>
  </si>
  <si>
    <t>ADIT BOY Worksheet</t>
  </si>
  <si>
    <t>Page 1 of 3</t>
  </si>
  <si>
    <t>Only</t>
  </si>
  <si>
    <t>a</t>
  </si>
  <si>
    <t>(From line 5 for the column)</t>
  </si>
  <si>
    <t>b</t>
  </si>
  <si>
    <t>(From line 17 for the column)</t>
  </si>
  <si>
    <t>c</t>
  </si>
  <si>
    <t>(From line 29 for the column)</t>
  </si>
  <si>
    <t>d</t>
  </si>
  <si>
    <t>Subtotal</t>
  </si>
  <si>
    <t>(Sum a - c)</t>
  </si>
  <si>
    <t>In filling out this attachment, a full and complete description of each item and justification for the allocation to Columns C-F and each separate ADIT item will be listed. Dissimilar items</t>
  </si>
  <si>
    <t>with amounts exceeding $100,000 will be listed separately.</t>
  </si>
  <si>
    <t>Gas, Prod</t>
  </si>
  <si>
    <t>Retail Or Other</t>
  </si>
  <si>
    <t xml:space="preserve">Plant </t>
  </si>
  <si>
    <t>Justification</t>
  </si>
  <si>
    <t>1a</t>
  </si>
  <si>
    <t>1b</t>
  </si>
  <si>
    <t>1c</t>
  </si>
  <si>
    <t>1d</t>
  </si>
  <si>
    <t>1e</t>
  </si>
  <si>
    <t>1f</t>
  </si>
  <si>
    <t>1g</t>
  </si>
  <si>
    <t>1h</t>
  </si>
  <si>
    <t>1i</t>
  </si>
  <si>
    <t>1j</t>
  </si>
  <si>
    <t>1k</t>
  </si>
  <si>
    <t>1l</t>
  </si>
  <si>
    <t>1m</t>
  </si>
  <si>
    <t>1n</t>
  </si>
  <si>
    <t>1o</t>
  </si>
  <si>
    <t>1p</t>
  </si>
  <si>
    <t>1q</t>
  </si>
  <si>
    <t>1r</t>
  </si>
  <si>
    <t>1s</t>
  </si>
  <si>
    <t>1t</t>
  </si>
  <si>
    <t>1u</t>
  </si>
  <si>
    <t>1v</t>
  </si>
  <si>
    <t>1w</t>
  </si>
  <si>
    <t>1x</t>
  </si>
  <si>
    <t>1y</t>
  </si>
  <si>
    <t>1z</t>
  </si>
  <si>
    <t>1aa</t>
  </si>
  <si>
    <t>1ab</t>
  </si>
  <si>
    <t>1ac</t>
  </si>
  <si>
    <t>1ad</t>
  </si>
  <si>
    <t>1ae</t>
  </si>
  <si>
    <t>1af</t>
  </si>
  <si>
    <t>1ag</t>
  </si>
  <si>
    <t>1ah</t>
  </si>
  <si>
    <t>1ai</t>
  </si>
  <si>
    <t>1aj</t>
  </si>
  <si>
    <t>1ak</t>
  </si>
  <si>
    <t>1al</t>
  </si>
  <si>
    <t>1am</t>
  </si>
  <si>
    <t>1an</t>
  </si>
  <si>
    <t>1ao</t>
  </si>
  <si>
    <t>1ap</t>
  </si>
  <si>
    <t>1aq</t>
  </si>
  <si>
    <t>1ar</t>
  </si>
  <si>
    <t>1as</t>
  </si>
  <si>
    <t>1at</t>
  </si>
  <si>
    <t>1au</t>
  </si>
  <si>
    <t>1av</t>
  </si>
  <si>
    <t>1aw</t>
  </si>
  <si>
    <t>1ax</t>
  </si>
  <si>
    <t>1ay</t>
  </si>
  <si>
    <t>1az</t>
  </si>
  <si>
    <t>1ba</t>
  </si>
  <si>
    <t>1bb</t>
  </si>
  <si>
    <t>1bc</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</si>
  <si>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</si>
  <si>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</si>
  <si>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</si>
  <si>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</si>
  <si>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</si>
  <si>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other than general plant, intangible plant or common plant and not in Columns C &amp; D are included in Column E</t>
  </si>
  <si>
    <t>4.  ADIT items related to labor, general plant, intangible plant, or common plant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</si>
  <si>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
  </si>
  <si>
    <t>the associated ADIT amount shall be excluded</t>
  </si>
  <si>
    <t>Page 2 of 3</t>
  </si>
  <si>
    <t>13a</t>
  </si>
  <si>
    <t>13b</t>
  </si>
  <si>
    <t>13c</t>
  </si>
  <si>
    <t>13d</t>
  </si>
  <si>
    <t>13e</t>
  </si>
  <si>
    <t>13f</t>
  </si>
  <si>
    <t>13g</t>
  </si>
  <si>
    <t>13h</t>
  </si>
  <si>
    <t>Instructions for Account 282:</t>
  </si>
  <si>
    <t>Page 3 of 3</t>
  </si>
  <si>
    <t>25a</t>
  </si>
  <si>
    <t>25b</t>
  </si>
  <si>
    <t>25c</t>
  </si>
  <si>
    <t>25d</t>
  </si>
  <si>
    <t>25e</t>
  </si>
  <si>
    <t>25f</t>
  </si>
  <si>
    <t>25g</t>
  </si>
  <si>
    <t>25h</t>
  </si>
  <si>
    <t>25i</t>
  </si>
  <si>
    <t>25j</t>
  </si>
  <si>
    <t>25k</t>
  </si>
  <si>
    <t>25l</t>
  </si>
  <si>
    <t>25m</t>
  </si>
  <si>
    <t>25n</t>
  </si>
  <si>
    <t>25o</t>
  </si>
  <si>
    <t>25p</t>
  </si>
  <si>
    <t>25q</t>
  </si>
  <si>
    <t>25r</t>
  </si>
  <si>
    <t>25s</t>
  </si>
  <si>
    <t>25t</t>
  </si>
  <si>
    <t>25u</t>
  </si>
  <si>
    <t>25v</t>
  </si>
  <si>
    <t>25w</t>
  </si>
  <si>
    <t>25x</t>
  </si>
  <si>
    <t>25y</t>
  </si>
  <si>
    <t>25z</t>
  </si>
  <si>
    <t>25aa</t>
  </si>
  <si>
    <t>25ab</t>
  </si>
  <si>
    <t>25ac</t>
  </si>
  <si>
    <t>25ad</t>
  </si>
  <si>
    <t>25ae</t>
  </si>
  <si>
    <t>25af</t>
  </si>
  <si>
    <t>….</t>
  </si>
  <si>
    <t>Instructions for Account 283:</t>
  </si>
  <si>
    <t>ADIT EOY Worksheet</t>
  </si>
  <si>
    <t>Account 454 - Rent from Electric Property</t>
  </si>
  <si>
    <t>Schedule 1A</t>
  </si>
  <si>
    <t>PJM Transitional Revenue Neutrality (Note 1)</t>
  </si>
  <si>
    <t>PJM Transitional Market Expansion (Note 1)</t>
  </si>
  <si>
    <t>Revenues from Directly Assigned Transmission Facility Charges (Note 2)</t>
  </si>
  <si>
    <t>Gross Revenue Credits</t>
  </si>
  <si>
    <t>Total Rent Revenues</t>
  </si>
  <si>
    <t>Professional Services (Note 3)</t>
  </si>
  <si>
    <t>Rent or Attachment Fees associated with Transmission Facilities (Note 3)</t>
  </si>
  <si>
    <t>Less line 17g</t>
  </si>
  <si>
    <t>Total Revenue Credits</t>
  </si>
  <si>
    <t>Revenue Adjustment to determine Revenue Credit</t>
  </si>
  <si>
    <t xml:space="preserve"> 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t>
  </si>
  <si>
    <t>17a</t>
  </si>
  <si>
    <t>Revenues included in lines 1-11 which are subject to 50/50 sharing.</t>
  </si>
  <si>
    <t>17b</t>
  </si>
  <si>
    <t>Costs associated with revenues in line 17a</t>
  </si>
  <si>
    <t>17c</t>
  </si>
  <si>
    <t>Net Revenues  (17a - 17b)</t>
  </si>
  <si>
    <t>17d</t>
  </si>
  <si>
    <t>50% Share of Net Revenues  (17c / 2)</t>
  </si>
  <si>
    <t>17e</t>
  </si>
  <si>
    <t>Costs associated with revenues in line 17a that are included in FERC accounts recovered through the formula times the allocator used to functionalize the amounts in the FERC account to the transmission service at issue.</t>
  </si>
  <si>
    <t>17f</t>
  </si>
  <si>
    <t>Net Revenue Credit (17d + 17e)</t>
  </si>
  <si>
    <t>17g</t>
  </si>
  <si>
    <t>Line 17f less line 17a</t>
  </si>
  <si>
    <t>Total Account 454, 456 and 456.1</t>
  </si>
  <si>
    <t>Cost Item</t>
  </si>
  <si>
    <t>22a</t>
  </si>
  <si>
    <t>22b</t>
  </si>
  <si>
    <t>Total Lines 22</t>
  </si>
  <si>
    <t>(line 1 minus line 2)</t>
  </si>
  <si>
    <t>Attachment 5A - Revenue Credit Workpaper</t>
  </si>
  <si>
    <t>Attachment 5B - A&amp;G Workpaper</t>
  </si>
  <si>
    <t>Attachment 4D - Intangible Plant Workpaper</t>
  </si>
  <si>
    <t>27a</t>
  </si>
  <si>
    <t>Pension Asset</t>
  </si>
  <si>
    <t>Pension Asset booked to Account 186</t>
  </si>
  <si>
    <t>From PJM</t>
  </si>
  <si>
    <t xml:space="preserve">  Outstanding Network Credits</t>
  </si>
  <si>
    <t>INTEREST ON NETWORK CREDITS</t>
  </si>
  <si>
    <t xml:space="preserve">  Less Accum. Deprec. associated with Facilities with Outstanding Network Credits</t>
  </si>
  <si>
    <t>Less Account 219.1 (112.15.c)  (enter negative)</t>
  </si>
  <si>
    <t>219.28.c for end of year, records for other months</t>
  </si>
  <si>
    <t xml:space="preserve">General </t>
  </si>
  <si>
    <t xml:space="preserve">Depreciation Expense - General </t>
  </si>
  <si>
    <t>336.10.b, d &amp; e</t>
  </si>
  <si>
    <t>Depreciation Expense</t>
  </si>
  <si>
    <t>Competitive Bid Concessions</t>
  </si>
  <si>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demonstration in (iii) above</t>
  </si>
  <si>
    <t xml:space="preserve">  will show that monthly debts and credits do not contain entries for AFUDC for each CWIP project in rate base. </t>
  </si>
  <si>
    <t>207.99.g  minus 207.98.g for end of year, records for other months</t>
  </si>
  <si>
    <t>207.58.g minus 207.57.g.  Projected monthly balances that are the amounts expected to be included in 207.58.g for end of year and records for other months (Note I)</t>
  </si>
  <si>
    <t>Old Schedule 12 Project 1</t>
  </si>
  <si>
    <t>Old Schedule 12 Project 2</t>
  </si>
  <si>
    <t>Old Schedule 12 Project 3</t>
  </si>
  <si>
    <t>Old Schedule 12 Project 4</t>
  </si>
  <si>
    <t>(Attachment 2, Line 28 /100 * Col. 11 * Col. 6)</t>
  </si>
  <si>
    <t>(1) The FERC Quarterly Interest Rate in column [A] is the interest applicable to the Month indicated.</t>
  </si>
  <si>
    <t>Month (Note A)</t>
  </si>
  <si>
    <t xml:space="preserve">Average of lines 1-17 above </t>
  </si>
  <si>
    <t>21a</t>
  </si>
  <si>
    <t>21b</t>
  </si>
  <si>
    <t>21c</t>
  </si>
  <si>
    <t>17 Months</t>
  </si>
  <si>
    <t>Line 18 above</t>
  </si>
  <si>
    <t>Col. C x Col D x Col E</t>
  </si>
  <si>
    <t>Total PBOP expenses allowed (Note A)</t>
  </si>
  <si>
    <t>Total PBOP Expenses in A&amp;G in the current year</t>
  </si>
  <si>
    <t>PBOP Adjustment</t>
  </si>
  <si>
    <t>Line 1 minus line 2</t>
  </si>
  <si>
    <t>PECO Energy Company</t>
  </si>
  <si>
    <t>Accounts 561.4 and 561.8</t>
  </si>
  <si>
    <t>321.88.b &amp; 92.b</t>
  </si>
  <si>
    <t>Total Intangible Plant</t>
  </si>
  <si>
    <t>S&amp;W Allocation</t>
  </si>
  <si>
    <t>Gross Plant Allocation</t>
  </si>
  <si>
    <t>Non-Recoverable</t>
  </si>
  <si>
    <t>Administrative and General Salaries</t>
  </si>
  <si>
    <t>Office Supplies and Expenses</t>
  </si>
  <si>
    <t>Administrative Expenses Transferred-Credit</t>
  </si>
  <si>
    <t>Outside Service Employed</t>
  </si>
  <si>
    <t>Property Insurance</t>
  </si>
  <si>
    <t>Injuries and Damages</t>
  </si>
  <si>
    <t xml:space="preserve">Employee Pensions and Benefits </t>
  </si>
  <si>
    <t>Franchise Requirements</t>
  </si>
  <si>
    <t>Duplicate Charges-Credit</t>
  </si>
  <si>
    <t>Rents</t>
  </si>
  <si>
    <t>Maintenance of General Plant</t>
  </si>
  <si>
    <t>Allocation Factor</t>
  </si>
  <si>
    <t xml:space="preserve">     Less Accounts 561.4 and 561.8</t>
  </si>
  <si>
    <t>PJM Project Number or Zonal</t>
  </si>
  <si>
    <t>The Account 216.1 balance is input only if positive number in the FERC Form No. 1 (112.12.c).</t>
  </si>
  <si>
    <t>Electric</t>
  </si>
  <si>
    <t>Common</t>
  </si>
  <si>
    <t>Zero</t>
  </si>
  <si>
    <t>(except ADIT which is the amount shown on Attachment 4A)</t>
  </si>
  <si>
    <t>Attachment 4A, line 20 for the projection and line 44 for the true-up</t>
  </si>
  <si>
    <t>Attachment 4A, line 14 for the projection and line 38 for the true-up</t>
  </si>
  <si>
    <t>Attachment 4A, line 17 for the projection and line 41 for the true-up</t>
  </si>
  <si>
    <t>Attachment 4A, line 34 for the projection and line 47 for the true-up</t>
  </si>
  <si>
    <t>Attachment 4, Line 14, Col. (j)</t>
  </si>
  <si>
    <t>Attachment 4, Line 14, Col. (k)</t>
  </si>
  <si>
    <t>Attachment 4, Line 14, Col. (e)</t>
  </si>
  <si>
    <t>Less Account 216.1 (112.12.c)  (enter negative) (Note D)</t>
  </si>
  <si>
    <t xml:space="preserve">         Misc.</t>
  </si>
  <si>
    <t xml:space="preserve">Less Transmission plant excluded from PJM rates  </t>
  </si>
  <si>
    <t>Transmission plant included in PJM rates</t>
  </si>
  <si>
    <t xml:space="preserve">Percentage of Transmission plant included in PJM Rates  </t>
  </si>
  <si>
    <t>Revenues associated with transmission service not provided under the PJM OATT (Note 4)</t>
  </si>
  <si>
    <t xml:space="preserve">  General</t>
  </si>
  <si>
    <t xml:space="preserve">  Intangible</t>
  </si>
  <si>
    <t xml:space="preserve">   Account 566</t>
  </si>
  <si>
    <t xml:space="preserve">   PBOP Adjustment</t>
  </si>
  <si>
    <t>FERC Account</t>
  </si>
  <si>
    <t>O&amp;M Cost to Achieve Included in O&amp;M Above</t>
  </si>
  <si>
    <t>O&amp;M Cost To Achieve</t>
  </si>
  <si>
    <t>Constellation Merger</t>
  </si>
  <si>
    <t>PHI Merger</t>
  </si>
  <si>
    <t>b0269</t>
  </si>
  <si>
    <t>b0287</t>
  </si>
  <si>
    <t>b1591</t>
  </si>
  <si>
    <t>b0269.6</t>
  </si>
  <si>
    <t>b0171.1</t>
  </si>
  <si>
    <t>b1590.1</t>
  </si>
  <si>
    <t>b1398.8</t>
  </si>
  <si>
    <t>b1398.13 (b2572)</t>
  </si>
  <si>
    <t>b1398.6 (b1590.1 &amp; 1590.2)</t>
  </si>
  <si>
    <t>b0727</t>
  </si>
  <si>
    <t>b2140</t>
  </si>
  <si>
    <t>b1182</t>
  </si>
  <si>
    <t>b1717</t>
  </si>
  <si>
    <t>b1178</t>
  </si>
  <si>
    <t>b0790</t>
  </si>
  <si>
    <t>b0506</t>
  </si>
  <si>
    <t>b0505</t>
  </si>
  <si>
    <t>b0789</t>
  </si>
  <si>
    <t>b0206</t>
  </si>
  <si>
    <t>b0207</t>
  </si>
  <si>
    <t>b0208</t>
  </si>
  <si>
    <t>b0209</t>
  </si>
  <si>
    <t>b0264</t>
  </si>
  <si>
    <t>b0357</t>
  </si>
  <si>
    <t>Old Schedule 12 Project 5</t>
  </si>
  <si>
    <t>Old Schedule 12 Project 6</t>
  </si>
  <si>
    <t>Old Schedule 12 Project 7</t>
  </si>
  <si>
    <t>Old Schedule 12 Project 8</t>
  </si>
  <si>
    <t>Old Schedule 12 Project 9</t>
  </si>
  <si>
    <t>Old Schedule 12 Project 11</t>
  </si>
  <si>
    <t>Old Schedule 12 Project 12</t>
  </si>
  <si>
    <t>Old Schedule 12 Project 13</t>
  </si>
  <si>
    <t>Old Schedule 12 Project 14</t>
  </si>
  <si>
    <t>Old Schedule 12 Project 15</t>
  </si>
  <si>
    <t>Old Schedule 12 Project 16</t>
  </si>
  <si>
    <t>Old Schedule 12 Project 17</t>
  </si>
  <si>
    <t>Old Schedule 12 Project 18</t>
  </si>
  <si>
    <t>Old Schedule 12 Project 19</t>
  </si>
  <si>
    <t>Old Schedule 12 Project 20</t>
  </si>
  <si>
    <t>Old Schedule 12 Project 22</t>
  </si>
  <si>
    <t>Old Schedule 12 Project 23</t>
  </si>
  <si>
    <t>Old Schedule 12 Project 24</t>
  </si>
  <si>
    <t>Old Schedule 12 Project 25</t>
  </si>
  <si>
    <t>Old Schedule 12 Project 26</t>
  </si>
  <si>
    <t>Old Schedule 12 Project 27</t>
  </si>
  <si>
    <t>17h</t>
  </si>
  <si>
    <t>17i</t>
  </si>
  <si>
    <t>17j</t>
  </si>
  <si>
    <t>17k</t>
  </si>
  <si>
    <t>17l</t>
  </si>
  <si>
    <t>17m</t>
  </si>
  <si>
    <t>17o</t>
  </si>
  <si>
    <t>17p</t>
  </si>
  <si>
    <t>17q</t>
  </si>
  <si>
    <t>17r</t>
  </si>
  <si>
    <t>17s</t>
  </si>
  <si>
    <t>17u</t>
  </si>
  <si>
    <t>17v</t>
  </si>
  <si>
    <t>17w</t>
  </si>
  <si>
    <t>17x</t>
  </si>
  <si>
    <t>17y</t>
  </si>
  <si>
    <t>17z</t>
  </si>
  <si>
    <t>Attachment 1, line 17a, col. 15</t>
  </si>
  <si>
    <t>Attachment 1, line 18, col. 13</t>
  </si>
  <si>
    <t>(Sum of Lines 43 through 45)</t>
  </si>
  <si>
    <t>(Sum of Lines 26, 40, 41 &amp; 46)</t>
  </si>
  <si>
    <t>(Line 7 plus Line 8) Ties to 321.97.b</t>
  </si>
  <si>
    <t>Depreciation Expense - Common</t>
  </si>
  <si>
    <t>WCLTD = Page 4, Line 19</t>
  </si>
  <si>
    <t>(Attachment 5, line 10    Notes Q &amp; R)</t>
  </si>
  <si>
    <t>(Attachment 5, line 11   Notes Q &amp; R)</t>
  </si>
  <si>
    <t>(Attachment 5, line 12  Notes K, Q &amp; R)</t>
  </si>
  <si>
    <t>Cash Working Capital assigned to transmission is one-eighth of O&amp;M allocated to transmission at page 3, line 12, column 5 minus amortization of Regulatory Asset at page 3, line 7, column 5.  Prepayments are the electric related prepayments booked to Account No. 165 and reported on pages 111, line 57 in the Form 1.</t>
  </si>
  <si>
    <t>Regulatory Commission Expenses (Note E)</t>
  </si>
  <si>
    <t>Zonal on line 17a refers to all projects not qualifying for regional recovery</t>
  </si>
  <si>
    <t>Long Term Debt balance will reflect the 13 month average of the balances, of which the 1st and 13th are found on page 112 lines 18.c &amp; d to 21.c &amp; d in the Form No. 1, the cost is calculated by dividing line 3 by the Long Term Debt balance in line 10.</t>
  </si>
  <si>
    <t>Common Stock balance will reflect the 13 month average of the balances, of which the 1st and 13th are found on page 112 lines 3.c &amp; d,  12.c &amp; d, and 16.c &amp; d in the Form No. 1 as shown on lines 10-12 above</t>
  </si>
  <si>
    <t>Calculated on Attachment 4A.</t>
  </si>
  <si>
    <t>PECO Total</t>
  </si>
  <si>
    <t>Account 456 &amp; 456.1 - Other Electric Revenues (Note 1)</t>
  </si>
  <si>
    <t xml:space="preserve">Unfunded Reserves are customer contributed capital such as when Injuries and Damages expense is accrued but not yet incurred.  Also, pursuant to Special Instructions to Accounts 228.1 through 228.4, </t>
  </si>
  <si>
    <t>Attachment 3, Col. G + Col H</t>
  </si>
  <si>
    <t>Attachment 4, Line 14, Col. (g)</t>
  </si>
  <si>
    <t>Gross Plant</t>
  </si>
  <si>
    <t>IT NERC CIP - Transmission</t>
  </si>
  <si>
    <t>IT NERC CIP - Distribution</t>
  </si>
  <si>
    <t>Intangible - General</t>
  </si>
  <si>
    <t>Distribution</t>
  </si>
  <si>
    <t>(m)</t>
  </si>
  <si>
    <t>(n)</t>
  </si>
  <si>
    <t>(o)</t>
  </si>
  <si>
    <t>(p)</t>
  </si>
  <si>
    <t>(q)</t>
  </si>
  <si>
    <t>(r)</t>
  </si>
  <si>
    <t>Net Plant in Service</t>
  </si>
  <si>
    <t>Total Intangible - Transmission</t>
  </si>
  <si>
    <t>(s)</t>
  </si>
  <si>
    <t>=average(b:n)</t>
  </si>
  <si>
    <t>IT DSP - Distribution</t>
  </si>
  <si>
    <t>IT Smart Meter - Distribution</t>
  </si>
  <si>
    <t xml:space="preserve">  Pension Asset</t>
  </si>
  <si>
    <t>16a</t>
  </si>
  <si>
    <t>16b</t>
  </si>
  <si>
    <t>16c</t>
  </si>
  <si>
    <t>Consistent with 266.8.b, 266.17.b, 267.8.h &amp; 267.17.h</t>
  </si>
  <si>
    <t>Public Claims - Long term</t>
  </si>
  <si>
    <t>Electric Transmission</t>
  </si>
  <si>
    <t xml:space="preserve">Electric Distribution </t>
  </si>
  <si>
    <t>Electric Other</t>
  </si>
  <si>
    <t xml:space="preserve">Electric Production </t>
  </si>
  <si>
    <t>323.181.b to 323.196.b</t>
  </si>
  <si>
    <t>336.11.b, d &amp; e</t>
  </si>
  <si>
    <t>Other Payroll Related</t>
  </si>
  <si>
    <t>Other (capital stock, use taxes, etc.)</t>
  </si>
  <si>
    <t>b1590.1 and b1590.2 (cancelled b1398.6)</t>
  </si>
  <si>
    <t>Richmond-Waneeta 230 kV Line Re-conductor</t>
  </si>
  <si>
    <t>Whitpain 500 kV Circuit Breaker Addition</t>
  </si>
  <si>
    <t>Elroy-Hosensack 500 kV Line Rating Increase</t>
  </si>
  <si>
    <t>Camden-Richmond 230 kV Line Rating Increase</t>
  </si>
  <si>
    <t>Bryn Mawr-Plymouth 138 kV Line Rebuild</t>
  </si>
  <si>
    <t>Emilie 230-138 kV Transformer Addition</t>
  </si>
  <si>
    <t>Chichester-Saville 138 kV Line Re-conductor</t>
  </si>
  <si>
    <t>Waneeta 230-138 kV Transformer Addition</t>
  </si>
  <si>
    <t>Chichester 230-138 kV Transformer Addition</t>
  </si>
  <si>
    <t>Bradford-Planebrook 230 kV Line Upgrades</t>
  </si>
  <si>
    <t>North Wales-Hartman 230 kV Line Re-conductor</t>
  </si>
  <si>
    <t>Planebrook 230 kV Capacitor Bank Addition</t>
  </si>
  <si>
    <t>Newlinville 230 kV Capacitor Bank Addition</t>
  </si>
  <si>
    <t>Chichester-Mickleton 230 kV Series Reactor Addition</t>
  </si>
  <si>
    <t>Buckingham-Pleasant Valley 230 kV Line Re-conductor</t>
  </si>
  <si>
    <t>IT Post 2010 and Other - Distribution</t>
  </si>
  <si>
    <t xml:space="preserve"> Note 3: Ratemaking treatment for the following specified secondary uses of transmission assets:  (1) right-of-way leases and leases for space on transmission facilities for telecommunications;  (2) transmission tower licenses for wireless antennas; (3) right-of-way property leases for farming, grazing or nurseries; (4) licenses of intellectual property (including a portable oil degasification process and scheduling software); and (5) transmission maintenance and consulting services (including energized circuit maintenance, high-voltage substation maintenance, safety training, transformer oil testing, and circuit breaker testing) to other utilities and large customers (collectively, products). Company will retain 50% of net revenues consistent with Pacific Gas and Electric Company, 90 FERC ¶ 61,314.  Note: in order to use lines 17a - 17g, the utility must track in separate subaccounts and by department the revenues and costs associated with each secondary use (except for the cost of the associated income taxes). The cost associated with the secondary transmission use is 3/4 of the total department costs.</t>
  </si>
  <si>
    <t>Accounts booked to</t>
  </si>
  <si>
    <t>3d</t>
  </si>
  <si>
    <t>3e</t>
  </si>
  <si>
    <t>3f</t>
  </si>
  <si>
    <t>3g</t>
  </si>
  <si>
    <t>3h</t>
  </si>
  <si>
    <t>3i</t>
  </si>
  <si>
    <t>3j</t>
  </si>
  <si>
    <t>3k</t>
  </si>
  <si>
    <t>3l</t>
  </si>
  <si>
    <t>3m</t>
  </si>
  <si>
    <t>3o</t>
  </si>
  <si>
    <t>3p</t>
  </si>
  <si>
    <t>3q</t>
  </si>
  <si>
    <t>3r</t>
  </si>
  <si>
    <t>3s</t>
  </si>
  <si>
    <t>3u</t>
  </si>
  <si>
    <t>3v</t>
  </si>
  <si>
    <t>3w</t>
  </si>
  <si>
    <t>3x</t>
  </si>
  <si>
    <t>3y</t>
  </si>
  <si>
    <t>3z</t>
  </si>
  <si>
    <t>Rent from Electric Property - Transmission Related, Subject to Sharing (Note 3)</t>
  </si>
  <si>
    <t>Rent from Electric Property - Transmission Related, Pass to Customers (Note 3)</t>
  </si>
  <si>
    <t>Intercompany Professional Services</t>
  </si>
  <si>
    <t>Total Amount</t>
  </si>
  <si>
    <t>Transmission Costs</t>
  </si>
  <si>
    <t>Total Costs</t>
  </si>
  <si>
    <t>S&amp;W Allocation Factor</t>
  </si>
  <si>
    <t>Costs Recovered Through A&amp;G Costs</t>
  </si>
  <si>
    <t>FERC Account 454</t>
  </si>
  <si>
    <t>Network Integration Credit</t>
  </si>
  <si>
    <t>Transmission Owner Scheduling Credits</t>
  </si>
  <si>
    <t>Revenue - Firm Point to Point</t>
  </si>
  <si>
    <t>Other</t>
  </si>
  <si>
    <t>100% Transmission</t>
  </si>
  <si>
    <t>Plant Related</t>
  </si>
  <si>
    <t>Labor Related</t>
  </si>
  <si>
    <t>Rent from Electric Distribution</t>
  </si>
  <si>
    <t>Rent from Electric Transmission</t>
  </si>
  <si>
    <t>Intercompany Rent</t>
  </si>
  <si>
    <t>Allocation Factors</t>
  </si>
  <si>
    <t>Allocated Amount</t>
  </si>
  <si>
    <t>FERC Account 456</t>
  </si>
  <si>
    <t>Decommissioning remittances to Generation</t>
  </si>
  <si>
    <t>Make Ready</t>
  </si>
  <si>
    <t>FERC Account 456.1</t>
  </si>
  <si>
    <t>24a</t>
  </si>
  <si>
    <t>24b</t>
  </si>
  <si>
    <t>24c</t>
  </si>
  <si>
    <t>24d</t>
  </si>
  <si>
    <t>Total  Lines 24</t>
  </si>
  <si>
    <t>Total  Lines 25</t>
  </si>
  <si>
    <t>Total  Lines 26</t>
  </si>
  <si>
    <t>26a</t>
  </si>
  <si>
    <t>26b</t>
  </si>
  <si>
    <t>26c</t>
  </si>
  <si>
    <t>26d</t>
  </si>
  <si>
    <t>ACCRUED BENEFITS</t>
  </si>
  <si>
    <t>Excluded because the underlying account(s) are not included in model</t>
  </si>
  <si>
    <t>ADDBACK OF NQSO EXPENSE</t>
  </si>
  <si>
    <t>ADDBACK OF OTHER EQUITY COMP EXPENSE</t>
  </si>
  <si>
    <t>AMORT-ORGANIZATIONAL COSTS</t>
  </si>
  <si>
    <t>BAD DEBT - CHANGE IN PROVISION</t>
  </si>
  <si>
    <t>CHARITABLE CARRYFORWARD</t>
  </si>
  <si>
    <t>CUSTOMER ADVANCES - CONSTRUCTION</t>
  </si>
  <si>
    <t>DEFERRED COMPENSATION</t>
  </si>
  <si>
    <t>FAS 112</t>
  </si>
  <si>
    <t xml:space="preserve">Gross Up-Bill E Credit </t>
  </si>
  <si>
    <t>INJURIES AND DAMAGE PAYMENTS</t>
  </si>
  <si>
    <t>MERGER COSTS NC</t>
  </si>
  <si>
    <t>OBSOLETE MATERIALS PROVISION</t>
  </si>
  <si>
    <t>OTHER CURRENT</t>
  </si>
  <si>
    <t>OTHER CURRENT REG ASSET</t>
  </si>
  <si>
    <t>POLE ATTACHMENT RESERVE</t>
  </si>
  <si>
    <t>RESERVE FOR EMPLOYEE LITIGATIONS Current</t>
  </si>
  <si>
    <t>SA UNBILLED RESERVE</t>
  </si>
  <si>
    <t>SECA REFUND</t>
  </si>
  <si>
    <t>SEPTA RAILROAD RENT</t>
  </si>
  <si>
    <t>SEVERANCE PMTS CHANGE IN PROVISION</t>
  </si>
  <si>
    <t>VEGETATION MGMT ACCRUAL</t>
  </si>
  <si>
    <t>WORKERS COMPENSATION RESERVE</t>
  </si>
  <si>
    <t xml:space="preserve">Included because plant in service is included in rate base.  </t>
  </si>
  <si>
    <t>Electric General</t>
  </si>
  <si>
    <t>AEC RECEIVABLE</t>
  </si>
  <si>
    <t>CAP FORGIVENESS REG ASSET</t>
  </si>
  <si>
    <t>CAP SHOPPING REG ASSET</t>
  </si>
  <si>
    <t>DSP 2 - REGULATORY ASSET</t>
  </si>
  <si>
    <t>ELEC RATE CASE EXP - REG ASSET</t>
  </si>
  <si>
    <t>HOLIDAY PAY CHANGE IN PROVISION</t>
  </si>
  <si>
    <t>FIN 47 ARO</t>
  </si>
  <si>
    <t>INCENTIVE PAY</t>
  </si>
  <si>
    <t>PENSION EXPENSE PROVISION</t>
  </si>
  <si>
    <t>POST RETIREMENT BENEFITS</t>
  </si>
  <si>
    <t>VACATION PAY CHANGE IN PROVISION</t>
  </si>
  <si>
    <t>ACT 129 SMART METER</t>
  </si>
  <si>
    <t>AMORT-BK-PREMIUMS ON REACQD DEBT-9.5%</t>
  </si>
  <si>
    <t>STATE TAX RESERVE</t>
  </si>
  <si>
    <t>Chichester-Linwood 230 kV Line Upgrades</t>
  </si>
  <si>
    <t>b1900</t>
  </si>
  <si>
    <t>Workers Compensation - short term</t>
  </si>
  <si>
    <t>Workers Compensation - long term</t>
  </si>
  <si>
    <t>Public claims - Short Term</t>
  </si>
  <si>
    <t>Accrued Septa Railroad Rent - transmission</t>
  </si>
  <si>
    <t>214.17,d, 214.20,d and 214.22,d for end of year, records for other months</t>
  </si>
  <si>
    <t>Project Depreciation Expense is the actual value booked for the project and included in the Depreciation Expense in Attachment H, page 3, line 14.  Project Depreciation Expense includes the amortization of Abandoned Plant</t>
  </si>
  <si>
    <t>227. 8. c + (227.16.c * Labor Ratio) for end of year, records for other months</t>
  </si>
  <si>
    <t xml:space="preserve">  Common - Electric</t>
  </si>
  <si>
    <t>Related to employer costs of benefits, such as health insurance, 401 (k), etc. The amounts are recorded to the liability and cleared through payments during each bi-weekly payroll. Any balance in the account at the end of the month would relate to the month-end accrual that is recorded at the end of the month and reversed on the first calendar day of the next month. As such, there is a book to tax timing difference.</t>
  </si>
  <si>
    <t>No current book activity, tax deducts as distributions are made from the trust - employees in all functions.</t>
  </si>
  <si>
    <t>Book expense recorded when stock is granted, tax expense when stock is issued at market price - employees in all functions.</t>
  </si>
  <si>
    <t>Retail bad debt. For book, expense taken as it's identified; tax deduction not taken until fully written-off and all collection efforts abandoned. Relates to retail operations.</t>
  </si>
  <si>
    <t>Book records estimated accrued compensation; tax deducts only upon the retirement or other separation from service by the employees. Relates to all functions.</t>
  </si>
  <si>
    <t>Employer provided benefits to former employees but before retirement.</t>
  </si>
  <si>
    <t>Accrual of future removal/retirements.  Book recognized the expense estimate accrual, tax recognizes when paid. Related to all functions.</t>
  </si>
  <si>
    <t>Book records an accrual in filing year on estimated payouts; tax reverses the accrual and deducts the actual paid out.  Relates to all functions.</t>
  </si>
  <si>
    <t>Books records an estimated liability for injuries and damages; tax purposes a deduction is only taken when actual payments are made.</t>
  </si>
  <si>
    <t>DEFFERRED CHARGES - TAX REPAIRS BILL CREDIT-DIST</t>
  </si>
  <si>
    <t>FACILITY COMMITMENT FEES</t>
  </si>
  <si>
    <t>Debt related</t>
  </si>
  <si>
    <t>FINES &amp; OTHER</t>
  </si>
  <si>
    <t>OTHER NONCURRENT- RAILROAD LIABILITY</t>
  </si>
  <si>
    <t>Related to reserve for required maintenance on right of ways.</t>
  </si>
  <si>
    <t>OTHER UNEARNED REVENUE-DEFERRED RENTS</t>
  </si>
  <si>
    <t>Rent expense deferred and amortized ratably for books, tax deduction when paid - used for all functions.</t>
  </si>
  <si>
    <t>Book accrues and capitalizes anticipated Pension costs based on actuarial analysis.  Tax deducts or capitalizes retirement benefits only when the amounts are paid.  Related to all functions.</t>
  </si>
  <si>
    <t xml:space="preserve">Book accrues anticipated post retirement costs based on actuarial analysis.  Tax deducts retirement benefits only when the amounts are paid or contributed to a fund. </t>
  </si>
  <si>
    <t>Related to reserves associated with ongoing and/or pending litigation.  These are not legal service fees, but accrual for possible liability payments upon resolution of ongoing litigation matters.  Since we have accrued, but not yet paid, we have to book the tax reserve.</t>
  </si>
  <si>
    <t>Retail related</t>
  </si>
  <si>
    <t>Reserve for potential transmission rent expense</t>
  </si>
  <si>
    <t>Book records an accrual; tax takes the deduction when actually paid. Relates to all functions.</t>
  </si>
  <si>
    <t>Capitalized portion of vacation pay earned and expensed for books, tax takes the deduction when paid out. Related to all functions.</t>
  </si>
  <si>
    <t>These accounts are reserves for public claims, workers compensation and other third party incidents.  For tax purposes these are not deductible until paid. Related to all functions.</t>
  </si>
  <si>
    <t>Included because plant in service is included in rate base.</t>
  </si>
  <si>
    <t>Related to Distribution property.</t>
  </si>
  <si>
    <t xml:space="preserve">Book recapitalizes costs incurred to retire or reacquire debt issuances.  Tax deducts these costs when incurred. </t>
  </si>
  <si>
    <t>ENERGY EFFICIENCY REG ASSET</t>
  </si>
  <si>
    <t>Gross Up on State Def Tax Adj- AMR Reg Asset</t>
  </si>
  <si>
    <t>The book expense on Jan 1 of calendar year; accelerated tax expense taken in previous calendar year. Related to all functions.</t>
  </si>
  <si>
    <t>OCI-Def FIT &amp; SIT</t>
  </si>
  <si>
    <t>OTHER CURRENT REG ASSET:</t>
  </si>
  <si>
    <t>LOSS OF REAQUIRED DEBT</t>
  </si>
  <si>
    <t>Book recapitalizes costs incurred to retire or reacquire debt issuances.  Tax deducts these costs when incurred. Included in debt capitalization ratio on Appendix A, line 111.</t>
  </si>
  <si>
    <t>VACATION ACCRUAL</t>
  </si>
  <si>
    <t>Current portion of vacation pay earned and expensed for books, tax takes the deduction when paid out. Related to all functions.</t>
  </si>
  <si>
    <t>SMART METER</t>
  </si>
  <si>
    <t>PURTA</t>
  </si>
  <si>
    <t>Property taxes. Book records on an accrual method based on the prior year; tax reverses the book accrual and deducts the actual payments made. . Relates to all functions.</t>
  </si>
  <si>
    <t>SEAMLESS MOVES</t>
  </si>
  <si>
    <t>Gas Related</t>
  </si>
  <si>
    <t>The state income tax is cash basis</t>
  </si>
  <si>
    <t>Not Subject to Proration</t>
  </si>
  <si>
    <t>FERC Monthly Interest Rate</t>
  </si>
  <si>
    <t>Attachment H-7</t>
  </si>
  <si>
    <t>To be completed in conjunction with Attachment H-7.</t>
  </si>
  <si>
    <t xml:space="preserve"> in Attachment H-7 that are not the result of a timing difference</t>
  </si>
  <si>
    <t>(…)</t>
  </si>
  <si>
    <t>Depreciation (Monthly Change of Accumulated Depreciation from above)</t>
  </si>
  <si>
    <t>Prior Period Adjustments</t>
  </si>
  <si>
    <t xml:space="preserve">Total ADIT </t>
  </si>
  <si>
    <t>(x)</t>
  </si>
  <si>
    <t>Net Plant = Gross Plant Minus Accumulated Depreciation from above</t>
  </si>
  <si>
    <t>Costs Allocation to Transmission   (Note A)</t>
  </si>
  <si>
    <t>Firm Point to Point Service revenues for which the load is not included in the divisor received by transmission owner</t>
  </si>
  <si>
    <t>Portion not Capitalized</t>
  </si>
  <si>
    <t xml:space="preserve">The source of the amounts from the Actuary Study supporting the amount in line 1, column (b) is the 3rd page of the attachment to </t>
  </si>
  <si>
    <t>Electric Labor (354.28.b)</t>
  </si>
  <si>
    <t>Gas Labor sum(355.62.b)</t>
  </si>
  <si>
    <t>the January 24, 2017 Willis Towers Watson report on PBOPs for PECO.</t>
  </si>
  <si>
    <t>Less Preferred Stock (112.3.c )</t>
  </si>
  <si>
    <t>(A)</t>
  </si>
  <si>
    <t>(B)</t>
  </si>
  <si>
    <t>(C)</t>
  </si>
  <si>
    <t>(D)</t>
  </si>
  <si>
    <t>(E)</t>
  </si>
  <si>
    <t>(F)</t>
  </si>
  <si>
    <t>(G)</t>
  </si>
  <si>
    <t>(H)</t>
  </si>
  <si>
    <t>(I)</t>
  </si>
  <si>
    <t>(J)</t>
  </si>
  <si>
    <t>Gross Depreciable</t>
  </si>
  <si>
    <t>Accumulated</t>
  </si>
  <si>
    <t>Depreciation</t>
  </si>
  <si>
    <t>Estimated</t>
  </si>
  <si>
    <t>Mortality</t>
  </si>
  <si>
    <t>Weighted Average</t>
  </si>
  <si>
    <t>Applied</t>
  </si>
  <si>
    <t>Expense</t>
  </si>
  <si>
    <t>Number</t>
  </si>
  <si>
    <t>Plant Type</t>
  </si>
  <si>
    <t>Life</t>
  </si>
  <si>
    <t>Curve</t>
  </si>
  <si>
    <t>Remaining Life</t>
  </si>
  <si>
    <t>Depreciation Rate</t>
  </si>
  <si>
    <t>Structures and Improvements</t>
  </si>
  <si>
    <t>R2.5</t>
  </si>
  <si>
    <t>Station Equipment</t>
  </si>
  <si>
    <t>Towers and Fixtures</t>
  </si>
  <si>
    <t>R4</t>
  </si>
  <si>
    <t>Poles and Fixtures</t>
  </si>
  <si>
    <t>Overhead Conductors and Devices</t>
  </si>
  <si>
    <t>Underground Conduit</t>
  </si>
  <si>
    <t>Underground Conductors and Devices</t>
  </si>
  <si>
    <t>R3</t>
  </si>
  <si>
    <t>Roads and Trails</t>
  </si>
  <si>
    <t>R1</t>
  </si>
  <si>
    <t>Office Furniture and Equipment - Office Machines</t>
  </si>
  <si>
    <t>SQ</t>
  </si>
  <si>
    <t>Office Furniture and Equipment - Furnitures and Fixtures</t>
  </si>
  <si>
    <t>Office Furniture and Equipment - Computers</t>
  </si>
  <si>
    <t>Office Furniture and Equipment - Smart Meter Comp. Equip.</t>
  </si>
  <si>
    <t>Stores Equipment</t>
  </si>
  <si>
    <t>Tools, Shop, Garage Equipment</t>
  </si>
  <si>
    <t>Laboratory Equipment - Testing</t>
  </si>
  <si>
    <t>Laboratory Equipment - Meters</t>
  </si>
  <si>
    <t>Communication Equipment</t>
  </si>
  <si>
    <t>L3</t>
  </si>
  <si>
    <t>Communication Equipment - Smart Meters</t>
  </si>
  <si>
    <t>S2</t>
  </si>
  <si>
    <t>Miscellaneous Equipment</t>
  </si>
  <si>
    <t>Electric Intangible</t>
  </si>
  <si>
    <t>Software</t>
  </si>
  <si>
    <t>N/A</t>
  </si>
  <si>
    <t>Regulatory Initiatives/Depr Charged to Reg Asset</t>
  </si>
  <si>
    <t>Common General</t>
  </si>
  <si>
    <t>Transportation Equipment - Automobiles</t>
  </si>
  <si>
    <t>Transportation Equipment - Light Trucks</t>
  </si>
  <si>
    <t>L4</t>
  </si>
  <si>
    <t>Transportation Equipment - Heavy Trucks</t>
  </si>
  <si>
    <t>Transportation Equipment - Tractors</t>
  </si>
  <si>
    <t>L2</t>
  </si>
  <si>
    <t>Transportation Equipment - Trailers</t>
  </si>
  <si>
    <t>R2</t>
  </si>
  <si>
    <t>Transportation Equipment - Other Vehicles</t>
  </si>
  <si>
    <t>Tools, Shop, Garage Equipment - Construction Tools</t>
  </si>
  <si>
    <t>Tools, Shop, Garage Equipment - Common Tools</t>
  </si>
  <si>
    <t>Tools, Shop, Garage Equipment - Garage Equipment</t>
  </si>
  <si>
    <t>Power Operated Equipment</t>
  </si>
  <si>
    <t>Columns (A), (B), (C), and (D) are fixed and cannot be changed absent Commission approval or acceptance. The depreciation expense is calculated separately for each row.</t>
  </si>
  <si>
    <t xml:space="preserve">Each year, PECO Energy Company will provide a copy of the annual report submitted to the PA PUC and underlying supporting documentation that shows the depreciation expense recognized by account or subaccount for each of the three preceding calendar years. </t>
  </si>
  <si>
    <t>At least every 5 years, PECO Energy Company will file with the Commission a depreciation study supporting its existing Estimated Life and Mortality Curve for each account or subaccount.</t>
  </si>
  <si>
    <t>Attachment 8 - Depreciation Rates</t>
  </si>
  <si>
    <t>North Wales-Whitpain 230 kV Line Re-conductor</t>
  </si>
  <si>
    <t>Chichester-Mickleton 230 kV Line Re-conductor</t>
  </si>
  <si>
    <t>B0264</t>
  </si>
  <si>
    <t>Net Depreciable</t>
  </si>
  <si>
    <t>Note 2</t>
  </si>
  <si>
    <t>(F) = (J)/(I)</t>
  </si>
  <si>
    <t>(I)=(G)-(H)</t>
  </si>
  <si>
    <t>Note 10</t>
  </si>
  <si>
    <t>Column (F) is equal to Column (J) / Column (I).</t>
  </si>
  <si>
    <t>Column (I) is the end of year depreciable net plant in the account or subaccount.</t>
  </si>
  <si>
    <t xml:space="preserve">Column (J) is equal to depreciation expense as reported in the annual FERC Form No. 1 filing on page 336 (Electric). Annual depreciation expense is determined by multiplying the beginning of the month net plant balance plus additions (using a half month convention for the first month placed in service) by the remaining life rate divided by 12 for each month. </t>
  </si>
  <si>
    <t xml:space="preserve">The depreciation expense associated with Asset Retirement Obligations (booked to accounts 359.1 and 399.1) are not included in the tables above. </t>
  </si>
  <si>
    <t>Subtotal - p234.8.c</t>
  </si>
  <si>
    <t>Subtotal - p234.8.b</t>
  </si>
  <si>
    <t>Subtotal - p275.2.k</t>
  </si>
  <si>
    <t>Subtotal - p275.2.b</t>
  </si>
  <si>
    <t xml:space="preserve">Subtotal - p277.9.k </t>
  </si>
  <si>
    <t>Subtotal - p276.9.b</t>
  </si>
  <si>
    <t>263.14.i, &amp; 263.16.i</t>
  </si>
  <si>
    <t>263.24.i</t>
  </si>
  <si>
    <t>Attachment 4A</t>
  </si>
  <si>
    <t>Attachment 4B</t>
  </si>
  <si>
    <t>Attachment 4C</t>
  </si>
  <si>
    <t>Attachment 1, line 18, col. 14 - Attachment 1, line 17a, col. 14</t>
  </si>
  <si>
    <t>Attachment 1, line 18, col. 15 - Attachment 1, line 17a, col. 15</t>
  </si>
  <si>
    <t>Attachment 1, line 18, col. 16 - Attachment 1, line 17a, col. 16</t>
  </si>
  <si>
    <t>Attachment 4D, Line 19, Col. (s) and Line 21, Col. (s)</t>
  </si>
  <si>
    <t>Attachment 4, Line 14, Col. (d)</t>
  </si>
  <si>
    <t>(enter negative) Attach. 4E, Line 25, Col. (x)</t>
  </si>
  <si>
    <t>(Sum of Lines 1 through 7)</t>
  </si>
  <si>
    <t>Attachment 4D, Line 40, Col. (s) and Line 42, Col. (s)</t>
  </si>
  <si>
    <t>(enter negative) Attach. 4E, Line 39, Col. (x)</t>
  </si>
  <si>
    <t>(Sum of Lines 10 through 16)</t>
  </si>
  <si>
    <t>(Sum of Lines 19 through 25)</t>
  </si>
  <si>
    <t>Attachment 4, Line 28, Col. (d) (Notes B and X)</t>
  </si>
  <si>
    <t>Attachment 4, Line 28, Col. (i)</t>
  </si>
  <si>
    <t>Attachment 4, Line 28, Col. (b) (Note T)</t>
  </si>
  <si>
    <t>Attachment 4, Line 28, Col. (c) (Note S)</t>
  </si>
  <si>
    <t>(Sum of Lines 28 through 39)</t>
  </si>
  <si>
    <t>1/8*(Page 3, Line 12 minus Page 3, Line 7)</t>
  </si>
  <si>
    <t>Attachment 5, Line 1, Col. (a)</t>
  </si>
  <si>
    <t xml:space="preserve">Attachment 5, Line 1, Col. (b) </t>
  </si>
  <si>
    <t>Attachment 5, Line 1, Col. (c)</t>
  </si>
  <si>
    <t xml:space="preserve">Attachment 5, Line 1, Col. (d) </t>
  </si>
  <si>
    <t>(Note T) Attachment 5, Line 1, Col. (e)</t>
  </si>
  <si>
    <t>Attachment 5, Line 1, Col .(f)</t>
  </si>
  <si>
    <t>Attachment 5, Line 1, Col. (g)</t>
  </si>
  <si>
    <t>Attachment 5, Line 2, Col. (a)</t>
  </si>
  <si>
    <t>Attachment 5, Line 1, Col. (h)</t>
  </si>
  <si>
    <t>(Note S) Attachment 5, Line 2, Col. (b)</t>
  </si>
  <si>
    <t>Attachment 7, line 3, Col. (d)</t>
  </si>
  <si>
    <t>(Sum of Lines 1, 5, 9, &amp; 10 less Lines 2, 3, 4 &amp; 11)</t>
  </si>
  <si>
    <t>Attachment 4D, Line 82, Col. (f) and Line 84, Col. (f)</t>
  </si>
  <si>
    <t>(enter negative) Attachment 4E, Line 66, Col (x)</t>
  </si>
  <si>
    <t>Attachment 5, Line 2, Col. (c)</t>
  </si>
  <si>
    <t>Attachment 5, Line 2, Col. (d)</t>
  </si>
  <si>
    <t>Attachment 5, Line 2, Col. (f)</t>
  </si>
  <si>
    <t>Attachment 5, Line 2, Col. (g)</t>
  </si>
  <si>
    <t>Attachment 5, Line 2, Col. (h)</t>
  </si>
  <si>
    <t>(enter negative) Attachment 5, Line 2, Col. (j)</t>
  </si>
  <si>
    <t>Attachment 5, Line 2, Col. (k) (Note W)</t>
  </si>
  <si>
    <t>(enter negative) Attachment 5, Line 2, Col. (i)</t>
  </si>
  <si>
    <t>(Attachment 5, line 13)</t>
  </si>
  <si>
    <t>Attach H-7, p 2, line 2 col 5  (Note A)</t>
  </si>
  <si>
    <t>Attach H-7, p 2, line 20 col 5 plus line 34 &amp; 37 col 5 (Note B)</t>
  </si>
  <si>
    <t>Attach H-7, p 3, line 12 col 5</t>
  </si>
  <si>
    <t>Attach H-7, p 3, line 30 col 5</t>
  </si>
  <si>
    <t>Attach H-7, p 1, line 2 col 5</t>
  </si>
  <si>
    <t>Attach H-7, p 3, line 45 col 5</t>
  </si>
  <si>
    <t>Attach H-7, p 3, line 47 col 5</t>
  </si>
  <si>
    <t>Attach H-7, p 3, lines 15 to 18, col 5 (Note H)</t>
  </si>
  <si>
    <t>(Attachment H-7, Notes Q and R)</t>
  </si>
  <si>
    <t>(Attachment H-7, Notes K, Q and R)</t>
  </si>
  <si>
    <t xml:space="preserve">Attachment H-7, Page 2 line 47, Col.5 </t>
  </si>
  <si>
    <t>Attachment H-7, Page 3, Line 38</t>
  </si>
  <si>
    <t>Attachment H-7, Page 3, Line 39</t>
  </si>
  <si>
    <t>Attachment H-7, Page 3, Line 40</t>
  </si>
  <si>
    <t>IT Business Intelligence Data Analysis - Distribution</t>
  </si>
  <si>
    <t>Property Related ADIT, Excl. ARO</t>
  </si>
  <si>
    <t>Return    (Attach. H-7, page 3 line 47 col 5)</t>
  </si>
  <si>
    <t>Income Tax    (Attach. H-7, page 3 line 45 col 5)</t>
  </si>
  <si>
    <t>All transmission facilities reflected in the revenue requirement on Attachment H-7, page 1 line 3 are to be included in this Attachment 1.</t>
  </si>
  <si>
    <t xml:space="preserve">  Common Depreciation Expense Related to Costs To Achieve</t>
  </si>
  <si>
    <t xml:space="preserve">Recovery of Regulatory Asset is permitted only as authorized by the Commission.  Recovery of any regulatory assets requires authorization from the Commission. </t>
  </si>
  <si>
    <t xml:space="preserve">Column (E) is the remaining life of the assets in the account for each vintage (amount of plant added in each year is a vintage) weighted by the gross plant balance of each account or subaccount.  The remaining life for each vintage is equal to the area under the Mortality Curve specified in Columns (C) and (D) using a half year convention for the first year placed in service. The weighted remaining life is calculated once a year at the beginning of the year.  </t>
  </si>
  <si>
    <t>Miscellaneous</t>
  </si>
  <si>
    <t>The amortization rates for Account 303 are weighted based on the relative amount of underlying plant booked to the accounts. The life of each software or other intangible plant will be estimated at the time the plant is placed into service, and will not change over the life of the plant absent Commission approval or acceptance. The combined amortization expense for all intangible plant shall be the sum of each individual plant balance amortized over the life of each individual plant established in this manner.</t>
  </si>
  <si>
    <t>(Page 2, Line 47 times Page 4, Line 18)</t>
  </si>
  <si>
    <t>R = Page 4, Line 15</t>
  </si>
  <si>
    <t>Cost = Attachment H-7, Page 4 Line 17, Cost plus .01</t>
  </si>
  <si>
    <t>Electric Only, Form No 1, page 356 for end of year, records for other months</t>
  </si>
  <si>
    <t xml:space="preserve">  Common</t>
  </si>
  <si>
    <t>Capital Cost To Achieve included in the Electric Portion of Common Plant</t>
  </si>
  <si>
    <t xml:space="preserve">  Costs To Achieve </t>
  </si>
  <si>
    <t>Attachment 1, line 17a, col. 14 less line 2</t>
  </si>
  <si>
    <t>Column (G) is the depreciable amount of gross plant investment reported in the annual FERC Form No. 1 filing on pages 207 (Electric) and 356 (Common) by account or subaccount. Column (H) is the accumulated depreciation by account or subaccount.</t>
  </si>
  <si>
    <t>Attachment 4E - Cost to Achieve Mergers</t>
  </si>
  <si>
    <t>Zonal Load</t>
  </si>
  <si>
    <t>1 CP from PJM in MW</t>
  </si>
  <si>
    <t xml:space="preserve">Network Integration Transmission Service rate for PECO Zone </t>
  </si>
  <si>
    <t>(line 9/11)</t>
  </si>
  <si>
    <t>Note 4</t>
  </si>
  <si>
    <t>Note 6</t>
  </si>
  <si>
    <t>Note 1</t>
  </si>
  <si>
    <t>30x</t>
  </si>
  <si>
    <t xml:space="preserve">Note A:  Number of employees managing secondary transmission service contracts divided by number of employees managing transmission and distribution secondary service contracts. </t>
  </si>
  <si>
    <t>GP Allocator</t>
  </si>
  <si>
    <t>Line 7 + Line 8</t>
  </si>
  <si>
    <t>Attachment 4A, Line 28, Col. (e) (Notes B and X)</t>
  </si>
  <si>
    <t>Attachment 4A, Line 28, Col. (f) (Notes B and X)</t>
  </si>
  <si>
    <t>Attachment 4A, Line 28, Col. (g) (Notes B and X)</t>
  </si>
  <si>
    <t xml:space="preserve">Attachment 5B, Line 15, Col. (a) and Line 18, Col. (e)   </t>
  </si>
  <si>
    <t>Attachment 5, Line 2, Col. (e)</t>
  </si>
  <si>
    <t>Page 3, Line 5:  Attachment 5B, Lines, 11, and 12 – Exclude EPRI Annual Membership Dues listed in Form 1 at 353.f, , and  non-safety  related advertising included in Account 930.1 found at 323.191.b; Attachment 5B, Line 9- include Regulatory Commission Expenses directly related to transmission service, ISO filings, or transmission siting itemized at 351.h., and exclude all other  Regulatory Commission Expenses itemized at 351.h</t>
  </si>
  <si>
    <t>Sum of lines 4, 6, 8, and 10</t>
  </si>
  <si>
    <t>Sum of lines 13 and 15</t>
  </si>
  <si>
    <t>Project Net Plant is the Project Gross Plant Identified in Column 3 less the associated Accumulated Depreciation.  Net Plant includes CWIP and Unamortized Abandoned Plant and excludes any regulatory asset, which are to be entered as separate line items.</t>
  </si>
  <si>
    <t>1) From Attachment 1, line 17, col. 14 for the projection for the Rate Year.</t>
  </si>
  <si>
    <t>2) From Attachment 1, line 17, col. 14 for that project based on the actual costs for the Rate Year.</t>
  </si>
  <si>
    <t>Excludes ARO amounts.</t>
  </si>
  <si>
    <t>Total prepayments allocated to transmission as follows:  (1) amounts solely related to transmission allocated 100% to transmission; (2) amounts solely related to distribution, gas or non-utility allocated 0% to transmission; (3) amounts related to electric general  allocated using the wages and salaries allocator (Attachment H-7), p. 4, line 11, column (5)); (4) amounts related to common labor or plant allocated using the wages and salaries allocator (Attachment H-7, p. 4, line 11, column (5)), multiplied by either common labor percent to electric (Attachment 7-PBOP, Note B, Electric Labor) or by common utility plant percent to electric (per  FF1 page 356) as applicable depending upon the nature of the prepayment item.</t>
  </si>
  <si>
    <t>(h) (Note K)</t>
  </si>
  <si>
    <t>(d) (Note J)</t>
  </si>
  <si>
    <t>(i) (Note J)</t>
  </si>
  <si>
    <t>(j) (Note J)</t>
  </si>
  <si>
    <t>(k) (Note J)</t>
  </si>
  <si>
    <t>ADIT and Accumulated Deferred Income Tax Credits are computed using the average of the beginning of the year and the end of the year balances. The projection will use lines 16, 19 and 36 of Attachment 4A to populate the average ADIT balance on line 28 above.</t>
  </si>
  <si>
    <t>Line 36, If there are no items subject to proration, use average of lines 23 and 35</t>
  </si>
  <si>
    <t>(h) (Note A)</t>
  </si>
  <si>
    <t>Plant Related ADIT reflects the total Electric plant related ADIT from Attachment 4B and 4C, which is allocated to transmission in Column (i) with GP allocation factor.</t>
  </si>
  <si>
    <t>Total (Line 14 - Line 15 - Line 16)</t>
  </si>
  <si>
    <t>=sum(p:r)</t>
  </si>
  <si>
    <t>=sum(c:e)</t>
  </si>
  <si>
    <t>Sum of transmission related electric and common amortized investment tax credit amounts.  Total electric amount allocated to transmission as follows: (1) amounts solely related to transmission allocated 100% to transmission; (2) amounts solely related to distribution, gas or non-utility allocated 0% to transmission; (3) amounts related to electric general allocated using the wages and salaries allocator (Attachment H-7, p. 4, line 11, column (5));  (4) amount related to common plant allocated to transmission using the wages and salaries allocator (Attachment H-7, p. 4, line 11, column (5)), multiplied by common utility plant  percent to electric (per FF1 page 356).</t>
  </si>
  <si>
    <t>(c) (Note F)</t>
  </si>
  <si>
    <t>Merger related payroll taxes are to be excluded consistent with hold harmless commitment.</t>
  </si>
  <si>
    <t>(Sum of Line 5 - Line 6 + Line 7 + Line 8)</t>
  </si>
  <si>
    <t>(Sum of Lines 10-12)</t>
  </si>
  <si>
    <t>(Sum Lines 1 to 2)</t>
  </si>
  <si>
    <t>Note 4: If the facilities associated with the revenues are not included in the formula, the revenue is shown here but not included in the total above and is explained in the Cost Support; For example, revenues associated with distribution facilities.  In addition, Revenues from Schedule 12 are not included in the total above to the extent they are credited under Schedule 12.</t>
  </si>
  <si>
    <t>Directly Assigned</t>
  </si>
  <si>
    <t>General Advertising Expenses (Note E)</t>
  </si>
  <si>
    <t>Administrative &amp; General - Total (Sum of lines 1-14)</t>
  </si>
  <si>
    <t>Miscellaneous General Expenses (Note E)</t>
  </si>
  <si>
    <r>
      <t xml:space="preserve">Transmission A&amp;G </t>
    </r>
    <r>
      <rPr>
        <vertAlign val="superscript"/>
        <sz val="9.9"/>
        <rFont val="Times New Roman"/>
        <family val="1"/>
      </rPr>
      <t>1</t>
    </r>
  </si>
  <si>
    <r>
      <t xml:space="preserve">Total </t>
    </r>
    <r>
      <rPr>
        <vertAlign val="superscript"/>
        <sz val="9.9"/>
        <rFont val="Times New Roman"/>
        <family val="1"/>
      </rPr>
      <t>2</t>
    </r>
  </si>
  <si>
    <r>
      <rPr>
        <vertAlign val="superscript"/>
        <sz val="9.9"/>
        <rFont val="Times New Roman"/>
        <family val="1"/>
      </rPr>
      <t>1</t>
    </r>
    <r>
      <rPr>
        <sz val="11"/>
        <rFont val="Times New Roman"/>
        <family val="1"/>
      </rPr>
      <t xml:space="preserve"> Multiply total amounts on line 15, columns (b)-(e) by allocation factors on line 16.</t>
    </r>
  </si>
  <si>
    <r>
      <rPr>
        <vertAlign val="superscript"/>
        <sz val="9.9"/>
        <rFont val="Times New Roman"/>
        <family val="1"/>
      </rPr>
      <t>2</t>
    </r>
    <r>
      <rPr>
        <sz val="11"/>
        <rFont val="Times New Roman"/>
        <family val="1"/>
      </rPr>
      <t xml:space="preserve"> Sum of line 17, columns (b), (c), (d), (e). </t>
    </r>
  </si>
  <si>
    <t>Col. (c) x Electric Labor in Note B</t>
  </si>
  <si>
    <t xml:space="preserve">The Willis Towers Watson report on PBOPs does not breakout the amount related to construction labor that is capitalized. </t>
  </si>
  <si>
    <t>As a result, the portion not capitalized is calculated as labor expensed divided by total labor.</t>
  </si>
  <si>
    <t>Total (Line 2 - Line 3 - Line 4)</t>
  </si>
  <si>
    <t>(Sum Lines 3, 4-12)</t>
  </si>
  <si>
    <t xml:space="preserve"> 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in line 2; provided, that the revenue credit on line 2 will not include revenues associated with transmission service the loads for which are included in the rate divisor in Attachment H-7, page 1, line 11.</t>
  </si>
  <si>
    <t xml:space="preserve">Privileged and Confidential Settlement Communication – </t>
  </si>
  <si>
    <t>Subject to FERC Rules 602 and 606</t>
  </si>
  <si>
    <t>ATTACHMENT H-7A</t>
  </si>
  <si>
    <t>FORMULA RATE TEMPLATE</t>
  </si>
  <si>
    <t>(Note E)</t>
  </si>
  <si>
    <t xml:space="preserve">Excess Deferred Income Taxes - Transmission </t>
  </si>
  <si>
    <t xml:space="preserve">Amortized Investment Tax Credit Consistent with (266.8.f &amp; 266.17.f) - Transmission </t>
  </si>
  <si>
    <t xml:space="preserve">Tax Effect of Permanent Differencesm - Transmission </t>
  </si>
  <si>
    <t>Attachment 4E, Line 11, Col. (x)</t>
  </si>
  <si>
    <t>Environmental Liab - Superfund</t>
  </si>
  <si>
    <t xml:space="preserve">Accrued Severance Plans </t>
  </si>
  <si>
    <t>30g</t>
  </si>
  <si>
    <t>30h</t>
  </si>
  <si>
    <t>30i</t>
  </si>
  <si>
    <t>30j</t>
  </si>
  <si>
    <t>30k</t>
  </si>
  <si>
    <t>30l</t>
  </si>
  <si>
    <t>30m</t>
  </si>
  <si>
    <t>DEFERRED REVENUE</t>
  </si>
  <si>
    <t>FEDERAL NOL</t>
  </si>
  <si>
    <t xml:space="preserve">PECO is in a net operating loss situation, therefore, losses are carried forward until such losses can be applied to taxable income. </t>
  </si>
  <si>
    <t>PAYROLL TAXES</t>
  </si>
  <si>
    <t>Book records a payroll tax accrual; tax reverses the accrual and deducts the actual amount paid out.  Relates to all functions.</t>
  </si>
  <si>
    <t>PENNSYLVANIA NOL</t>
  </si>
  <si>
    <t>Includes FASB 109 related to TCJA</t>
  </si>
  <si>
    <t>CAP SHOPPING REG ASSET - CURRENT</t>
  </si>
  <si>
    <t>CAP FORGIVENESS REG ASSET - CURRENT</t>
  </si>
  <si>
    <t>ELEC RATE CASE EXP - REG ASSET - CURRENT</t>
  </si>
  <si>
    <t>RATE CHANGE REG ASSET</t>
  </si>
  <si>
    <t>Gross up related to non-property tax rate change/TCJA</t>
  </si>
  <si>
    <t>True-Up for the 12 months ended 12/31/2018</t>
  </si>
  <si>
    <t>Mutual Assistance</t>
  </si>
  <si>
    <t>26e</t>
  </si>
  <si>
    <t>263.3.i, 263.5.i &amp; 263.18.i</t>
  </si>
  <si>
    <t>Tower Rentals and Land Leasing - Transmission</t>
  </si>
  <si>
    <t>Tower Rentals and Land Leasing - Distribution</t>
  </si>
  <si>
    <t>24e</t>
  </si>
  <si>
    <t>Transmission Enhancement</t>
  </si>
  <si>
    <t>Transportation Equipment -Medium Trucks</t>
  </si>
  <si>
    <t>As of 12/31/2018</t>
  </si>
  <si>
    <t>FY 2018</t>
  </si>
  <si>
    <t xml:space="preserve">The depreciation expenses related to Common General recovered through this formula rate reflect only electric common plant. The depreciation expenses associated with Transportation Equipment, Garage Equipment and Power Operated Tools are excluded from Account 403 and directly assigned to the functional O&amp;M and capital accounts based on use.  </t>
  </si>
  <si>
    <t>263.31.i &amp; 263.16.i</t>
  </si>
  <si>
    <t>263.29.i &amp; 263.33.i</t>
  </si>
  <si>
    <t>Center Point 500-230 kV Substation Addition</t>
  </si>
  <si>
    <t xml:space="preserve">b1398.8 </t>
  </si>
  <si>
    <t>Elroy 500 kV Dynamic Reactive Device</t>
  </si>
  <si>
    <t>Heaton 230 kV Capacitor Bank Addition</t>
  </si>
  <si>
    <t>For  the 12 months ended 12/31/2018</t>
  </si>
  <si>
    <t>Projection for the 12 months ended 12/31/2018</t>
  </si>
  <si>
    <t>Intercompany Billings - Transmission</t>
  </si>
  <si>
    <t>Intercompany Billings - Other</t>
  </si>
  <si>
    <t>17aa</t>
  </si>
  <si>
    <t>Intercompany Billings - Labor Related</t>
  </si>
  <si>
    <t>21d</t>
  </si>
  <si>
    <t>21e</t>
  </si>
  <si>
    <t>21f</t>
  </si>
  <si>
    <t>21g</t>
  </si>
  <si>
    <t>21h</t>
  </si>
  <si>
    <t>21i</t>
  </si>
  <si>
    <t>21j</t>
  </si>
  <si>
    <t>21k</t>
  </si>
  <si>
    <t>21l</t>
  </si>
  <si>
    <t>21m</t>
  </si>
  <si>
    <t>21n</t>
  </si>
  <si>
    <t>21o</t>
  </si>
  <si>
    <t>21p</t>
  </si>
  <si>
    <t>21q</t>
  </si>
  <si>
    <t>21r</t>
  </si>
  <si>
    <t>21s</t>
  </si>
  <si>
    <t>21t</t>
  </si>
  <si>
    <t>21u</t>
  </si>
  <si>
    <t>21v</t>
  </si>
  <si>
    <t>21w</t>
  </si>
  <si>
    <t>21x</t>
  </si>
  <si>
    <t>DEFERRED REVENUE - CURRENT</t>
  </si>
  <si>
    <t>FIN 47</t>
  </si>
  <si>
    <t>ENERGY EFFICIENCY REG ASSET - CURRENT</t>
  </si>
  <si>
    <t>ARO- Reg Asset</t>
  </si>
  <si>
    <t>IT Other - Transmission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</si>
</sst>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0">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0"/>
    <numFmt numFmtId="169" formatCode="&quot;$&quot;#,##0"/>
    <numFmt numFmtId="170" formatCode="0.0%"/>
    <numFmt numFmtId="171" formatCode="&quot;$&quot;#,##0.000"/>
    <numFmt numFmtId="172" formatCode="&quot;$&quot;#,##0.00"/>
    <numFmt numFmtId="173" formatCode="_(* #,##0_);_(* \(#,##0\);_(* &quot;-&quot;??_);_(@_)"/>
    <numFmt numFmtId="174" formatCode="_(&quot;$&quot;* #,##0_);_(&quot;$&quot;* \(#,##0\);_(&quot;$&quot;* &quot;-&quot;??_);_(@_)"/>
    <numFmt numFmtId="175" formatCode="0_);\(0\)"/>
    <numFmt numFmtId="176" formatCode="&quot;$&quot;#,##0.0"/>
    <numFmt numFmtId="177" formatCode="_(* #,##0.0_);_(* \(#,##0.0\);_(* &quot;-&quot;??_);_(@_)"/>
    <numFmt numFmtId="178" formatCode="#,##0.0_);\(#,##0.0\)"/>
    <numFmt numFmtId="179" formatCode="&quot;$&quot;#,##0.000_);\(&quot;$&quot;#,##0.000\)"/>
    <numFmt numFmtId="180" formatCode="&quot;$&quot;#,##0.0_);\(&quot;$&quot;#,##0.0\)"/>
    <numFmt numFmtId="181" formatCode="#,##0.000_);\(#,##0.000\)"/>
    <numFmt numFmtId="182" formatCode="_(* #,##0.0000_);_(* \(#,##0.0000\);_(* &quot;-&quot;??_);_(@_)"/>
    <numFmt numFmtId="183" formatCode="_(* #,##0.0\¢_m;[Red]_(* \-#,##0.0\¢_m;[Green]_(* 0.0\¢_m;_(@_)_%"/>
    <numFmt numFmtId="184" formatCode="_(* #,##0.00\¢_m;[Red]_(* \-#,##0.00\¢_m;[Green]_(* 0.00\¢_m;_(@_)_%"/>
    <numFmt numFmtId="185" formatCode="_(* #,##0.000\¢_m;[Red]_(* \-#,##0.000\¢_m;[Green]_(* 0.000\¢_m;_(@_)_%"/>
    <numFmt numFmtId="186" formatCode="_(_(\£* #,##0_)_%;[Red]_(\(\£* #,##0\)_%;[Green]_(_(\£* #,##0_)_%;_(@_)_%"/>
    <numFmt numFmtId="187" formatCode="_(_(\£* #,##0.0_)_%;[Red]_(\(\£* #,##0.0\)_%;[Green]_(_(\£* #,##0.0_)_%;_(@_)_%"/>
    <numFmt numFmtId="188" formatCode="_(_(\£* #,##0.00_)_%;[Red]_(\(\£* #,##0.00\)_%;[Green]_(_(\£* #,##0.00_)_%;_(@_)_%"/>
    <numFmt numFmtId="189" formatCode="0.0%_);\(0.0%\)"/>
    <numFmt numFmtId="190" formatCode="\•\ \ @"/>
    <numFmt numFmtId="191" formatCode="_(_(\•_ #0_)_%;[Red]_(_(\•_ \-#0\)_%;[Green]_(_(\•_ #0_)_%;_(_(\•_ @_)_%"/>
    <numFmt numFmtId="192" formatCode="_(_(_•_ \•_ #0_)_%;[Red]_(_(_•_ \•_ \-#0\)_%;[Green]_(_(_•_ \•_ #0_)_%;_(_(_•_ \•_ @_)_%"/>
    <numFmt numFmtId="193" formatCode="_(_(_•_ _•_ \•_ #0_)_%;[Red]_(_(_•_ _•_ \•_ \-#0\)_%;[Green]_(_(_•_ _•_ \•_ #0_)_%;_(_(_•_ \•_ @_)_%"/>
    <numFmt numFmtId="194" formatCode="#,##0,_);\(#,##0,\)"/>
    <numFmt numFmtId="195" formatCode="0.0,_);\(0.0,\)"/>
    <numFmt numFmtId="196" formatCode="0.00,_);\(0.00,\)"/>
    <numFmt numFmtId="197" formatCode="_(_(_$* #,##0.0_)_%;[Red]_(\(_$* #,##0.0\)_%;[Green]_(_(_$* #,##0.0_)_%;_(@_)_%"/>
    <numFmt numFmtId="198" formatCode="_(_(_$* #,##0.00_)_%;[Red]_(\(_$* #,##0.00\)_%;[Green]_(_(_$* #,##0.00_)_%;_(@_)_%"/>
    <numFmt numFmtId="199" formatCode="_(_(_$* #,##0.000_)_%;[Red]_(\(_$* #,##0.000\)_%;[Green]_(_(_$* #,##0.000_)_%;_(@_)_%"/>
    <numFmt numFmtId="200" formatCode="_._.* #,##0.0_)_%;_._.* \(#,##0.0\)_%;_._.* \ ?_)_%"/>
    <numFmt numFmtId="201" formatCode="_._.* #,##0.00_)_%;_._.* \(#,##0.00\)_%;_._.* \ ?_)_%"/>
    <numFmt numFmtId="202" formatCode="_._.* #,##0.000_)_%;_._.* \(#,##0.000\)_%;_._.* \ ?_)_%"/>
    <numFmt numFmtId="203" formatCode="_._.* #,##0.0000_)_%;_._.* \(#,##0.0000\)_%;_._.* \ ?_)_%"/>
    <numFmt numFmtId="204" formatCode="_(_(&quot;$&quot;* #,##0.0_)_%;[Red]_(\(&quot;$&quot;* #,##0.0\)_%;[Green]_(_(&quot;$&quot;* #,##0.0_)_%;_(@_)_%"/>
    <numFmt numFmtId="205" formatCode="_(_(&quot;$&quot;* #,##0.00_)_%;[Red]_(\(&quot;$&quot;* #,##0.00\)_%;[Green]_(_(&quot;$&quot;* #,##0.00_)_%;_(@_)_%"/>
    <numFmt numFmtId="206" formatCode="_(_(&quot;$&quot;* #,##0.000_)_%;[Red]_(\(&quot;$&quot;* #,##0.000\)_%;[Green]_(_(&quot;$&quot;* #,##0.000_)_%;_(@_)_%"/>
    <numFmt numFmtId="207" formatCode="_._.&quot;$&quot;* #,##0.0_)_%;_._.&quot;$&quot;* \(#,##0.0\)_%;_._.&quot;$&quot;* \ ?_)_%"/>
    <numFmt numFmtId="208" formatCode="_._.&quot;$&quot;* #,##0.00_)_%;_._.&quot;$&quot;* \(#,##0.00\)_%;_._.&quot;$&quot;* \ ?_)_%"/>
    <numFmt numFmtId="209" formatCode="_._.&quot;$&quot;* #,##0.000_)_%;_._.&quot;$&quot;* \(#,##0.000\)_%;_._.&quot;$&quot;* \ ?_)_%"/>
    <numFmt numFmtId="210" formatCode="_._.&quot;$&quot;* #,##0.0000_)_%;_._.&quot;$&quot;* \(#,##0.0000\)_%;_._.&quot;$&quot;* \ ?_)_%"/>
    <numFmt numFmtId="211" formatCode="&quot;$&quot;#,##0,_);\(&quot;$&quot;#,##0,\)"/>
    <numFmt numFmtId="212" formatCode="&quot;$&quot;0.0,_);\(&quot;$&quot;0.0,\)"/>
    <numFmt numFmtId="213" formatCode="&quot;$&quot;0.00,_);\(&quot;$&quot;0.00,\)"/>
    <numFmt numFmtId="214" formatCode="_(* dd\-mmm\-yy_)_%"/>
    <numFmt numFmtId="215" formatCode="_(* dd\ mmmm\ yyyy_)_%"/>
    <numFmt numFmtId="216" formatCode="_(* mmmm\ dd\,\ yyyy_)_%"/>
    <numFmt numFmtId="217" formatCode="_(* dd\.mm\.yyyy_)_%"/>
    <numFmt numFmtId="218" formatCode="_(* mm/dd/yyyy_)_%"/>
    <numFmt numFmtId="219" formatCode="m/d/yy;@"/>
    <numFmt numFmtId="220" formatCode="#,##0.0\x_);\(#,##0.0\x\)"/>
    <numFmt numFmtId="221" formatCode="#,##0.00\x_);\(#,##0.00\x\)"/>
    <numFmt numFmtId="222" formatCode="[$€-2]\ #,##0_);\([$€-2]\ #,##0\)"/>
    <numFmt numFmtId="223" formatCode="[$€-2]\ #,##0.0_);\([$€-2]\ #,##0.0\)"/>
    <numFmt numFmtId="224" formatCode="_([$€-2]* #,##0.00_);_([$€-2]* \(#,##0.00\);_([$€-2]* &quot;-&quot;??_)"/>
    <numFmt numFmtId="225" formatCode="General_)_%"/>
    <numFmt numFmtId="226" formatCode="_(_(#0_)_%;[Red]_(_(\-#0\)_%;[Green]_(_(#0_)_%;_(_(@_)_%"/>
    <numFmt numFmtId="227" formatCode="_(_(_•_ #0_)_%;[Red]_(_(_•_ \-#0\)_%;[Green]_(_(_•_ #0_)_%;_(_(_•_ @_)_%"/>
    <numFmt numFmtId="228" formatCode="_(_(_•_ _•_ #0_)_%;[Red]_(_(_•_ _•_ \-#0\)_%;[Green]_(_(_•_ _•_ #0_)_%;_(_(_•_ _•_ @_)_%"/>
    <numFmt numFmtId="229" formatCode="_(_(_•_ _•_ _•_ #0_)_%;[Red]_(_(_•_ _•_ _•_ \-#0\)_%;[Green]_(_(_•_ _•_ _•_ #0_)_%;_(_(_•_ _•_ _•_ @_)_%"/>
    <numFmt numFmtId="230" formatCode="#,##0\x;\(#,##0\x\)"/>
    <numFmt numFmtId="231" formatCode="0.0\x;\(0.0\x\)"/>
    <numFmt numFmtId="232" formatCode="#,##0.00\x;\(#,##0.00\x\)"/>
    <numFmt numFmtId="233" formatCode="#,##0.000\x;\(#,##0.000\x\)"/>
    <numFmt numFmtId="234" formatCode="0.0_);\(0.0\)"/>
    <numFmt numFmtId="235" formatCode="0%;\(0%\)"/>
    <numFmt numFmtId="236" formatCode="0.00\ \x_);\(0.00\ \x\)"/>
    <numFmt numFmtId="237" formatCode="_(* #,##0_);_(* \(#,##0\);_(* &quot;-&quot;????_);_(@_)"/>
    <numFmt numFmtId="238" formatCode="0__"/>
    <numFmt numFmtId="239" formatCode="h:mmAM/PM"/>
    <numFmt numFmtId="240" formatCode="0&quot; E&quot;"/>
    <numFmt numFmtId="241" formatCode="yyyy"/>
    <numFmt numFmtId="242" formatCode="0.0%;\(0.0%\)"/>
    <numFmt numFmtId="243" formatCode="0.00%_);\(0.00%\)"/>
    <numFmt numFmtId="244" formatCode="0.000%_);\(0.000%\)"/>
    <numFmt numFmtId="245" formatCode="_(0_)%;\(0\)%;\ \ ?_)%"/>
    <numFmt numFmtId="246" formatCode="_._._(* 0_)%;_._.* \(0\)%;_._._(* \ ?_)%"/>
    <numFmt numFmtId="247" formatCode="0%_);\(0%\)"/>
    <numFmt numFmtId="248" formatCode="_(* #,##0_)_%;[Red]_(* \(#,##0\)_%;[Green]_(* 0_)_%;_(@_)_%"/>
    <numFmt numFmtId="249" formatCode="_(* #,##0.0%_);[Red]_(* \-#,##0.0%_);[Green]_(* 0.0%_);_(@_)_%"/>
    <numFmt numFmtId="250" formatCode="_(* #,##0.00%_);[Red]_(* \-#,##0.00%_);[Green]_(* 0.00%_);_(@_)_%"/>
    <numFmt numFmtId="251" formatCode="_(* #,##0.000%_);[Red]_(* \-#,##0.000%_);[Green]_(* 0.000%_);_(@_)_%"/>
    <numFmt numFmtId="252" formatCode="_(0.0_)%;\(0.0\)%;\ \ ?_)%"/>
    <numFmt numFmtId="253" formatCode="_._._(* 0.0_)%;_._.* \(0.0\)%;_._._(* \ ?_)%"/>
    <numFmt numFmtId="254" formatCode="_(0.00_)%;\(0.00\)%;\ \ ?_)%"/>
    <numFmt numFmtId="255" formatCode="_._._(* 0.00_)%;_._.* \(0.00\)%;_._._(* \ ?_)%"/>
    <numFmt numFmtId="256" formatCode="_(0.000_)%;\(0.000\)%;\ \ ?_)%"/>
    <numFmt numFmtId="257" formatCode="_._._(* 0.000_)%;_._.* \(0.000\)%;_._._(* \ ?_)%"/>
    <numFmt numFmtId="258" formatCode="_(0.0000_)%;\(0.0000\)%;\ \ ?_)%"/>
    <numFmt numFmtId="259" formatCode="_._._(* 0.0000_)%;_._.* \(0.0000\)%;_._._(* \ ?_)%"/>
    <numFmt numFmtId="260" formatCode="mmmm\ dd\,\ yy"/>
    <numFmt numFmtId="261" formatCode="0.0\x"/>
    <numFmt numFmtId="262" formatCode="_(* #,##0_);_(* \(#,##0\);_(* \ ?_)"/>
    <numFmt numFmtId="263" formatCode="_(* #,##0.0_);_(* \(#,##0.0\);_(* \ ?_)"/>
    <numFmt numFmtId="264" formatCode="_(* #,##0.00_);_(* \(#,##0.00\);_(* \ ?_)"/>
    <numFmt numFmtId="265" formatCode="_(* #,##0.000_);_(* \(#,##0.000\);_(* \ ?_)"/>
    <numFmt numFmtId="266" formatCode="_(&quot;$&quot;* #,##0_);_(&quot;$&quot;* \(#,##0\);_(&quot;$&quot;* \ ?_)"/>
    <numFmt numFmtId="267" formatCode="_(&quot;$&quot;* #,##0.0_);_(&quot;$&quot;* \(#,##0.0\);_(&quot;$&quot;* \ ?_)"/>
    <numFmt numFmtId="268" formatCode="_(&quot;$&quot;* #,##0.00_);_(&quot;$&quot;* \(#,##0.00\);_(&quot;$&quot;* \ ?_)"/>
    <numFmt numFmtId="269" formatCode="_(&quot;$&quot;* #,##0.000_);_(&quot;$&quot;* \(#,##0.000\);_(&quot;$&quot;* \ ?_)"/>
    <numFmt numFmtId="270" formatCode="0000&quot;A&quot;"/>
    <numFmt numFmtId="271" formatCode="0&quot;E&quot;"/>
    <numFmt numFmtId="272" formatCode="0000&quot;E&quot;"/>
    <numFmt numFmtId="273" formatCode="_(* #,##0.00000_);_(* \(#,##0.00000\);_(* &quot;-&quot;?????_);_(@_)"/>
    <numFmt numFmtId="274" formatCode="0.0000%"/>
    <numFmt numFmtId="275" formatCode="0_)"/>
    <numFmt numFmtId="276" formatCode="0.0"/>
    <numFmt numFmtId="277" formatCode="_(&quot;$&quot;* #,##0.0_);_(&quot;$&quot;* \(#,##0.0\);_(&quot;$&quot;* &quot;-&quot;??_);_(@_)"/>
    <numFmt numFmtId="278" formatCode="&quot;$&quot;#,##0.0000"/>
  </numFmts>
  <fonts count="144">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u/>
      <sz val="12"/>
      <name val="Arial"/>
      <family val="2"/>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color theme="1"/>
      <name val="Calibri"/>
      <family val="2"/>
      <scheme val="minor"/>
    </font>
    <font>
      <b/>
      <sz val="12"/>
      <name val="Times New Roman"/>
      <family val="1"/>
    </font>
    <font>
      <sz val="11"/>
      <color indexed="8"/>
      <name val="Arial Narrow"/>
      <family val="2"/>
    </font>
    <font>
      <sz val="10"/>
      <color rgb="FF0000FF"/>
      <name val="Arial"/>
      <family val="2"/>
    </font>
    <font>
      <sz val="11"/>
      <color indexed="8"/>
      <name val="Arial"/>
      <family val="2"/>
    </font>
    <font>
      <sz val="11"/>
      <color rgb="FFFF0000"/>
      <name val="Calibri"/>
      <family val="2"/>
      <scheme val="minor"/>
    </font>
    <font>
      <sz val="11"/>
      <color theme="1"/>
      <name val="Arial Narrow"/>
      <family val="2"/>
    </font>
    <font>
      <b/>
      <sz val="11"/>
      <color theme="1"/>
      <name val="Arial Narrow"/>
      <family val="2"/>
    </font>
    <font>
      <b/>
      <i/>
      <sz val="11"/>
      <name val="Arial Narrow"/>
      <family val="2"/>
    </font>
    <font>
      <sz val="11"/>
      <name val="Calibri"/>
      <family val="2"/>
      <scheme val="minor"/>
    </font>
    <font>
      <b/>
      <i/>
      <sz val="10"/>
      <name val="Arial"/>
      <family val="2"/>
    </font>
    <font>
      <b/>
      <i/>
      <sz val="11"/>
      <name val="Calibri"/>
      <family val="2"/>
      <scheme val="minor"/>
    </font>
    <font>
      <sz val="10"/>
      <name val="Calibri"/>
      <family val="2"/>
      <scheme val="minor"/>
    </font>
    <font>
      <b/>
      <sz val="10"/>
      <name val="Arial Narrow"/>
      <family val="2"/>
    </font>
    <font>
      <b/>
      <sz val="10"/>
      <name val="Helv"/>
    </font>
    <font>
      <b/>
      <sz val="8"/>
      <name val="Arial Narrow"/>
      <family val="2"/>
    </font>
    <font>
      <b/>
      <sz val="16"/>
      <name val="Arial"/>
      <family val="2"/>
    </font>
    <font>
      <sz val="12"/>
      <color indexed="12"/>
      <name val="Arial"/>
      <family val="2"/>
    </font>
    <font>
      <sz val="12"/>
      <color indexed="8"/>
      <name val="Arial"/>
      <family val="2"/>
    </font>
    <font>
      <sz val="10"/>
      <color rgb="FFFF0000"/>
      <name val="Times New Roman"/>
      <family val="1"/>
    </font>
    <font>
      <sz val="12"/>
      <color indexed="40"/>
      <name val="Times New Roman"/>
      <family val="1"/>
    </font>
    <font>
      <b/>
      <sz val="10"/>
      <color rgb="FFFF0000"/>
      <name val="Times New Roman"/>
      <family val="1"/>
    </font>
    <font>
      <sz val="11"/>
      <color rgb="FFFF0000"/>
      <name val="Times New Roman"/>
      <family val="1"/>
    </font>
    <font>
      <sz val="11"/>
      <color theme="1"/>
      <name val="Times New Roman"/>
      <family val="1"/>
    </font>
    <font>
      <b/>
      <sz val="11"/>
      <color theme="1"/>
      <name val="Times New Roman"/>
      <family val="1"/>
    </font>
    <font>
      <b/>
      <sz val="11"/>
      <name val="Times New Roman"/>
      <family val="1"/>
    </font>
    <font>
      <sz val="11"/>
      <color indexed="10"/>
      <name val="Times New Roman"/>
      <family val="1"/>
    </font>
    <font>
      <b/>
      <u/>
      <sz val="11"/>
      <name val="Times New Roman"/>
      <family val="1"/>
    </font>
    <font>
      <b/>
      <i/>
      <sz val="11"/>
      <name val="Times New Roman"/>
      <family val="1"/>
    </font>
    <font>
      <i/>
      <sz val="11"/>
      <name val="Times New Roman"/>
      <family val="1"/>
    </font>
    <font>
      <sz val="11"/>
      <name val="Arial Narrow"/>
      <family val="2"/>
    </font>
    <font>
      <b/>
      <sz val="11"/>
      <name val="Arial Narrow"/>
      <family val="2"/>
    </font>
    <font>
      <b/>
      <sz val="11"/>
      <color rgb="FFFF0000"/>
      <name val="Calibri"/>
      <family val="2"/>
      <scheme val="minor"/>
    </font>
    <font>
      <b/>
      <sz val="11"/>
      <color theme="1"/>
      <name val="Calibri"/>
      <family val="2"/>
      <scheme val="minor"/>
    </font>
    <font>
      <b/>
      <sz val="10"/>
      <color rgb="FF3333FF"/>
      <name val="Calibri"/>
      <family val="2"/>
      <scheme val="minor"/>
    </font>
    <font>
      <i/>
      <sz val="11"/>
      <color theme="1"/>
      <name val="Calibri"/>
      <family val="2"/>
      <scheme val="minor"/>
    </font>
    <font>
      <b/>
      <sz val="12"/>
      <name val="Calibri"/>
      <family val="2"/>
      <scheme val="minor"/>
    </font>
    <font>
      <sz val="12"/>
      <name val="Calibri"/>
      <family val="2"/>
      <scheme val="minor"/>
    </font>
    <font>
      <b/>
      <sz val="12"/>
      <color theme="1" tint="0.34998626667073579"/>
      <name val="Calibri"/>
      <family val="2"/>
      <scheme val="minor"/>
    </font>
    <font>
      <sz val="12"/>
      <color theme="1" tint="0.34998626667073579"/>
      <name val="Calibri"/>
      <family val="2"/>
      <scheme val="minor"/>
    </font>
    <font>
      <b/>
      <sz val="12"/>
      <color rgb="FFFF0000"/>
      <name val="Calibri"/>
      <family val="2"/>
      <scheme val="minor"/>
    </font>
    <font>
      <b/>
      <sz val="12"/>
      <color theme="1"/>
      <name val="Calibri"/>
      <family val="2"/>
      <scheme val="minor"/>
    </font>
    <font>
      <b/>
      <sz val="12"/>
      <color rgb="FF3333FF"/>
      <name val="Calibri"/>
      <family val="2"/>
      <scheme val="minor"/>
    </font>
    <font>
      <b/>
      <sz val="11"/>
      <name val="Calibri"/>
      <family val="2"/>
      <scheme val="minor"/>
    </font>
    <font>
      <vertAlign val="superscript"/>
      <sz val="9.9"/>
      <name val="Times New Roman"/>
      <family val="1"/>
    </font>
    <font>
      <b/>
      <sz val="16"/>
      <name val="Calibri"/>
      <family val="2"/>
    </font>
  </fonts>
  <fills count="18">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rgb="FFFFFF99"/>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s>
  <borders count="32">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40">
    <xf numFmtId="172" fontId="0" fillId="0" borderId="0" applyProtection="0"/>
    <xf numFmtId="0" fontId="13" fillId="0" borderId="0"/>
    <xf numFmtId="183" fontId="51" fillId="0" borderId="0" applyFont="0" applyFill="0" applyBorder="0" applyAlignment="0" applyProtection="0"/>
    <xf numFmtId="184" fontId="51" fillId="0" borderId="0" applyFont="0" applyFill="0" applyBorder="0" applyAlignment="0" applyProtection="0"/>
    <xf numFmtId="185" fontId="51" fillId="0" borderId="0" applyFont="0" applyFill="0" applyBorder="0" applyAlignment="0" applyProtection="0"/>
    <xf numFmtId="186" fontId="51" fillId="0" borderId="0" applyFont="0" applyFill="0" applyBorder="0" applyAlignment="0" applyProtection="0"/>
    <xf numFmtId="187" fontId="51" fillId="0" borderId="0" applyFont="0" applyFill="0" applyBorder="0" applyAlignment="0" applyProtection="0"/>
    <xf numFmtId="188" fontId="51" fillId="0" borderId="0" applyFont="0" applyFill="0" applyBorder="0" applyAlignment="0" applyProtection="0"/>
    <xf numFmtId="0" fontId="21" fillId="0" borderId="0"/>
    <xf numFmtId="189" fontId="13" fillId="2" borderId="0" applyNumberFormat="0" applyFill="0" applyBorder="0" applyAlignment="0" applyProtection="0">
      <alignment horizontal="right" vertical="center"/>
    </xf>
    <xf numFmtId="189" fontId="45" fillId="0" borderId="0" applyNumberFormat="0" applyFill="0" applyBorder="0" applyAlignment="0" applyProtection="0"/>
    <xf numFmtId="0" fontId="13" fillId="0" borderId="1" applyNumberFormat="0" applyFont="0" applyFill="0" applyAlignment="0" applyProtection="0"/>
    <xf numFmtId="190" fontId="43" fillId="0" borderId="0" applyFont="0" applyFill="0" applyBorder="0" applyAlignment="0" applyProtection="0"/>
    <xf numFmtId="191" fontId="51" fillId="0" borderId="0" applyFont="0" applyFill="0" applyBorder="0" applyProtection="0">
      <alignment horizontal="left"/>
    </xf>
    <xf numFmtId="192" fontId="51" fillId="0" borderId="0" applyFont="0" applyFill="0" applyBorder="0" applyProtection="0">
      <alignment horizontal="left"/>
    </xf>
    <xf numFmtId="193" fontId="51" fillId="0" borderId="0" applyFont="0" applyFill="0" applyBorder="0" applyProtection="0">
      <alignment horizontal="left"/>
    </xf>
    <xf numFmtId="37" fontId="52" fillId="0" borderId="0" applyFont="0" applyFill="0" applyBorder="0" applyAlignment="0" applyProtection="0">
      <alignment vertical="center"/>
      <protection locked="0"/>
    </xf>
    <xf numFmtId="194" fontId="53" fillId="0" borderId="0" applyFont="0" applyFill="0" applyBorder="0" applyAlignment="0" applyProtection="0"/>
    <xf numFmtId="0" fontId="54" fillId="0" borderId="0"/>
    <xf numFmtId="0" fontId="54" fillId="0" borderId="0"/>
    <xf numFmtId="172" fontId="11" fillId="0" borderId="0" applyFill="0"/>
    <xf numFmtId="172" fontId="11" fillId="0" borderId="0">
      <alignment horizontal="center"/>
    </xf>
    <xf numFmtId="0" fontId="11" fillId="0" borderId="0" applyFill="0">
      <alignment horizontal="center"/>
    </xf>
    <xf numFmtId="172" fontId="12" fillId="0" borderId="2" applyFill="0"/>
    <xf numFmtId="0" fontId="13" fillId="0" borderId="0" applyFont="0" applyAlignment="0"/>
    <xf numFmtId="0" fontId="14" fillId="0" borderId="0" applyFill="0">
      <alignment vertical="top"/>
    </xf>
    <xf numFmtId="0" fontId="12" fillId="0" borderId="0" applyFill="0">
      <alignment horizontal="left" vertical="top"/>
    </xf>
    <xf numFmtId="172" fontId="15" fillId="0" borderId="3" applyFill="0"/>
    <xf numFmtId="0" fontId="13" fillId="0" borderId="0" applyNumberFormat="0" applyFont="0" applyAlignment="0"/>
    <xf numFmtId="0" fontId="14" fillId="0" borderId="0" applyFill="0">
      <alignment wrapText="1"/>
    </xf>
    <xf numFmtId="0" fontId="12" fillId="0" borderId="0" applyFill="0">
      <alignment horizontal="left" vertical="top" wrapText="1"/>
    </xf>
    <xf numFmtId="172" fontId="16" fillId="0" borderId="0" applyFill="0"/>
    <xf numFmtId="0" fontId="17" fillId="0" borderId="0" applyNumberFormat="0" applyFont="0" applyAlignment="0">
      <alignment horizontal="center"/>
    </xf>
    <xf numFmtId="0" fontId="18" fillId="0" borderId="0" applyFill="0">
      <alignment vertical="top" wrapText="1"/>
    </xf>
    <xf numFmtId="0" fontId="15" fillId="0" borderId="0" applyFill="0">
      <alignment horizontal="left" vertical="top" wrapText="1"/>
    </xf>
    <xf numFmtId="172" fontId="13" fillId="0" borderId="0" applyFill="0"/>
    <xf numFmtId="0" fontId="17" fillId="0" borderId="0" applyNumberFormat="0" applyFont="0" applyAlignment="0">
      <alignment horizontal="center"/>
    </xf>
    <xf numFmtId="0" fontId="19" fillId="0" borderId="0" applyFill="0">
      <alignment vertical="center" wrapText="1"/>
    </xf>
    <xf numFmtId="0" fontId="20" fillId="0" borderId="0">
      <alignment horizontal="left" vertical="center" wrapText="1"/>
    </xf>
    <xf numFmtId="172" fontId="21" fillId="0" borderId="0" applyFill="0"/>
    <xf numFmtId="0" fontId="17" fillId="0" borderId="0" applyNumberFormat="0" applyFont="0" applyAlignment="0">
      <alignment horizontal="center"/>
    </xf>
    <xf numFmtId="0" fontId="22" fillId="0" borderId="0" applyFill="0">
      <alignment horizontal="center" vertical="center" wrapText="1"/>
    </xf>
    <xf numFmtId="0" fontId="23" fillId="0" borderId="0" applyFill="0">
      <alignment horizontal="center" vertical="center" wrapText="1"/>
    </xf>
    <xf numFmtId="0" fontId="13" fillId="0" borderId="0" applyFill="0">
      <alignment horizontal="center" vertical="center" wrapText="1"/>
    </xf>
    <xf numFmtId="172" fontId="24" fillId="0" borderId="0" applyFill="0"/>
    <xf numFmtId="0" fontId="17" fillId="0" borderId="0" applyNumberFormat="0" applyFont="0" applyAlignment="0">
      <alignment horizontal="center"/>
    </xf>
    <xf numFmtId="0" fontId="25" fillId="0" borderId="0" applyFill="0">
      <alignment horizontal="center" vertical="center" wrapText="1"/>
    </xf>
    <xf numFmtId="0" fontId="26" fillId="0" borderId="0" applyFill="0">
      <alignment horizontal="center" vertical="center" wrapText="1"/>
    </xf>
    <xf numFmtId="172" fontId="27" fillId="0" borderId="0" applyFill="0"/>
    <xf numFmtId="0" fontId="17" fillId="0" borderId="0" applyNumberFormat="0" applyFont="0" applyAlignment="0">
      <alignment horizontal="center"/>
    </xf>
    <xf numFmtId="0" fontId="28" fillId="0" borderId="0">
      <alignment horizontal="center" wrapText="1"/>
    </xf>
    <xf numFmtId="0" fontId="24" fillId="0" borderId="0" applyFill="0">
      <alignment horizontal="center" wrapText="1"/>
    </xf>
    <xf numFmtId="178" fontId="55" fillId="0" borderId="0" applyFont="0" applyFill="0" applyBorder="0" applyAlignment="0" applyProtection="0">
      <protection locked="0"/>
    </xf>
    <xf numFmtId="195" fontId="55" fillId="0" borderId="0" applyFont="0" applyFill="0" applyBorder="0" applyAlignment="0" applyProtection="0">
      <protection locked="0"/>
    </xf>
    <xf numFmtId="39" fontId="13" fillId="0" borderId="0" applyFont="0" applyFill="0" applyBorder="0" applyAlignment="0" applyProtection="0"/>
    <xf numFmtId="196" fontId="56" fillId="0" borderId="0" applyFont="0" applyFill="0" applyBorder="0" applyAlignment="0" applyProtection="0"/>
    <xf numFmtId="181" fontId="53" fillId="0" borderId="0" applyFont="0" applyFill="0" applyBorder="0" applyAlignment="0" applyProtection="0"/>
    <xf numFmtId="0" fontId="13" fillId="0" borderId="1" applyNumberFormat="0" applyFont="0" applyFill="0" applyBorder="0" applyProtection="0">
      <alignment horizontal="centerContinuous" vertical="center"/>
    </xf>
    <xf numFmtId="0" fontId="37" fillId="0" borderId="0" applyFill="0" applyBorder="0" applyProtection="0">
      <alignment horizontal="center"/>
      <protection locked="0"/>
    </xf>
    <xf numFmtId="43" fontId="13" fillId="0" borderId="0" applyFont="0" applyFill="0" applyBorder="0" applyAlignment="0" applyProtection="0"/>
    <xf numFmtId="0" fontId="13"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41" fontId="13" fillId="0" borderId="0" applyFont="0" applyFill="0" applyBorder="0" applyAlignment="0" applyProtection="0"/>
    <xf numFmtId="197" fontId="51" fillId="0" borderId="0" applyFont="0" applyFill="0" applyBorder="0" applyAlignment="0" applyProtection="0"/>
    <xf numFmtId="198" fontId="51" fillId="0" borderId="0" applyFont="0" applyFill="0" applyBorder="0" applyAlignment="0" applyProtection="0"/>
    <xf numFmtId="199" fontId="51" fillId="0" borderId="0" applyFont="0" applyFill="0" applyBorder="0" applyAlignment="0" applyProtection="0"/>
    <xf numFmtId="200" fontId="49" fillId="0" borderId="0" applyFont="0" applyFill="0" applyBorder="0" applyAlignment="0" applyProtection="0"/>
    <xf numFmtId="201" fontId="58" fillId="0" borderId="0" applyFont="0" applyFill="0" applyBorder="0" applyAlignment="0" applyProtection="0"/>
    <xf numFmtId="202" fontId="58" fillId="0" borderId="0" applyFont="0" applyFill="0" applyBorder="0" applyAlignment="0" applyProtection="0"/>
    <xf numFmtId="203" fontId="16" fillId="0" borderId="0" applyFont="0" applyFill="0" applyBorder="0" applyAlignment="0" applyProtection="0">
      <protection locked="0"/>
    </xf>
    <xf numFmtId="43" fontId="9" fillId="0" borderId="0" applyFont="0" applyFill="0" applyBorder="0" applyAlignment="0" applyProtection="0"/>
    <xf numFmtId="43" fontId="33" fillId="0" borderId="0" applyFont="0" applyFill="0" applyBorder="0" applyAlignment="0" applyProtection="0"/>
    <xf numFmtId="43" fontId="23" fillId="0" borderId="0" applyFont="0" applyFill="0" applyBorder="0" applyAlignment="0" applyProtection="0"/>
    <xf numFmtId="43" fontId="13" fillId="0" borderId="0" applyFont="0" applyFill="0" applyBorder="0" applyAlignment="0" applyProtection="0"/>
    <xf numFmtId="43" fontId="47"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93" fillId="0" borderId="0" applyFont="0" applyFill="0" applyBorder="0" applyAlignment="0" applyProtection="0"/>
    <xf numFmtId="37" fontId="59" fillId="0" borderId="0" applyFill="0" applyBorder="0" applyAlignment="0" applyProtection="0"/>
    <xf numFmtId="3" fontId="13" fillId="0" borderId="0" applyFont="0" applyFill="0" applyBorder="0" applyAlignment="0" applyProtection="0"/>
    <xf numFmtId="0" fontId="12" fillId="0" borderId="0" applyFill="0" applyBorder="0" applyAlignment="0" applyProtection="0">
      <protection locked="0"/>
    </xf>
    <xf numFmtId="0" fontId="13" fillId="0" borderId="4"/>
    <xf numFmtId="44" fontId="13" fillId="0" borderId="0" applyFont="0" applyFill="0" applyBorder="0" applyAlignment="0" applyProtection="0"/>
    <xf numFmtId="204" fontId="51" fillId="0" borderId="0" applyFont="0" applyFill="0" applyBorder="0" applyAlignment="0" applyProtection="0"/>
    <xf numFmtId="205" fontId="51" fillId="0" borderId="0" applyFont="0" applyFill="0" applyBorder="0" applyAlignment="0" applyProtection="0"/>
    <xf numFmtId="206" fontId="51" fillId="0" borderId="0" applyFont="0" applyFill="0" applyBorder="0" applyAlignment="0" applyProtection="0"/>
    <xf numFmtId="207" fontId="58" fillId="0" borderId="0" applyFont="0" applyFill="0" applyBorder="0" applyAlignment="0" applyProtection="0"/>
    <xf numFmtId="208" fontId="58" fillId="0" borderId="0" applyFont="0" applyFill="0" applyBorder="0" applyAlignment="0" applyProtection="0"/>
    <xf numFmtId="209" fontId="58" fillId="0" borderId="0" applyFont="0" applyFill="0" applyBorder="0" applyAlignment="0" applyProtection="0"/>
    <xf numFmtId="210" fontId="16" fillId="0" borderId="0" applyFont="0" applyFill="0" applyBorder="0" applyAlignment="0" applyProtection="0">
      <protection locked="0"/>
    </xf>
    <xf numFmtId="44" fontId="23" fillId="0" borderId="0" applyFont="0" applyFill="0" applyBorder="0" applyAlignment="0" applyProtection="0"/>
    <xf numFmtId="44" fontId="13" fillId="0" borderId="0" applyFont="0" applyFill="0" applyBorder="0" applyAlignment="0" applyProtection="0"/>
    <xf numFmtId="44" fontId="47"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5" fontId="59" fillId="0" borderId="0" applyFill="0" applyBorder="0" applyAlignment="0" applyProtection="0"/>
    <xf numFmtId="5" fontId="13" fillId="0" borderId="0" applyFont="0" applyFill="0" applyBorder="0" applyAlignment="0" applyProtection="0"/>
    <xf numFmtId="5" fontId="13" fillId="0" borderId="0" applyFont="0" applyFill="0" applyBorder="0" applyAlignment="0" applyProtection="0"/>
    <xf numFmtId="211" fontId="53" fillId="0" borderId="0" applyFont="0" applyFill="0" applyBorder="0" applyAlignment="0" applyProtection="0"/>
    <xf numFmtId="180" fontId="13" fillId="0" borderId="0" applyFont="0" applyFill="0" applyBorder="0" applyAlignment="0" applyProtection="0"/>
    <xf numFmtId="212" fontId="55" fillId="0" borderId="0" applyFont="0" applyFill="0" applyBorder="0" applyAlignment="0" applyProtection="0">
      <protection locked="0"/>
    </xf>
    <xf numFmtId="7" fontId="11" fillId="0" borderId="0" applyFont="0" applyFill="0" applyBorder="0" applyAlignment="0" applyProtection="0"/>
    <xf numFmtId="213" fontId="56" fillId="0" borderId="0" applyFont="0" applyFill="0" applyBorder="0" applyAlignment="0" applyProtection="0"/>
    <xf numFmtId="179" fontId="60" fillId="0" borderId="0" applyFont="0" applyFill="0" applyBorder="0" applyAlignment="0" applyProtection="0"/>
    <xf numFmtId="0" fontId="61" fillId="3" borderId="5" applyNumberFormat="0" applyFont="0" applyFill="0" applyAlignment="0" applyProtection="0">
      <alignment horizontal="left" indent="1"/>
    </xf>
    <xf numFmtId="14" fontId="13" fillId="0" borderId="0" applyFont="0" applyFill="0" applyBorder="0" applyAlignment="0" applyProtection="0"/>
    <xf numFmtId="214" fontId="51" fillId="0" borderId="0" applyFont="0" applyFill="0" applyBorder="0" applyProtection="0"/>
    <xf numFmtId="215" fontId="51" fillId="0" borderId="0" applyFont="0" applyFill="0" applyBorder="0" applyProtection="0"/>
    <xf numFmtId="216" fontId="51" fillId="0" borderId="0" applyFont="0" applyFill="0" applyBorder="0" applyAlignment="0" applyProtection="0"/>
    <xf numFmtId="217" fontId="51" fillId="0" borderId="0" applyFont="0" applyFill="0" applyBorder="0" applyAlignment="0" applyProtection="0"/>
    <xf numFmtId="218" fontId="51" fillId="0" borderId="0" applyFont="0" applyFill="0" applyBorder="0" applyAlignment="0" applyProtection="0"/>
    <xf numFmtId="219" fontId="62" fillId="0" borderId="0" applyFont="0" applyFill="0" applyBorder="0" applyAlignment="0" applyProtection="0"/>
    <xf numFmtId="5" fontId="63" fillId="0" borderId="0" applyBorder="0"/>
    <xf numFmtId="180" fontId="63" fillId="0" borderId="0" applyBorder="0"/>
    <xf numFmtId="7" fontId="63" fillId="0" borderId="0" applyBorder="0"/>
    <xf numFmtId="37" fontId="63" fillId="0" borderId="0" applyBorder="0"/>
    <xf numFmtId="178" fontId="63" fillId="0" borderId="0" applyBorder="0"/>
    <xf numFmtId="220" fontId="63" fillId="0" borderId="0" applyBorder="0"/>
    <xf numFmtId="39" fontId="63" fillId="0" borderId="0" applyBorder="0"/>
    <xf numFmtId="221" fontId="63" fillId="0" borderId="0" applyBorder="0"/>
    <xf numFmtId="7" fontId="13" fillId="0" borderId="0" applyFont="0" applyFill="0" applyBorder="0" applyAlignment="0" applyProtection="0"/>
    <xf numFmtId="222" fontId="53" fillId="0" borderId="0" applyFont="0" applyFill="0" applyBorder="0" applyAlignment="0" applyProtection="0"/>
    <xf numFmtId="223" fontId="53" fillId="0" borderId="0" applyFont="0" applyFill="0" applyAlignment="0" applyProtection="0"/>
    <xf numFmtId="222" fontId="53" fillId="0" borderId="0" applyFont="0" applyFill="0" applyBorder="0" applyAlignment="0" applyProtection="0"/>
    <xf numFmtId="224" fontId="11" fillId="0" borderId="0" applyFont="0" applyFill="0" applyBorder="0" applyAlignment="0" applyProtection="0"/>
    <xf numFmtId="2" fontId="13" fillId="0" borderId="0" applyFont="0" applyFill="0" applyBorder="0" applyAlignment="0" applyProtection="0"/>
    <xf numFmtId="0" fontId="64" fillId="0" borderId="0"/>
    <xf numFmtId="178" fontId="65" fillId="0" borderId="0" applyNumberFormat="0" applyFill="0" applyBorder="0" applyAlignment="0" applyProtection="0"/>
    <xf numFmtId="0" fontId="11" fillId="0" borderId="0" applyFont="0" applyFill="0" applyBorder="0" applyAlignment="0" applyProtection="0"/>
    <xf numFmtId="0" fontId="51" fillId="0" borderId="0" applyFont="0" applyFill="0" applyBorder="0" applyProtection="0">
      <alignment horizontal="center" wrapText="1"/>
    </xf>
    <xf numFmtId="225" fontId="51" fillId="0" borderId="0" applyFont="0" applyFill="0" applyBorder="0" applyProtection="0">
      <alignment horizontal="right"/>
    </xf>
    <xf numFmtId="0" fontId="65" fillId="0" borderId="0" applyNumberFormat="0" applyFill="0" applyBorder="0" applyAlignment="0" applyProtection="0"/>
    <xf numFmtId="0" fontId="66" fillId="4" borderId="0" applyNumberFormat="0" applyFill="0" applyBorder="0" applyAlignment="0" applyProtection="0"/>
    <xf numFmtId="0" fontId="15" fillId="0" borderId="6" applyNumberFormat="0" applyAlignment="0" applyProtection="0">
      <alignment horizontal="left" vertical="center"/>
    </xf>
    <xf numFmtId="0" fontId="15" fillId="0" borderId="7">
      <alignment horizontal="left" vertical="center"/>
    </xf>
    <xf numFmtId="14" fontId="38" fillId="5" borderId="8">
      <alignment horizontal="center" vertical="center" wrapText="1"/>
    </xf>
    <xf numFmtId="0" fontId="29" fillId="0" borderId="0" applyFont="0" applyFill="0" applyBorder="0" applyAlignment="0" applyProtection="0"/>
    <xf numFmtId="0" fontId="30" fillId="0" borderId="0" applyFont="0" applyFill="0" applyBorder="0" applyAlignment="0" applyProtection="0"/>
    <xf numFmtId="0" fontId="15" fillId="0" borderId="0" applyFont="0" applyFill="0" applyBorder="0" applyAlignment="0" applyProtection="0"/>
    <xf numFmtId="0" fontId="37" fillId="0" borderId="0" applyFill="0" applyAlignment="0" applyProtection="0">
      <protection locked="0"/>
    </xf>
    <xf numFmtId="0" fontId="37" fillId="0" borderId="1" applyFill="0" applyAlignment="0" applyProtection="0">
      <protection locked="0"/>
    </xf>
    <xf numFmtId="0" fontId="31" fillId="0" borderId="8"/>
    <xf numFmtId="0" fontId="32" fillId="0" borderId="0"/>
    <xf numFmtId="0" fontId="67" fillId="0" borderId="1" applyNumberFormat="0" applyFill="0" applyAlignment="0" applyProtection="0"/>
    <xf numFmtId="0" fontId="62" fillId="6" borderId="0" applyNumberFormat="0" applyFont="0" applyBorder="0" applyAlignment="0" applyProtection="0"/>
    <xf numFmtId="0" fontId="68" fillId="0" borderId="0" applyNumberFormat="0" applyFill="0" applyBorder="0" applyAlignment="0" applyProtection="0">
      <alignment vertical="top"/>
      <protection locked="0"/>
    </xf>
    <xf numFmtId="0" fontId="48" fillId="7" borderId="9" applyNumberFormat="0" applyAlignment="0" applyProtection="0"/>
    <xf numFmtId="226" fontId="51" fillId="0" borderId="0" applyFont="0" applyFill="0" applyBorder="0" applyProtection="0">
      <alignment horizontal="left"/>
    </xf>
    <xf numFmtId="227" fontId="51" fillId="0" borderId="0" applyFont="0" applyFill="0" applyBorder="0" applyProtection="0">
      <alignment horizontal="left"/>
    </xf>
    <xf numFmtId="228" fontId="51" fillId="0" borderId="0" applyFont="0" applyFill="0" applyBorder="0" applyProtection="0">
      <alignment horizontal="left"/>
    </xf>
    <xf numFmtId="229" fontId="51" fillId="0" borderId="0" applyFont="0" applyFill="0" applyBorder="0" applyProtection="0">
      <alignment horizontal="left"/>
    </xf>
    <xf numFmtId="10" fontId="11" fillId="8" borderId="9" applyNumberFormat="0" applyBorder="0" applyAlignment="0" applyProtection="0"/>
    <xf numFmtId="5" fontId="69" fillId="0" borderId="0" applyBorder="0"/>
    <xf numFmtId="180" fontId="69" fillId="0" borderId="0" applyBorder="0"/>
    <xf numFmtId="7" fontId="69" fillId="0" borderId="0" applyBorder="0"/>
    <xf numFmtId="37" fontId="69" fillId="0" borderId="0" applyBorder="0"/>
    <xf numFmtId="178" fontId="69" fillId="0" borderId="0" applyBorder="0"/>
    <xf numFmtId="220" fontId="69" fillId="0" borderId="0" applyBorder="0"/>
    <xf numFmtId="39" fontId="69" fillId="0" borderId="0" applyBorder="0"/>
    <xf numFmtId="221" fontId="69" fillId="0" borderId="0" applyBorder="0"/>
    <xf numFmtId="0" fontId="62" fillId="0" borderId="10" applyNumberFormat="0" applyFont="0" applyFill="0" applyAlignment="0" applyProtection="0"/>
    <xf numFmtId="0" fontId="70" fillId="0" borderId="0"/>
    <xf numFmtId="0" fontId="11" fillId="9" borderId="0"/>
    <xf numFmtId="230" fontId="13" fillId="0" borderId="0" applyFont="0" applyFill="0" applyBorder="0" applyAlignment="0" applyProtection="0"/>
    <xf numFmtId="231" fontId="13" fillId="0" borderId="0" applyFont="0" applyFill="0" applyBorder="0" applyAlignment="0" applyProtection="0"/>
    <xf numFmtId="232" fontId="13" fillId="0" borderId="0" applyFont="0" applyFill="0" applyBorder="0" applyAlignment="0" applyProtection="0"/>
    <xf numFmtId="233" fontId="13" fillId="0" borderId="0" applyFont="0" applyFill="0" applyBorder="0" applyAlignment="0" applyProtection="0"/>
    <xf numFmtId="0" fontId="13" fillId="0" borderId="0" applyFont="0" applyFill="0" applyBorder="0" applyAlignment="0" applyProtection="0">
      <alignment horizontal="right"/>
    </xf>
    <xf numFmtId="234" fontId="13" fillId="0" borderId="0" applyFont="0" applyFill="0" applyBorder="0" applyAlignment="0" applyProtection="0"/>
    <xf numFmtId="37" fontId="71" fillId="0" borderId="0"/>
    <xf numFmtId="0" fontId="53" fillId="0" borderId="0"/>
    <xf numFmtId="0" fontId="96" fillId="0" borderId="0"/>
    <xf numFmtId="7" fontId="94" fillId="0" borderId="0"/>
    <xf numFmtId="0" fontId="13" fillId="0" borderId="0"/>
    <xf numFmtId="0" fontId="49" fillId="0" borderId="0"/>
    <xf numFmtId="0" fontId="23" fillId="0" borderId="0"/>
    <xf numFmtId="0" fontId="13" fillId="0" borderId="0"/>
    <xf numFmtId="0" fontId="13" fillId="0" borderId="0"/>
    <xf numFmtId="0" fontId="47" fillId="0" borderId="0"/>
    <xf numFmtId="0" fontId="13" fillId="0" borderId="0"/>
    <xf numFmtId="0" fontId="13" fillId="0" borderId="0"/>
    <xf numFmtId="0" fontId="13"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172" fontId="33" fillId="0" borderId="0" applyProtection="0"/>
    <xf numFmtId="0" fontId="96" fillId="0" borderId="0"/>
    <xf numFmtId="0" fontId="96" fillId="0" borderId="0"/>
    <xf numFmtId="0" fontId="96" fillId="0" borderId="0"/>
    <xf numFmtId="0" fontId="96" fillId="0" borderId="0"/>
    <xf numFmtId="0" fontId="33" fillId="0" borderId="0" applyProtection="0"/>
    <xf numFmtId="172" fontId="33" fillId="0" borderId="0" applyProtection="0"/>
    <xf numFmtId="172" fontId="33" fillId="0" borderId="0" applyProtection="0"/>
    <xf numFmtId="172" fontId="33" fillId="0" borderId="0" applyProtection="0"/>
    <xf numFmtId="0" fontId="13" fillId="0" borderId="0"/>
    <xf numFmtId="172" fontId="33" fillId="0" borderId="0" applyProtection="0"/>
    <xf numFmtId="0" fontId="13" fillId="0" borderId="0"/>
    <xf numFmtId="0" fontId="43" fillId="10" borderId="0" applyNumberFormat="0" applyFont="0" applyBorder="0" applyAlignment="0"/>
    <xf numFmtId="235" fontId="13" fillId="0" borderId="0" applyFont="0" applyFill="0" applyBorder="0" applyAlignment="0" applyProtection="0"/>
    <xf numFmtId="236" fontId="72" fillId="0" borderId="0"/>
    <xf numFmtId="235"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37" fontId="13" fillId="0" borderId="0"/>
    <xf numFmtId="238" fontId="53" fillId="0" borderId="0"/>
    <xf numFmtId="238" fontId="53" fillId="0" borderId="0"/>
    <xf numFmtId="236" fontId="72" fillId="0" borderId="0"/>
    <xf numFmtId="0" fontId="53" fillId="0" borderId="0"/>
    <xf numFmtId="236" fontId="59" fillId="0" borderId="0"/>
    <xf numFmtId="237" fontId="13" fillId="0" borderId="0"/>
    <xf numFmtId="238" fontId="53" fillId="0" borderId="0"/>
    <xf numFmtId="238" fontId="53" fillId="0" borderId="0"/>
    <xf numFmtId="0" fontId="53" fillId="0" borderId="0"/>
    <xf numFmtId="0" fontId="53" fillId="0" borderId="0"/>
    <xf numFmtId="239" fontId="53" fillId="0" borderId="0"/>
    <xf numFmtId="169" fontId="53" fillId="0" borderId="0"/>
    <xf numFmtId="240" fontId="53" fillId="0" borderId="0"/>
    <xf numFmtId="239" fontId="53" fillId="0" borderId="0"/>
    <xf numFmtId="169" fontId="53" fillId="0" borderId="0"/>
    <xf numFmtId="241" fontId="53" fillId="0" borderId="0"/>
    <xf numFmtId="241" fontId="53" fillId="0" borderId="0"/>
    <xf numFmtId="176" fontId="53" fillId="0" borderId="0"/>
    <xf numFmtId="240" fontId="53" fillId="0" borderId="0"/>
    <xf numFmtId="168" fontId="53" fillId="0" borderId="0"/>
    <xf numFmtId="176" fontId="53" fillId="0" borderId="0"/>
    <xf numFmtId="176" fontId="53" fillId="0" borderId="0"/>
    <xf numFmtId="0" fontId="53" fillId="0" borderId="0"/>
    <xf numFmtId="235" fontId="13" fillId="0" borderId="0" applyFont="0" applyFill="0" applyBorder="0" applyAlignment="0" applyProtection="0"/>
    <xf numFmtId="235" fontId="13" fillId="0" borderId="0" applyFont="0" applyFill="0" applyBorder="0" applyAlignment="0" applyProtection="0"/>
    <xf numFmtId="235" fontId="13" fillId="0" borderId="0" applyFont="0" applyFill="0" applyBorder="0" applyAlignment="0" applyProtection="0"/>
    <xf numFmtId="236" fontId="72" fillId="0" borderId="0"/>
    <xf numFmtId="236" fontId="72" fillId="0" borderId="0"/>
    <xf numFmtId="235" fontId="13" fillId="0" borderId="0" applyFont="0" applyFill="0" applyBorder="0" applyAlignment="0" applyProtection="0"/>
    <xf numFmtId="236" fontId="72" fillId="0" borderId="0"/>
    <xf numFmtId="236" fontId="72" fillId="0" borderId="0"/>
    <xf numFmtId="239" fontId="53" fillId="0" borderId="0"/>
    <xf numFmtId="169" fontId="53" fillId="0" borderId="0"/>
    <xf numFmtId="240" fontId="53" fillId="0" borderId="0"/>
    <xf numFmtId="239" fontId="53" fillId="0" borderId="0"/>
    <xf numFmtId="169" fontId="53" fillId="0" borderId="0"/>
    <xf numFmtId="241" fontId="53" fillId="0" borderId="0"/>
    <xf numFmtId="241" fontId="53" fillId="0" borderId="0"/>
    <xf numFmtId="176" fontId="53" fillId="0" borderId="0"/>
    <xf numFmtId="240" fontId="53" fillId="0" borderId="0"/>
    <xf numFmtId="168" fontId="53" fillId="0" borderId="0"/>
    <xf numFmtId="176" fontId="53" fillId="0" borderId="0"/>
    <xf numFmtId="176" fontId="53" fillId="0" borderId="0"/>
    <xf numFmtId="242" fontId="21" fillId="11" borderId="0" applyFont="0" applyFill="0" applyBorder="0" applyAlignment="0" applyProtection="0"/>
    <xf numFmtId="243" fontId="21" fillId="11" borderId="0" applyFont="0" applyFill="0" applyBorder="0" applyAlignment="0" applyProtection="0"/>
    <xf numFmtId="244" fontId="13" fillId="0" borderId="0" applyFont="0" applyFill="0" applyBorder="0" applyAlignment="0" applyProtection="0"/>
    <xf numFmtId="9" fontId="13" fillId="0" borderId="0" applyFont="0" applyFill="0" applyBorder="0" applyAlignment="0" applyProtection="0"/>
    <xf numFmtId="245" fontId="58" fillId="0" borderId="0" applyFont="0" applyFill="0" applyBorder="0" applyAlignment="0" applyProtection="0"/>
    <xf numFmtId="246" fontId="49" fillId="0" borderId="0" applyFont="0" applyFill="0" applyBorder="0" applyAlignment="0" applyProtection="0"/>
    <xf numFmtId="247" fontId="13" fillId="0" borderId="0" applyFont="0" applyFill="0" applyBorder="0" applyAlignment="0" applyProtection="0"/>
    <xf numFmtId="248" fontId="51" fillId="0" borderId="0" applyFont="0" applyFill="0" applyBorder="0" applyAlignment="0" applyProtection="0"/>
    <xf numFmtId="249" fontId="51" fillId="0" borderId="0" applyFont="0" applyFill="0" applyBorder="0" applyAlignment="0" applyProtection="0"/>
    <xf numFmtId="250" fontId="51" fillId="0" borderId="0" applyFont="0" applyFill="0" applyBorder="0" applyAlignment="0" applyProtection="0"/>
    <xf numFmtId="251" fontId="51" fillId="0" borderId="0" applyFont="0" applyFill="0" applyBorder="0" applyAlignment="0" applyProtection="0"/>
    <xf numFmtId="252" fontId="58" fillId="0" borderId="0" applyFont="0" applyFill="0" applyBorder="0" applyAlignment="0" applyProtection="0"/>
    <xf numFmtId="253" fontId="49" fillId="0" borderId="0" applyFont="0" applyFill="0" applyBorder="0" applyAlignment="0" applyProtection="0"/>
    <xf numFmtId="254" fontId="58" fillId="0" borderId="0" applyFont="0" applyFill="0" applyBorder="0" applyAlignment="0" applyProtection="0"/>
    <xf numFmtId="255" fontId="49" fillId="0" borderId="0" applyFont="0" applyFill="0" applyBorder="0" applyAlignment="0" applyProtection="0"/>
    <xf numFmtId="256" fontId="58" fillId="0" borderId="0" applyFont="0" applyFill="0" applyBorder="0" applyAlignment="0" applyProtection="0"/>
    <xf numFmtId="257" fontId="49" fillId="0" borderId="0" applyFont="0" applyFill="0" applyBorder="0" applyAlignment="0" applyProtection="0"/>
    <xf numFmtId="258" fontId="16" fillId="0" borderId="0" applyFont="0" applyFill="0" applyBorder="0" applyAlignment="0" applyProtection="0">
      <protection locked="0"/>
    </xf>
    <xf numFmtId="259" fontId="49" fillId="0" borderId="0" applyFont="0" applyFill="0" applyBorder="0" applyAlignment="0" applyProtection="0"/>
    <xf numFmtId="9" fontId="23" fillId="0" borderId="0" applyFont="0" applyFill="0" applyBorder="0" applyAlignment="0" applyProtection="0"/>
    <xf numFmtId="9" fontId="13" fillId="0" borderId="0" applyFont="0" applyFill="0" applyBorder="0" applyAlignment="0" applyProtection="0"/>
    <xf numFmtId="9" fontId="47"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9" fillId="0" borderId="0" applyFont="0" applyFill="0" applyBorder="0" applyAlignment="0" applyProtection="0"/>
    <xf numFmtId="9" fontId="13" fillId="0" borderId="0" applyFont="0" applyFill="0" applyBorder="0" applyAlignment="0" applyProtection="0"/>
    <xf numFmtId="189" fontId="59" fillId="0" borderId="0" applyFill="0" applyBorder="0" applyAlignment="0" applyProtection="0"/>
    <xf numFmtId="9" fontId="63" fillId="0" borderId="0" applyBorder="0"/>
    <xf numFmtId="170" fontId="63" fillId="0" borderId="0" applyBorder="0"/>
    <xf numFmtId="10" fontId="63" fillId="0" borderId="0" applyBorder="0"/>
    <xf numFmtId="0" fontId="34" fillId="0" borderId="0" applyNumberFormat="0" applyFont="0" applyFill="0" applyBorder="0" applyAlignment="0" applyProtection="0">
      <alignment horizontal="left"/>
    </xf>
    <xf numFmtId="15" fontId="34" fillId="0" borderId="0" applyFont="0" applyFill="0" applyBorder="0" applyAlignment="0" applyProtection="0"/>
    <xf numFmtId="4" fontId="34" fillId="0" borderId="0" applyFont="0" applyFill="0" applyBorder="0" applyAlignment="0" applyProtection="0"/>
    <xf numFmtId="3" fontId="13" fillId="0" borderId="0">
      <alignment horizontal="left" vertical="top"/>
    </xf>
    <xf numFmtId="0" fontId="35" fillId="0" borderId="8">
      <alignment horizontal="center"/>
    </xf>
    <xf numFmtId="3" fontId="34" fillId="0" borderId="0" applyFont="0" applyFill="0" applyBorder="0" applyAlignment="0" applyProtection="0"/>
    <xf numFmtId="0" fontId="34" fillId="12" borderId="0" applyNumberFormat="0" applyFont="0" applyBorder="0" applyAlignment="0" applyProtection="0"/>
    <xf numFmtId="3" fontId="13" fillId="0" borderId="0">
      <alignment horizontal="right" vertical="top"/>
    </xf>
    <xf numFmtId="41" fontId="20" fillId="9" borderId="11" applyFill="0"/>
    <xf numFmtId="0" fontId="36" fillId="0" borderId="0">
      <alignment horizontal="left" indent="7"/>
    </xf>
    <xf numFmtId="41" fontId="20" fillId="0" borderId="11" applyFill="0">
      <alignment horizontal="left" indent="2"/>
    </xf>
    <xf numFmtId="172" fontId="37" fillId="0" borderId="1" applyFill="0">
      <alignment horizontal="right"/>
    </xf>
    <xf numFmtId="0" fontId="38" fillId="0" borderId="9" applyNumberFormat="0" applyFont="0" applyBorder="0">
      <alignment horizontal="right"/>
    </xf>
    <xf numFmtId="0" fontId="39" fillId="0" borderId="0" applyFill="0"/>
    <xf numFmtId="0" fontId="15" fillId="0" borderId="0" applyFill="0"/>
    <xf numFmtId="4" fontId="37" fillId="0" borderId="1" applyFill="0"/>
    <xf numFmtId="0" fontId="13" fillId="0" borderId="0" applyNumberFormat="0" applyFont="0" applyBorder="0" applyAlignment="0"/>
    <xf numFmtId="0" fontId="18" fillId="0" borderId="0" applyFill="0">
      <alignment horizontal="left" indent="1"/>
    </xf>
    <xf numFmtId="0" fontId="40" fillId="0" borderId="0" applyFill="0">
      <alignment horizontal="left" indent="1"/>
    </xf>
    <xf numFmtId="4" fontId="21" fillId="0" borderId="0" applyFill="0"/>
    <xf numFmtId="0" fontId="13" fillId="0" borderId="0" applyNumberFormat="0" applyFont="0" applyFill="0" applyBorder="0" applyAlignment="0"/>
    <xf numFmtId="0" fontId="18" fillId="0" borderId="0" applyFill="0">
      <alignment horizontal="left" indent="2"/>
    </xf>
    <xf numFmtId="0" fontId="15" fillId="0" borderId="0" applyFill="0">
      <alignment horizontal="left" indent="2"/>
    </xf>
    <xf numFmtId="4" fontId="21" fillId="0" borderId="0" applyFill="0"/>
    <xf numFmtId="0" fontId="13" fillId="0" borderId="0" applyNumberFormat="0" applyFont="0" applyBorder="0" applyAlignment="0"/>
    <xf numFmtId="0" fontId="41" fillId="0" borderId="0">
      <alignment horizontal="left" indent="3"/>
    </xf>
    <xf numFmtId="0" fontId="42" fillId="0" borderId="0" applyFill="0">
      <alignment horizontal="left" indent="3"/>
    </xf>
    <xf numFmtId="4" fontId="21" fillId="0" borderId="0" applyFill="0"/>
    <xf numFmtId="0" fontId="13" fillId="0" borderId="0" applyNumberFormat="0" applyFont="0" applyBorder="0" applyAlignment="0"/>
    <xf numFmtId="0" fontId="22" fillId="0" borderId="0">
      <alignment horizontal="left" indent="4"/>
    </xf>
    <xf numFmtId="0" fontId="23" fillId="0" borderId="0" applyFill="0">
      <alignment horizontal="left" indent="4"/>
    </xf>
    <xf numFmtId="0" fontId="13" fillId="0" borderId="0" applyFill="0">
      <alignment horizontal="left" indent="4"/>
    </xf>
    <xf numFmtId="4" fontId="24" fillId="0" borderId="0" applyFill="0"/>
    <xf numFmtId="0" fontId="13" fillId="0" borderId="0" applyNumberFormat="0" applyFont="0" applyBorder="0" applyAlignment="0"/>
    <xf numFmtId="0" fontId="25" fillId="0" borderId="0">
      <alignment horizontal="left" indent="5"/>
    </xf>
    <xf numFmtId="0" fontId="26" fillId="0" borderId="0" applyFill="0">
      <alignment horizontal="left" indent="5"/>
    </xf>
    <xf numFmtId="4" fontId="27" fillId="0" borderId="0" applyFill="0"/>
    <xf numFmtId="0" fontId="13" fillId="0" borderId="0" applyNumberFormat="0" applyFont="0" applyFill="0" applyBorder="0" applyAlignment="0"/>
    <xf numFmtId="0" fontId="28" fillId="0" borderId="0" applyFill="0">
      <alignment horizontal="left" indent="6"/>
    </xf>
    <xf numFmtId="0" fontId="24" fillId="0" borderId="0" applyFill="0">
      <alignment horizontal="left" indent="6"/>
    </xf>
    <xf numFmtId="0" fontId="62" fillId="0" borderId="12" applyNumberFormat="0" applyFont="0" applyFill="0" applyAlignment="0" applyProtection="0"/>
    <xf numFmtId="0" fontId="73" fillId="0" borderId="0" applyNumberFormat="0" applyFill="0" applyBorder="0" applyAlignment="0" applyProtection="0"/>
    <xf numFmtId="0" fontId="74" fillId="0" borderId="0"/>
    <xf numFmtId="0" fontId="74" fillId="0" borderId="0"/>
    <xf numFmtId="0" fontId="50" fillId="0" borderId="8">
      <alignment horizontal="right"/>
    </xf>
    <xf numFmtId="0" fontId="12" fillId="13" borderId="0"/>
    <xf numFmtId="260" fontId="60" fillId="0" borderId="0">
      <alignment horizontal="center"/>
    </xf>
    <xf numFmtId="261" fontId="75" fillId="0" borderId="0">
      <alignment horizontal="center"/>
    </xf>
    <xf numFmtId="0" fontId="76" fillId="0" borderId="0" applyNumberFormat="0" applyFill="0" applyBorder="0" applyAlignment="0" applyProtection="0"/>
    <xf numFmtId="0" fontId="77" fillId="0" borderId="0" applyNumberFormat="0" applyBorder="0" applyAlignment="0"/>
    <xf numFmtId="0" fontId="46" fillId="0" borderId="0" applyNumberFormat="0" applyBorder="0" applyAlignment="0"/>
    <xf numFmtId="0" fontId="13" fillId="9" borderId="4" applyNumberFormat="0" applyFont="0" applyAlignment="0"/>
    <xf numFmtId="0" fontId="62" fillId="3" borderId="0" applyNumberFormat="0" applyFont="0" applyBorder="0" applyAlignment="0" applyProtection="0"/>
    <xf numFmtId="242" fontId="78" fillId="0" borderId="7" applyNumberFormat="0" applyFont="0" applyFill="0" applyAlignment="0" applyProtection="0"/>
    <xf numFmtId="0" fontId="44" fillId="0" borderId="0" applyFill="0" applyBorder="0" applyProtection="0">
      <alignment horizontal="left" vertical="top"/>
    </xf>
    <xf numFmtId="0" fontId="79" fillId="0" borderId="0" applyAlignment="0">
      <alignment horizontal="centerContinuous"/>
    </xf>
    <xf numFmtId="0" fontId="13" fillId="0" borderId="3" applyNumberFormat="0" applyFont="0" applyFill="0" applyAlignment="0" applyProtection="0"/>
    <xf numFmtId="0" fontId="13" fillId="0" borderId="0" applyFont="0" applyFill="0" applyBorder="0" applyAlignment="0" applyProtection="0"/>
    <xf numFmtId="0" fontId="80" fillId="0" borderId="0" applyNumberFormat="0" applyFill="0" applyBorder="0" applyAlignment="0" applyProtection="0"/>
    <xf numFmtId="262" fontId="49" fillId="0" borderId="0" applyFont="0" applyFill="0" applyBorder="0" applyAlignment="0" applyProtection="0"/>
    <xf numFmtId="263" fontId="49" fillId="0" borderId="0" applyFont="0" applyFill="0" applyBorder="0" applyAlignment="0" applyProtection="0"/>
    <xf numFmtId="264" fontId="49" fillId="0" borderId="0" applyFont="0" applyFill="0" applyBorder="0" applyAlignment="0" applyProtection="0"/>
    <xf numFmtId="265" fontId="49" fillId="0" borderId="0" applyFont="0" applyFill="0" applyBorder="0" applyAlignment="0" applyProtection="0"/>
    <xf numFmtId="266" fontId="49" fillId="0" borderId="0" applyFont="0" applyFill="0" applyBorder="0" applyAlignment="0" applyProtection="0"/>
    <xf numFmtId="267" fontId="49" fillId="0" borderId="0" applyFont="0" applyFill="0" applyBorder="0" applyAlignment="0" applyProtection="0"/>
    <xf numFmtId="268" fontId="49" fillId="0" borderId="0" applyFont="0" applyFill="0" applyBorder="0" applyAlignment="0" applyProtection="0"/>
    <xf numFmtId="269" fontId="49" fillId="0" borderId="0" applyFont="0" applyFill="0" applyBorder="0" applyAlignment="0" applyProtection="0"/>
    <xf numFmtId="270" fontId="81" fillId="3" borderId="13" applyFont="0" applyFill="0" applyBorder="0" applyAlignment="0" applyProtection="0"/>
    <xf numFmtId="270" fontId="53" fillId="0" borderId="0" applyFont="0" applyFill="0" applyBorder="0" applyAlignment="0" applyProtection="0"/>
    <xf numFmtId="271" fontId="56" fillId="0" borderId="0" applyFont="0" applyFill="0" applyBorder="0" applyAlignment="0" applyProtection="0"/>
    <xf numFmtId="272" fontId="60" fillId="0" borderId="7" applyFont="0" applyFill="0" applyBorder="0" applyAlignment="0" applyProtection="0">
      <alignment horizontal="right"/>
      <protection locked="0"/>
    </xf>
    <xf numFmtId="43" fontId="9" fillId="0" borderId="0" applyFont="0" applyFill="0" applyBorder="0" applyAlignment="0" applyProtection="0"/>
    <xf numFmtId="43" fontId="77"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100" fillId="0" borderId="0"/>
    <xf numFmtId="0" fontId="6" fillId="0" borderId="0"/>
    <xf numFmtId="43" fontId="6" fillId="0" borderId="0" applyFont="0" applyFill="0" applyBorder="0" applyAlignment="0" applyProtection="0"/>
    <xf numFmtId="0" fontId="13" fillId="0" borderId="0"/>
    <xf numFmtId="172" fontId="33" fillId="0" borderId="0" applyProtection="0"/>
    <xf numFmtId="0" fontId="5" fillId="0" borderId="0"/>
    <xf numFmtId="0" fontId="4" fillId="0" borderId="0"/>
    <xf numFmtId="172" fontId="33" fillId="0" borderId="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1" fontId="4" fillId="0" borderId="0" applyFont="0" applyFill="0" applyBorder="0" applyAlignment="0" applyProtection="0"/>
    <xf numFmtId="0" fontId="4" fillId="0" borderId="0"/>
    <xf numFmtId="43" fontId="13" fillId="0" borderId="0" applyFont="0" applyFill="0" applyBorder="0" applyAlignment="0" applyProtection="0"/>
    <xf numFmtId="0" fontId="13" fillId="0" borderId="0"/>
    <xf numFmtId="0" fontId="116" fillId="0" borderId="0"/>
    <xf numFmtId="0" fontId="3" fillId="0" borderId="0"/>
    <xf numFmtId="0" fontId="3" fillId="0" borderId="0"/>
    <xf numFmtId="9" fontId="9" fillId="0" borderId="0" applyFont="0" applyFill="0" applyBorder="0" applyAlignment="0" applyProtection="0"/>
    <xf numFmtId="43" fontId="9" fillId="0" borderId="0" applyFont="0" applyFill="0" applyBorder="0" applyAlignment="0" applyProtection="0"/>
    <xf numFmtId="0" fontId="3" fillId="0" borderId="0"/>
    <xf numFmtId="43" fontId="9"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cellStyleXfs>
  <cellXfs count="1044">
    <xf numFmtId="172" fontId="0" fillId="0" borderId="0" xfId="0" applyAlignment="1"/>
    <xf numFmtId="0" fontId="60" fillId="0" borderId="0" xfId="206" applyFont="1" applyFill="1" applyBorder="1" applyAlignment="1">
      <alignment horizontal="center" wrapText="1"/>
    </xf>
    <xf numFmtId="0" fontId="53" fillId="0" borderId="0" xfId="201" applyNumberFormat="1" applyFont="1" applyFill="1" applyBorder="1" applyAlignment="1" applyProtection="1">
      <protection locked="0"/>
    </xf>
    <xf numFmtId="3" fontId="53" fillId="0" borderId="0" xfId="201" applyNumberFormat="1" applyFont="1" applyFill="1" applyBorder="1" applyAlignment="1"/>
    <xf numFmtId="3" fontId="53" fillId="0" borderId="0" xfId="201" applyNumberFormat="1" applyFont="1" applyFill="1" applyBorder="1" applyAlignment="1">
      <alignment horizontal="center"/>
    </xf>
    <xf numFmtId="0" fontId="53" fillId="0" borderId="0" xfId="201" applyNumberFormat="1" applyFont="1" applyFill="1" applyBorder="1" applyProtection="1">
      <protection locked="0"/>
    </xf>
    <xf numFmtId="0" fontId="53" fillId="0" borderId="0" xfId="201" applyNumberFormat="1" applyFont="1" applyFill="1" applyBorder="1"/>
    <xf numFmtId="172" fontId="53" fillId="0" borderId="0" xfId="211" applyFont="1" applyFill="1" applyAlignment="1"/>
    <xf numFmtId="3" fontId="53" fillId="0" borderId="0" xfId="211" applyNumberFormat="1" applyFont="1" applyFill="1" applyAlignment="1"/>
    <xf numFmtId="0" fontId="53" fillId="0" borderId="0" xfId="211" applyNumberFormat="1" applyFont="1" applyFill="1" applyAlignment="1"/>
    <xf numFmtId="164" fontId="53" fillId="0" borderId="0" xfId="211" applyNumberFormat="1" applyFont="1" applyFill="1" applyAlignment="1">
      <alignment horizontal="left"/>
    </xf>
    <xf numFmtId="10" fontId="53" fillId="0" borderId="0" xfId="211" applyNumberFormat="1" applyFont="1" applyFill="1" applyAlignment="1">
      <alignment horizontal="left"/>
    </xf>
    <xf numFmtId="164" fontId="53" fillId="0" borderId="0" xfId="211" applyNumberFormat="1" applyFont="1" applyFill="1" applyAlignment="1" applyProtection="1">
      <alignment horizontal="left"/>
      <protection locked="0"/>
    </xf>
    <xf numFmtId="172" fontId="53" fillId="0" borderId="1" xfId="201" applyFont="1" applyFill="1" applyBorder="1" applyAlignment="1"/>
    <xf numFmtId="172" fontId="53" fillId="0" borderId="15" xfId="201" applyFont="1" applyFill="1" applyBorder="1" applyAlignment="1"/>
    <xf numFmtId="43" fontId="53" fillId="0" borderId="0" xfId="59" applyFont="1" applyFill="1" applyBorder="1" applyAlignment="1"/>
    <xf numFmtId="172" fontId="84" fillId="0" borderId="0" xfId="201" applyFont="1" applyFill="1" applyBorder="1" applyAlignment="1"/>
    <xf numFmtId="172" fontId="53" fillId="0" borderId="0" xfId="201" applyFont="1" applyFill="1" applyBorder="1" applyAlignment="1">
      <alignment horizontal="right"/>
    </xf>
    <xf numFmtId="0" fontId="53" fillId="0" borderId="0" xfId="188" applyFont="1" applyFill="1"/>
    <xf numFmtId="0" fontId="53" fillId="0" borderId="0" xfId="201" applyNumberFormat="1" applyFont="1" applyFill="1" applyAlignment="1">
      <alignment horizontal="right"/>
    </xf>
    <xf numFmtId="0" fontId="85" fillId="0" borderId="0" xfId="201" applyNumberFormat="1" applyFont="1" applyFill="1" applyBorder="1"/>
    <xf numFmtId="0" fontId="85" fillId="0" borderId="0" xfId="201" applyNumberFormat="1" applyFont="1" applyFill="1" applyBorder="1" applyAlignment="1">
      <alignment horizontal="center"/>
    </xf>
    <xf numFmtId="49" fontId="53" fillId="0" borderId="0" xfId="201" applyNumberFormat="1" applyFont="1" applyFill="1" applyBorder="1"/>
    <xf numFmtId="3" fontId="53" fillId="0" borderId="0" xfId="201" applyNumberFormat="1" applyFont="1" applyFill="1" applyBorder="1"/>
    <xf numFmtId="0" fontId="53" fillId="0" borderId="0" xfId="201" applyNumberFormat="1" applyFont="1" applyFill="1" applyBorder="1" applyAlignment="1">
      <alignment horizontal="center"/>
    </xf>
    <xf numFmtId="49" fontId="53" fillId="0" borderId="0" xfId="201" applyNumberFormat="1" applyFont="1" applyFill="1" applyBorder="1" applyAlignment="1">
      <alignment horizontal="center"/>
    </xf>
    <xf numFmtId="0" fontId="53" fillId="0" borderId="0" xfId="201" applyNumberFormat="1" applyFont="1" applyFill="1" applyBorder="1" applyAlignment="1"/>
    <xf numFmtId="3" fontId="60" fillId="0" borderId="0" xfId="201" applyNumberFormat="1" applyFont="1" applyFill="1" applyBorder="1" applyAlignment="1">
      <alignment horizontal="center"/>
    </xf>
    <xf numFmtId="172" fontId="60" fillId="0" borderId="0" xfId="201" applyFont="1" applyFill="1" applyBorder="1" applyAlignment="1">
      <alignment horizontal="center"/>
    </xf>
    <xf numFmtId="0" fontId="60" fillId="0" borderId="0" xfId="201" applyNumberFormat="1" applyFont="1" applyFill="1" applyBorder="1" applyAlignment="1" applyProtection="1">
      <alignment horizontal="center"/>
      <protection locked="0"/>
    </xf>
    <xf numFmtId="0" fontId="60" fillId="0" borderId="0" xfId="201" applyNumberFormat="1" applyFont="1" applyFill="1" applyBorder="1" applyAlignment="1">
      <alignment horizontal="center"/>
    </xf>
    <xf numFmtId="0" fontId="60" fillId="0" borderId="0" xfId="201" applyNumberFormat="1" applyFont="1" applyFill="1" applyBorder="1" applyAlignment="1"/>
    <xf numFmtId="0" fontId="86" fillId="0" borderId="0" xfId="201" applyNumberFormat="1" applyFont="1" applyFill="1" applyBorder="1" applyAlignment="1" applyProtection="1">
      <alignment horizontal="center"/>
      <protection locked="0"/>
    </xf>
    <xf numFmtId="3" fontId="53" fillId="0" borderId="0" xfId="201" applyNumberFormat="1" applyFont="1" applyFill="1" applyBorder="1" applyAlignment="1">
      <alignment horizontal="left"/>
    </xf>
    <xf numFmtId="10" fontId="87" fillId="0" borderId="0" xfId="266" applyNumberFormat="1" applyFont="1" applyFill="1" applyBorder="1" applyAlignment="1"/>
    <xf numFmtId="10" fontId="60" fillId="0" borderId="0" xfId="201" applyNumberFormat="1" applyFont="1" applyFill="1" applyBorder="1" applyAlignment="1"/>
    <xf numFmtId="3" fontId="60" fillId="0" borderId="0" xfId="201" applyNumberFormat="1" applyFont="1" applyFill="1" applyBorder="1" applyAlignment="1"/>
    <xf numFmtId="165" fontId="60" fillId="0" borderId="0" xfId="201" applyNumberFormat="1" applyFont="1" applyFill="1" applyBorder="1" applyAlignment="1"/>
    <xf numFmtId="10" fontId="53" fillId="0" borderId="0" xfId="201" applyNumberFormat="1" applyFont="1" applyFill="1" applyBorder="1" applyAlignment="1"/>
    <xf numFmtId="43" fontId="53" fillId="0" borderId="0" xfId="59" applyFont="1" applyFill="1" applyBorder="1" applyAlignment="1">
      <alignment horizontal="center"/>
    </xf>
    <xf numFmtId="49" fontId="60" fillId="0" borderId="0" xfId="201" applyNumberFormat="1" applyFont="1" applyFill="1" applyBorder="1" applyAlignment="1">
      <alignment horizontal="center"/>
    </xf>
    <xf numFmtId="172" fontId="60" fillId="0" borderId="0" xfId="201" applyFont="1" applyFill="1" applyBorder="1" applyAlignment="1"/>
    <xf numFmtId="3" fontId="60" fillId="0" borderId="0" xfId="201" applyNumberFormat="1" applyFont="1" applyFill="1" applyBorder="1" applyAlignment="1">
      <alignment horizontal="left"/>
    </xf>
    <xf numFmtId="10" fontId="60" fillId="0" borderId="0" xfId="266" applyNumberFormat="1" applyFont="1" applyFill="1" applyBorder="1" applyAlignment="1"/>
    <xf numFmtId="0" fontId="53" fillId="0" borderId="0" xfId="201" applyNumberFormat="1" applyFont="1" applyFill="1" applyBorder="1" applyAlignment="1">
      <alignment horizontal="fill"/>
    </xf>
    <xf numFmtId="172" fontId="88" fillId="0" borderId="0" xfId="201" applyFont="1" applyFill="1" applyBorder="1" applyAlignment="1"/>
    <xf numFmtId="3" fontId="88" fillId="0" borderId="0" xfId="201" applyNumberFormat="1" applyFont="1" applyFill="1" applyBorder="1" applyAlignment="1"/>
    <xf numFmtId="164" fontId="53" fillId="0" borderId="0" xfId="201" applyNumberFormat="1" applyFont="1" applyFill="1" applyBorder="1" applyAlignment="1">
      <alignment horizontal="left"/>
    </xf>
    <xf numFmtId="164" fontId="53" fillId="0" borderId="0" xfId="201" applyNumberFormat="1" applyFont="1" applyFill="1" applyBorder="1" applyAlignment="1">
      <alignment horizontal="center"/>
    </xf>
    <xf numFmtId="169" fontId="53" fillId="0" borderId="0" xfId="201" applyNumberFormat="1" applyFont="1" applyFill="1" applyBorder="1" applyAlignment="1"/>
    <xf numFmtId="0" fontId="88" fillId="0" borderId="0" xfId="201" applyNumberFormat="1" applyFont="1" applyFill="1" applyBorder="1"/>
    <xf numFmtId="49" fontId="53" fillId="0" borderId="0" xfId="201" applyNumberFormat="1" applyFont="1" applyFill="1" applyBorder="1" applyAlignment="1">
      <alignment horizontal="left"/>
    </xf>
    <xf numFmtId="0" fontId="53" fillId="0" borderId="0" xfId="201" applyNumberFormat="1" applyFont="1" applyFill="1" applyBorder="1" applyAlignment="1">
      <alignment horizontal="right"/>
    </xf>
    <xf numFmtId="175" fontId="60" fillId="0" borderId="0" xfId="201" applyNumberFormat="1" applyFont="1" applyFill="1" applyBorder="1" applyAlignment="1">
      <alignment horizontal="center"/>
    </xf>
    <xf numFmtId="172" fontId="60" fillId="0" borderId="16" xfId="201" applyFont="1" applyFill="1" applyBorder="1" applyAlignment="1">
      <alignment horizontal="center" wrapText="1"/>
    </xf>
    <xf numFmtId="172" fontId="60" fillId="0" borderId="7" xfId="201" applyFont="1" applyFill="1" applyBorder="1" applyAlignment="1"/>
    <xf numFmtId="172" fontId="60" fillId="0" borderId="7" xfId="201" applyFont="1" applyFill="1" applyBorder="1" applyAlignment="1">
      <alignment horizontal="center" wrapText="1"/>
    </xf>
    <xf numFmtId="0" fontId="60" fillId="0" borderId="7" xfId="201" applyNumberFormat="1" applyFont="1" applyFill="1" applyBorder="1" applyAlignment="1">
      <alignment horizontal="center" wrapText="1"/>
    </xf>
    <xf numFmtId="172" fontId="60" fillId="0" borderId="9" xfId="201" applyFont="1" applyFill="1" applyBorder="1" applyAlignment="1">
      <alignment horizontal="center" wrapText="1"/>
    </xf>
    <xf numFmtId="3" fontId="60" fillId="0" borderId="9" xfId="201" applyNumberFormat="1" applyFont="1" applyFill="1" applyBorder="1" applyAlignment="1">
      <alignment horizontal="center" wrapText="1"/>
    </xf>
    <xf numFmtId="0" fontId="53" fillId="0" borderId="16" xfId="201" applyNumberFormat="1" applyFont="1" applyFill="1" applyBorder="1"/>
    <xf numFmtId="0" fontId="53" fillId="0" borderId="7" xfId="201" applyNumberFormat="1" applyFont="1" applyFill="1" applyBorder="1"/>
    <xf numFmtId="0" fontId="53" fillId="0" borderId="7" xfId="201" applyNumberFormat="1" applyFont="1" applyFill="1" applyBorder="1" applyAlignment="1">
      <alignment horizontal="center"/>
    </xf>
    <xf numFmtId="0" fontId="53" fillId="0" borderId="9" xfId="201" applyNumberFormat="1" applyFont="1" applyFill="1" applyBorder="1" applyAlignment="1">
      <alignment horizontal="center"/>
    </xf>
    <xf numFmtId="3" fontId="53" fillId="0" borderId="9" xfId="201" applyNumberFormat="1" applyFont="1" applyFill="1" applyBorder="1" applyAlignment="1">
      <alignment horizontal="center" wrapText="1"/>
    </xf>
    <xf numFmtId="3" fontId="53" fillId="0" borderId="7" xfId="201" applyNumberFormat="1" applyFont="1" applyFill="1" applyBorder="1" applyAlignment="1">
      <alignment horizontal="center"/>
    </xf>
    <xf numFmtId="0" fontId="53" fillId="0" borderId="10" xfId="201" applyNumberFormat="1" applyFont="1" applyFill="1" applyBorder="1"/>
    <xf numFmtId="0" fontId="53" fillId="0" borderId="11" xfId="201" applyNumberFormat="1" applyFont="1" applyFill="1" applyBorder="1"/>
    <xf numFmtId="3" fontId="53" fillId="0" borderId="11" xfId="201" applyNumberFormat="1" applyFont="1" applyFill="1" applyBorder="1" applyAlignment="1"/>
    <xf numFmtId="172" fontId="53" fillId="0" borderId="10" xfId="209" applyFont="1" applyFill="1" applyBorder="1" applyAlignment="1"/>
    <xf numFmtId="172" fontId="53" fillId="0" borderId="0" xfId="209" applyFont="1" applyFill="1" applyBorder="1" applyAlignment="1"/>
    <xf numFmtId="43" fontId="53" fillId="0" borderId="11" xfId="59" applyFont="1" applyFill="1" applyBorder="1" applyAlignment="1"/>
    <xf numFmtId="172" fontId="53" fillId="0" borderId="10" xfId="201" applyFont="1" applyFill="1" applyBorder="1" applyAlignment="1"/>
    <xf numFmtId="172" fontId="53" fillId="0" borderId="17" xfId="201" applyFont="1" applyFill="1" applyBorder="1" applyAlignment="1"/>
    <xf numFmtId="173" fontId="53" fillId="0" borderId="0" xfId="59" applyNumberFormat="1" applyFont="1" applyFill="1" applyBorder="1" applyAlignment="1">
      <alignment horizontal="center"/>
    </xf>
    <xf numFmtId="1" fontId="53" fillId="0" borderId="0" xfId="59" applyNumberFormat="1" applyFont="1" applyFill="1" applyBorder="1" applyAlignment="1">
      <alignment horizontal="center"/>
    </xf>
    <xf numFmtId="172" fontId="53" fillId="0" borderId="8" xfId="201" applyFont="1" applyFill="1" applyBorder="1" applyAlignment="1"/>
    <xf numFmtId="172" fontId="53" fillId="0" borderId="0" xfId="201" applyFont="1" applyFill="1" applyBorder="1" applyAlignment="1">
      <alignment horizontal="center" vertical="top"/>
    </xf>
    <xf numFmtId="0" fontId="53" fillId="0" borderId="0" xfId="192" applyFont="1" applyFill="1" applyAlignment="1">
      <alignment horizontal="center"/>
    </xf>
    <xf numFmtId="43" fontId="53" fillId="0" borderId="0" xfId="59" applyFont="1" applyFill="1"/>
    <xf numFmtId="0" fontId="53" fillId="0" borderId="0" xfId="192" applyFont="1" applyFill="1" applyAlignment="1">
      <alignment horizontal="center" vertical="center" wrapText="1"/>
    </xf>
    <xf numFmtId="0" fontId="53" fillId="0" borderId="0" xfId="211" applyNumberFormat="1" applyFont="1" applyFill="1" applyAlignment="1" applyProtection="1">
      <protection locked="0"/>
    </xf>
    <xf numFmtId="0" fontId="53" fillId="0" borderId="0" xfId="211" applyNumberFormat="1" applyFont="1" applyFill="1"/>
    <xf numFmtId="43" fontId="53" fillId="0" borderId="0" xfId="59" applyFont="1" applyFill="1" applyAlignment="1"/>
    <xf numFmtId="3" fontId="53" fillId="0" borderId="0" xfId="211" applyNumberFormat="1" applyFont="1" applyFill="1" applyBorder="1"/>
    <xf numFmtId="0" fontId="53" fillId="0" borderId="0" xfId="211" applyNumberFormat="1" applyFont="1" applyFill="1" applyBorder="1"/>
    <xf numFmtId="0" fontId="53" fillId="0" borderId="0" xfId="211" applyNumberFormat="1" applyFont="1" applyFill="1" applyBorder="1" applyAlignment="1" applyProtection="1">
      <alignment horizontal="center"/>
      <protection locked="0"/>
    </xf>
    <xf numFmtId="172" fontId="53" fillId="0" borderId="0" xfId="211" applyFont="1" applyFill="1" applyBorder="1" applyAlignment="1"/>
    <xf numFmtId="0" fontId="53" fillId="0" borderId="0" xfId="211" applyNumberFormat="1" applyFont="1" applyFill="1" applyBorder="1" applyProtection="1">
      <protection locked="0"/>
    </xf>
    <xf numFmtId="0" fontId="53" fillId="0" borderId="0" xfId="211" applyNumberFormat="1" applyFont="1" applyFill="1" applyBorder="1" applyAlignment="1"/>
    <xf numFmtId="171" fontId="53" fillId="0" borderId="0" xfId="211" applyNumberFormat="1" applyFont="1" applyFill="1" applyBorder="1" applyProtection="1">
      <protection locked="0"/>
    </xf>
    <xf numFmtId="171" fontId="53" fillId="0" borderId="0" xfId="211" applyNumberFormat="1" applyFont="1" applyFill="1" applyProtection="1">
      <protection locked="0"/>
    </xf>
    <xf numFmtId="3" fontId="53" fillId="0" borderId="0" xfId="206" applyNumberFormat="1" applyFont="1" applyFill="1" applyBorder="1" applyAlignment="1"/>
    <xf numFmtId="0" fontId="53" fillId="0" borderId="0" xfId="206" applyFont="1" applyFill="1" applyBorder="1" applyAlignment="1"/>
    <xf numFmtId="3" fontId="53" fillId="0" borderId="0" xfId="206" applyNumberFormat="1" applyFont="1" applyFill="1" applyAlignment="1"/>
    <xf numFmtId="173" fontId="53" fillId="0" borderId="0" xfId="59" applyNumberFormat="1" applyFont="1" applyFill="1" applyAlignment="1"/>
    <xf numFmtId="3" fontId="53" fillId="0" borderId="0" xfId="188" applyNumberFormat="1" applyFont="1" applyFill="1" applyAlignment="1"/>
    <xf numFmtId="0" fontId="53" fillId="0" borderId="0" xfId="206" applyNumberFormat="1" applyFont="1" applyFill="1" applyAlignment="1"/>
    <xf numFmtId="173" fontId="53" fillId="0" borderId="8" xfId="59" applyNumberFormat="1" applyFont="1" applyFill="1" applyBorder="1" applyAlignment="1"/>
    <xf numFmtId="173" fontId="53" fillId="0" borderId="0" xfId="59" applyNumberFormat="1" applyFont="1" applyFill="1" applyAlignment="1">
      <alignment horizontal="right"/>
    </xf>
    <xf numFmtId="3" fontId="53" fillId="0" borderId="0" xfId="188" applyNumberFormat="1" applyFont="1" applyFill="1" applyBorder="1" applyAlignment="1"/>
    <xf numFmtId="0" fontId="53" fillId="0" borderId="8" xfId="211" applyNumberFormat="1" applyFont="1" applyFill="1" applyBorder="1" applyProtection="1">
      <protection locked="0"/>
    </xf>
    <xf numFmtId="0" fontId="53" fillId="0" borderId="8" xfId="211" applyNumberFormat="1" applyFont="1" applyFill="1" applyBorder="1"/>
    <xf numFmtId="3" fontId="53" fillId="0" borderId="0" xfId="211" applyNumberFormat="1" applyFont="1" applyFill="1" applyAlignment="1">
      <alignment horizontal="center"/>
    </xf>
    <xf numFmtId="49" fontId="53" fillId="0" borderId="0" xfId="211" applyNumberFormat="1" applyFont="1" applyFill="1"/>
    <xf numFmtId="49" fontId="53" fillId="0" borderId="0" xfId="211" applyNumberFormat="1" applyFont="1" applyFill="1" applyAlignment="1"/>
    <xf numFmtId="49" fontId="53" fillId="0" borderId="0" xfId="211" applyNumberFormat="1" applyFont="1" applyFill="1" applyAlignment="1">
      <alignment horizontal="center"/>
    </xf>
    <xf numFmtId="182" fontId="53" fillId="0" borderId="0" xfId="59" applyNumberFormat="1" applyFont="1" applyFill="1" applyAlignment="1">
      <alignment horizontal="right"/>
    </xf>
    <xf numFmtId="172" fontId="53" fillId="0" borderId="0" xfId="211" applyFont="1" applyFill="1" applyAlignment="1">
      <alignment horizontal="center"/>
    </xf>
    <xf numFmtId="173" fontId="53" fillId="0" borderId="0" xfId="59" applyNumberFormat="1" applyFont="1" applyFill="1" applyAlignment="1">
      <alignment horizontal="center"/>
    </xf>
    <xf numFmtId="172" fontId="53" fillId="0" borderId="0" xfId="211" applyFont="1" applyFill="1" applyAlignment="1" applyProtection="1"/>
    <xf numFmtId="3" fontId="53" fillId="0" borderId="0" xfId="211" applyNumberFormat="1" applyFont="1" applyFill="1" applyAlignment="1" applyProtection="1"/>
    <xf numFmtId="169" fontId="53" fillId="0" borderId="0" xfId="211" applyNumberFormat="1" applyFont="1" applyFill="1" applyBorder="1" applyAlignment="1" applyProtection="1"/>
    <xf numFmtId="175" fontId="60" fillId="0" borderId="0" xfId="201" quotePrefix="1" applyNumberFormat="1" applyFont="1" applyFill="1" applyBorder="1" applyAlignment="1">
      <alignment horizontal="center"/>
    </xf>
    <xf numFmtId="0" fontId="53" fillId="0" borderId="0" xfId="187" applyFont="1" applyFill="1" applyBorder="1" applyAlignment="1">
      <alignment horizontal="center"/>
    </xf>
    <xf numFmtId="172" fontId="53" fillId="0" borderId="0" xfId="0" applyFont="1" applyFill="1" applyAlignment="1"/>
    <xf numFmtId="172" fontId="53" fillId="0" borderId="0" xfId="0" applyFont="1" applyFill="1"/>
    <xf numFmtId="172" fontId="53" fillId="0" borderId="0" xfId="0" applyFont="1" applyFill="1" applyBorder="1"/>
    <xf numFmtId="174" fontId="53" fillId="0" borderId="0" xfId="93" applyNumberFormat="1" applyFont="1" applyFill="1" applyBorder="1"/>
    <xf numFmtId="172" fontId="53" fillId="0" borderId="1" xfId="0" applyFont="1" applyFill="1" applyBorder="1"/>
    <xf numFmtId="0" fontId="53" fillId="0" borderId="0" xfId="212" applyFont="1" applyFill="1"/>
    <xf numFmtId="0" fontId="53" fillId="0" borderId="22" xfId="201" applyNumberFormat="1" applyFont="1" applyFill="1" applyBorder="1"/>
    <xf numFmtId="0" fontId="53" fillId="0" borderId="7" xfId="201" applyNumberFormat="1" applyFont="1" applyFill="1" applyBorder="1" applyAlignment="1">
      <alignment horizontal="center" wrapText="1"/>
    </xf>
    <xf numFmtId="173" fontId="0" fillId="0" borderId="0" xfId="59" applyNumberFormat="1" applyFont="1" applyAlignment="1"/>
    <xf numFmtId="0" fontId="20" fillId="0" borderId="0" xfId="201" applyNumberFormat="1" applyFont="1" applyFill="1" applyBorder="1" applyAlignment="1" applyProtection="1">
      <protection locked="0"/>
    </xf>
    <xf numFmtId="0" fontId="20" fillId="0" borderId="0" xfId="201" applyNumberFormat="1" applyFont="1" applyFill="1" applyBorder="1" applyAlignment="1" applyProtection="1">
      <alignment horizontal="center"/>
      <protection locked="0"/>
    </xf>
    <xf numFmtId="3" fontId="20" fillId="0" borderId="0" xfId="201" applyNumberFormat="1" applyFont="1" applyFill="1" applyBorder="1" applyAlignment="1"/>
    <xf numFmtId="0" fontId="20" fillId="0" borderId="0" xfId="201" applyNumberFormat="1" applyFont="1" applyFill="1" applyBorder="1" applyProtection="1">
      <protection locked="0"/>
    </xf>
    <xf numFmtId="172" fontId="33" fillId="0" borderId="0" xfId="201" applyFill="1" applyBorder="1" applyAlignment="1"/>
    <xf numFmtId="0" fontId="20" fillId="0" borderId="0" xfId="201" applyNumberFormat="1" applyFont="1" applyFill="1" applyBorder="1"/>
    <xf numFmtId="0" fontId="43" fillId="0" borderId="0" xfId="211" applyNumberFormat="1" applyFont="1" applyFill="1" applyAlignment="1">
      <alignment horizontal="center"/>
    </xf>
    <xf numFmtId="172" fontId="43" fillId="0" borderId="0" xfId="0" applyFont="1" applyAlignment="1"/>
    <xf numFmtId="43" fontId="43" fillId="0" borderId="0" xfId="59" applyFont="1" applyAlignment="1"/>
    <xf numFmtId="173" fontId="43" fillId="0" borderId="0" xfId="59" applyNumberFormat="1" applyFont="1" applyAlignment="1" applyProtection="1">
      <alignment horizontal="center"/>
      <protection locked="0"/>
    </xf>
    <xf numFmtId="0" fontId="43" fillId="0" borderId="0" xfId="211" applyNumberFormat="1" applyFont="1" applyAlignment="1" applyProtection="1">
      <protection locked="0"/>
    </xf>
    <xf numFmtId="3" fontId="43" fillId="0" borderId="0" xfId="211" applyNumberFormat="1" applyFont="1" applyAlignment="1"/>
    <xf numFmtId="3" fontId="43" fillId="0" borderId="8" xfId="211" applyNumberFormat="1" applyFont="1" applyBorder="1" applyAlignment="1">
      <alignment horizontal="center"/>
    </xf>
    <xf numFmtId="169" fontId="43" fillId="0" borderId="0" xfId="0" applyNumberFormat="1" applyFont="1" applyAlignment="1"/>
    <xf numFmtId="0" fontId="43" fillId="0" borderId="0" xfId="211" applyNumberFormat="1" applyFont="1" applyAlignment="1"/>
    <xf numFmtId="3" fontId="43" fillId="0" borderId="0" xfId="211" applyNumberFormat="1" applyFont="1" applyAlignment="1">
      <alignment horizontal="center"/>
    </xf>
    <xf numFmtId="0" fontId="43" fillId="0" borderId="8" xfId="211" applyNumberFormat="1" applyFont="1" applyBorder="1" applyAlignment="1" applyProtection="1">
      <alignment horizontal="center"/>
      <protection locked="0"/>
    </xf>
    <xf numFmtId="172" fontId="43" fillId="0" borderId="0" xfId="211" applyFont="1" applyFill="1" applyAlignment="1"/>
    <xf numFmtId="172" fontId="43" fillId="0" borderId="0" xfId="211" applyFont="1" applyAlignment="1"/>
    <xf numFmtId="43" fontId="43" fillId="0" borderId="0" xfId="59" applyFont="1" applyFill="1" applyAlignment="1">
      <alignment horizontal="center"/>
    </xf>
    <xf numFmtId="3" fontId="43" fillId="0" borderId="0" xfId="211" applyNumberFormat="1" applyFont="1" applyFill="1" applyAlignment="1"/>
    <xf numFmtId="166" fontId="43" fillId="0" borderId="0" xfId="211" applyNumberFormat="1" applyFont="1" applyAlignment="1">
      <alignment horizontal="center"/>
    </xf>
    <xf numFmtId="164" fontId="43" fillId="0" borderId="0" xfId="211" applyNumberFormat="1" applyFont="1" applyAlignment="1">
      <alignment horizontal="left"/>
    </xf>
    <xf numFmtId="0" fontId="43" fillId="0" borderId="0" xfId="211" applyNumberFormat="1" applyFont="1" applyFill="1" applyAlignment="1"/>
    <xf numFmtId="164" fontId="43" fillId="0" borderId="0" xfId="211" applyNumberFormat="1" applyFont="1" applyFill="1" applyAlignment="1">
      <alignment horizontal="left"/>
    </xf>
    <xf numFmtId="173" fontId="43" fillId="0" borderId="0" xfId="59" applyNumberFormat="1" applyFont="1" applyBorder="1" applyAlignment="1"/>
    <xf numFmtId="10" fontId="43" fillId="0" borderId="0" xfId="211" applyNumberFormat="1" applyFont="1" applyFill="1" applyAlignment="1">
      <alignment horizontal="left"/>
    </xf>
    <xf numFmtId="3" fontId="43" fillId="0" borderId="0" xfId="188" applyNumberFormat="1" applyFont="1" applyAlignment="1"/>
    <xf numFmtId="166" fontId="43" fillId="0" borderId="0" xfId="188" applyNumberFormat="1" applyFont="1" applyAlignment="1"/>
    <xf numFmtId="0" fontId="43" fillId="0" borderId="0" xfId="188" applyFont="1" applyAlignment="1"/>
    <xf numFmtId="164" fontId="43" fillId="0" borderId="0" xfId="211" applyNumberFormat="1" applyFont="1" applyFill="1" applyAlignment="1" applyProtection="1">
      <alignment horizontal="left"/>
      <protection locked="0"/>
    </xf>
    <xf numFmtId="0" fontId="53" fillId="0" borderId="0" xfId="206" applyFont="1" applyFill="1" applyBorder="1" applyAlignment="1">
      <alignment horizontal="center" wrapText="1"/>
    </xf>
    <xf numFmtId="0" fontId="53" fillId="0" borderId="0" xfId="192" applyFont="1" applyFill="1" applyAlignment="1">
      <alignment horizontal="center" wrapText="1"/>
    </xf>
    <xf numFmtId="0" fontId="53" fillId="0" borderId="0" xfId="211" applyNumberFormat="1" applyFont="1" applyFill="1" applyAlignment="1" applyProtection="1">
      <alignment vertical="top"/>
      <protection locked="0"/>
    </xf>
    <xf numFmtId="169" fontId="53" fillId="0" borderId="0" xfId="211" applyNumberFormat="1" applyFont="1" applyFill="1" applyBorder="1" applyAlignment="1" applyProtection="1">
      <alignment vertical="top"/>
    </xf>
    <xf numFmtId="3" fontId="53" fillId="0" borderId="0" xfId="211" applyNumberFormat="1" applyFont="1" applyFill="1" applyAlignment="1" applyProtection="1">
      <alignment vertical="top"/>
    </xf>
    <xf numFmtId="1" fontId="53" fillId="0" borderId="0" xfId="0" applyNumberFormat="1" applyFont="1" applyFill="1" applyAlignment="1">
      <alignment horizontal="center"/>
    </xf>
    <xf numFmtId="49" fontId="53" fillId="0" borderId="0" xfId="0" applyNumberFormat="1" applyFont="1" applyFill="1" applyAlignment="1">
      <alignment horizontal="center"/>
    </xf>
    <xf numFmtId="173" fontId="43" fillId="0" borderId="0" xfId="59" applyNumberFormat="1" applyFont="1" applyAlignment="1"/>
    <xf numFmtId="172" fontId="53" fillId="0" borderId="0" xfId="0" applyFont="1" applyFill="1" applyAlignment="1">
      <alignment horizontal="center"/>
    </xf>
    <xf numFmtId="0" fontId="20" fillId="0" borderId="0" xfId="201" applyNumberFormat="1" applyFont="1" applyFill="1" applyBorder="1" applyAlignment="1">
      <alignment horizontal="center"/>
    </xf>
    <xf numFmtId="173" fontId="53" fillId="0" borderId="11" xfId="59" applyNumberFormat="1" applyFont="1" applyFill="1" applyBorder="1" applyAlignment="1"/>
    <xf numFmtId="173" fontId="53" fillId="0" borderId="15" xfId="59" applyNumberFormat="1" applyFont="1" applyFill="1" applyBorder="1" applyAlignment="1"/>
    <xf numFmtId="182" fontId="20" fillId="0" borderId="0" xfId="59" applyNumberFormat="1" applyFont="1" applyFill="1" applyAlignment="1">
      <alignment horizontal="right"/>
    </xf>
    <xf numFmtId="0" fontId="53" fillId="0" borderId="0" xfId="188" applyNumberFormat="1" applyFont="1" applyFill="1" applyAlignment="1">
      <alignment vertical="top"/>
    </xf>
    <xf numFmtId="172" fontId="95" fillId="0" borderId="0" xfId="201" applyFont="1" applyFill="1" applyBorder="1" applyAlignment="1"/>
    <xf numFmtId="173" fontId="0" fillId="0" borderId="0" xfId="59" applyNumberFormat="1" applyFont="1" applyAlignment="1">
      <alignment horizontal="center"/>
    </xf>
    <xf numFmtId="172" fontId="43" fillId="0" borderId="0" xfId="211" applyFont="1" applyFill="1" applyAlignment="1">
      <alignment wrapText="1"/>
    </xf>
    <xf numFmtId="173" fontId="43" fillId="0" borderId="0" xfId="59" applyNumberFormat="1" applyFont="1" applyAlignment="1">
      <alignment horizontal="left" indent="2"/>
    </xf>
    <xf numFmtId="182" fontId="43" fillId="0" borderId="0" xfId="59" applyNumberFormat="1" applyFont="1" applyAlignment="1"/>
    <xf numFmtId="0" fontId="43" fillId="0" borderId="0" xfId="201" applyNumberFormat="1" applyFont="1" applyFill="1" applyAlignment="1">
      <alignment horizontal="right"/>
    </xf>
    <xf numFmtId="0" fontId="82" fillId="0" borderId="0" xfId="192" applyFont="1" applyFill="1" applyBorder="1" applyAlignment="1">
      <alignment horizontal="center" vertical="center" wrapText="1"/>
    </xf>
    <xf numFmtId="0" fontId="82" fillId="0" borderId="0" xfId="192" applyFont="1" applyFill="1" applyBorder="1" applyAlignment="1">
      <alignment horizontal="center"/>
    </xf>
    <xf numFmtId="172" fontId="83" fillId="0" borderId="0" xfId="0" applyFont="1" applyFill="1" applyBorder="1" applyAlignment="1">
      <alignment horizontal="center"/>
    </xf>
    <xf numFmtId="174" fontId="82" fillId="0" borderId="0" xfId="93" applyNumberFormat="1" applyFont="1" applyFill="1" applyBorder="1"/>
    <xf numFmtId="0" fontId="82" fillId="0" borderId="0" xfId="192" applyFont="1" applyFill="1" applyBorder="1"/>
    <xf numFmtId="172" fontId="53" fillId="0" borderId="0" xfId="0" applyFont="1" applyFill="1" applyBorder="1" applyAlignment="1"/>
    <xf numFmtId="0" fontId="53" fillId="0" borderId="0" xfId="208" applyNumberFormat="1" applyFont="1" applyFill="1" applyBorder="1" applyAlignment="1" applyProtection="1">
      <alignment horizontal="center"/>
      <protection locked="0"/>
    </xf>
    <xf numFmtId="173" fontId="53" fillId="0" borderId="8" xfId="59" applyNumberFormat="1" applyFont="1" applyFill="1" applyBorder="1" applyAlignment="1">
      <alignment horizontal="center"/>
    </xf>
    <xf numFmtId="0" fontId="53" fillId="0" borderId="19" xfId="201" applyNumberFormat="1" applyFont="1" applyFill="1" applyBorder="1"/>
    <xf numFmtId="0" fontId="53" fillId="0" borderId="9" xfId="201" applyNumberFormat="1" applyFont="1" applyFill="1" applyBorder="1" applyAlignment="1">
      <alignment horizontal="center" wrapText="1"/>
    </xf>
    <xf numFmtId="44" fontId="53" fillId="0" borderId="0" xfId="0" applyNumberFormat="1" applyFont="1" applyFill="1" applyBorder="1" applyAlignment="1"/>
    <xf numFmtId="0" fontId="53" fillId="0" borderId="0" xfId="187" applyFont="1" applyFill="1" applyBorder="1" applyAlignment="1"/>
    <xf numFmtId="3" fontId="53" fillId="0" borderId="0" xfId="187" applyNumberFormat="1" applyFont="1" applyFill="1" applyBorder="1" applyAlignment="1">
      <alignment horizontal="center" wrapText="1"/>
    </xf>
    <xf numFmtId="0" fontId="53" fillId="0" borderId="0" xfId="187" applyFont="1" applyFill="1" applyBorder="1" applyAlignment="1">
      <alignment horizontal="center" wrapText="1"/>
    </xf>
    <xf numFmtId="173" fontId="53" fillId="0" borderId="0" xfId="59" applyNumberFormat="1" applyFont="1" applyFill="1" applyBorder="1" applyAlignment="1">
      <alignment horizontal="center" wrapText="1"/>
    </xf>
    <xf numFmtId="173" fontId="53" fillId="0" borderId="1" xfId="59" applyNumberFormat="1" applyFont="1" applyFill="1" applyBorder="1" applyAlignment="1">
      <alignment horizontal="center" wrapText="1"/>
    </xf>
    <xf numFmtId="173" fontId="53" fillId="0" borderId="0" xfId="59" applyNumberFormat="1" applyFont="1" applyFill="1" applyBorder="1"/>
    <xf numFmtId="0" fontId="53" fillId="0" borderId="0" xfId="0" applyNumberFormat="1" applyFont="1" applyFill="1" applyAlignment="1">
      <alignment horizontal="center"/>
    </xf>
    <xf numFmtId="0" fontId="60" fillId="0" borderId="0" xfId="212" applyFont="1" applyFill="1" applyAlignment="1">
      <alignment horizontal="center" wrapText="1"/>
    </xf>
    <xf numFmtId="0" fontId="53" fillId="0" borderId="0" xfId="211" applyNumberFormat="1" applyFont="1" applyFill="1" applyAlignment="1" applyProtection="1">
      <alignment horizontal="center"/>
      <protection locked="0"/>
    </xf>
    <xf numFmtId="164" fontId="53" fillId="0" borderId="0" xfId="211" applyNumberFormat="1" applyFont="1" applyFill="1" applyAlignment="1">
      <alignment horizontal="center"/>
    </xf>
    <xf numFmtId="172" fontId="53" fillId="0" borderId="0" xfId="0" applyNumberFormat="1" applyFont="1" applyFill="1" applyBorder="1" applyAlignment="1" applyProtection="1"/>
    <xf numFmtId="172" fontId="53" fillId="0" borderId="1" xfId="201" applyFont="1" applyFill="1" applyBorder="1" applyAlignment="1">
      <alignment horizontal="center"/>
    </xf>
    <xf numFmtId="172" fontId="53" fillId="0" borderId="19" xfId="201" applyFont="1" applyFill="1" applyBorder="1" applyAlignment="1">
      <alignment horizontal="center"/>
    </xf>
    <xf numFmtId="172" fontId="53" fillId="0" borderId="22" xfId="201" applyFont="1" applyFill="1" applyBorder="1" applyAlignment="1">
      <alignment horizontal="center"/>
    </xf>
    <xf numFmtId="172" fontId="53" fillId="0" borderId="17" xfId="201" applyFont="1" applyFill="1" applyBorder="1" applyAlignment="1">
      <alignment horizontal="center"/>
    </xf>
    <xf numFmtId="0" fontId="53" fillId="0" borderId="0" xfId="0" applyNumberFormat="1" applyFont="1" applyFill="1" applyAlignment="1">
      <alignment horizontal="center" vertical="top"/>
    </xf>
    <xf numFmtId="172" fontId="0" fillId="0" borderId="0" xfId="0" applyFill="1" applyAlignment="1"/>
    <xf numFmtId="0" fontId="53" fillId="0" borderId="0" xfId="192" applyFont="1" applyFill="1" applyAlignment="1">
      <alignment horizontal="left" wrapText="1"/>
    </xf>
    <xf numFmtId="0" fontId="53" fillId="0" borderId="0" xfId="206" applyNumberFormat="1" applyFont="1" applyFill="1" applyAlignment="1">
      <alignment horizontal="center" wrapText="1"/>
    </xf>
    <xf numFmtId="0" fontId="53" fillId="0" borderId="0" xfId="59" applyNumberFormat="1" applyFont="1" applyFill="1" applyBorder="1" applyAlignment="1">
      <alignment horizontal="center"/>
    </xf>
    <xf numFmtId="0" fontId="53" fillId="0" borderId="0" xfId="59" applyNumberFormat="1" applyFont="1" applyFill="1" applyBorder="1" applyAlignment="1" applyProtection="1">
      <alignment horizontal="center"/>
      <protection locked="0"/>
    </xf>
    <xf numFmtId="172" fontId="95" fillId="0" borderId="15" xfId="201" applyFont="1" applyFill="1" applyBorder="1" applyAlignment="1">
      <alignment horizontal="center"/>
    </xf>
    <xf numFmtId="0" fontId="60" fillId="0" borderId="0" xfId="59" applyNumberFormat="1" applyFont="1" applyFill="1" applyBorder="1" applyAlignment="1">
      <alignment horizontal="left"/>
    </xf>
    <xf numFmtId="0" fontId="53" fillId="0" borderId="0" xfId="59" applyNumberFormat="1" applyFont="1" applyFill="1" applyAlignment="1">
      <alignment horizontal="center"/>
    </xf>
    <xf numFmtId="0" fontId="53" fillId="0" borderId="0" xfId="59" applyNumberFormat="1" applyFont="1" applyFill="1" applyAlignment="1">
      <alignment horizontal="center" vertical="top"/>
    </xf>
    <xf numFmtId="172" fontId="53" fillId="0" borderId="0" xfId="0" applyFont="1" applyFill="1" applyAlignment="1">
      <alignment vertical="center" wrapText="1"/>
    </xf>
    <xf numFmtId="172" fontId="53" fillId="0" borderId="0" xfId="0" applyFont="1" applyFill="1" applyAlignment="1">
      <alignment horizontal="left" vertical="center"/>
    </xf>
    <xf numFmtId="0" fontId="53" fillId="0" borderId="0" xfId="0" applyNumberFormat="1" applyFont="1" applyFill="1" applyBorder="1" applyAlignment="1">
      <alignment vertical="top"/>
    </xf>
    <xf numFmtId="43" fontId="20" fillId="0" borderId="0" xfId="59" applyFont="1" applyFill="1" applyAlignment="1"/>
    <xf numFmtId="173" fontId="85" fillId="0" borderId="0" xfId="59" applyNumberFormat="1" applyFont="1" applyFill="1" applyBorder="1"/>
    <xf numFmtId="43" fontId="53" fillId="0" borderId="0" xfId="59" applyNumberFormat="1" applyFont="1" applyFill="1" applyBorder="1" applyAlignment="1"/>
    <xf numFmtId="172" fontId="53" fillId="0" borderId="0" xfId="201" applyFont="1" applyFill="1" applyBorder="1" applyAlignment="1"/>
    <xf numFmtId="173" fontId="53" fillId="0" borderId="0" xfId="59" applyNumberFormat="1" applyFont="1" applyFill="1" applyBorder="1" applyAlignment="1"/>
    <xf numFmtId="172" fontId="53" fillId="0" borderId="0" xfId="201" applyFont="1" applyFill="1" applyBorder="1" applyAlignment="1">
      <alignment horizontal="center"/>
    </xf>
    <xf numFmtId="0" fontId="53" fillId="0" borderId="0" xfId="211" applyNumberFormat="1" applyFont="1" applyFill="1" applyProtection="1">
      <protection locked="0"/>
    </xf>
    <xf numFmtId="43" fontId="53" fillId="0" borderId="0" xfId="59" applyFont="1" applyFill="1" applyBorder="1"/>
    <xf numFmtId="43" fontId="53" fillId="0" borderId="0" xfId="59" applyFont="1" applyFill="1" applyAlignment="1" applyProtection="1">
      <alignment vertical="top"/>
      <protection locked="0"/>
    </xf>
    <xf numFmtId="0" fontId="53" fillId="0" borderId="0" xfId="211" applyNumberFormat="1" applyFont="1" applyFill="1" applyAlignment="1">
      <alignment horizontal="center"/>
    </xf>
    <xf numFmtId="172" fontId="0" fillId="0" borderId="0" xfId="201" applyFont="1" applyFill="1" applyBorder="1" applyAlignment="1"/>
    <xf numFmtId="168" fontId="53" fillId="0" borderId="0" xfId="211" applyNumberFormat="1" applyFont="1" applyFill="1" applyAlignment="1"/>
    <xf numFmtId="173" fontId="82" fillId="0" borderId="15" xfId="59" applyNumberFormat="1" applyFont="1" applyFill="1" applyBorder="1" applyAlignment="1"/>
    <xf numFmtId="10" fontId="53" fillId="0" borderId="0" xfId="266" applyNumberFormat="1" applyFont="1" applyFill="1" applyAlignment="1">
      <alignment horizontal="right"/>
    </xf>
    <xf numFmtId="10" fontId="53" fillId="0" borderId="0" xfId="266" applyNumberFormat="1" applyFont="1" applyFill="1" applyAlignment="1"/>
    <xf numFmtId="0" fontId="20" fillId="0" borderId="0" xfId="383" applyNumberFormat="1" applyFont="1" applyFill="1" applyAlignment="1">
      <alignment horizontal="center"/>
    </xf>
    <xf numFmtId="0" fontId="77" fillId="0" borderId="0" xfId="383" applyFont="1" applyFill="1" applyBorder="1" applyAlignment="1">
      <alignment horizontal="center"/>
    </xf>
    <xf numFmtId="0" fontId="77" fillId="0" borderId="0" xfId="383" applyFont="1" applyFill="1" applyBorder="1"/>
    <xf numFmtId="0" fontId="20" fillId="0" borderId="0" xfId="383" applyNumberFormat="1" applyFont="1" applyFill="1" applyBorder="1" applyAlignment="1">
      <alignment horizontal="center"/>
    </xf>
    <xf numFmtId="0" fontId="20" fillId="0" borderId="0" xfId="383" applyFont="1" applyFill="1" applyBorder="1" applyAlignment="1">
      <alignment horizontal="center"/>
    </xf>
    <xf numFmtId="274" fontId="20" fillId="0" borderId="0" xfId="266" applyNumberFormat="1" applyFont="1" applyFill="1" applyBorder="1" applyAlignment="1">
      <alignment horizontal="center"/>
    </xf>
    <xf numFmtId="0" fontId="77" fillId="0" borderId="0" xfId="383" applyFont="1" applyFill="1" applyBorder="1" applyAlignment="1">
      <alignment horizontal="center" wrapText="1"/>
    </xf>
    <xf numFmtId="10" fontId="101" fillId="0" borderId="0" xfId="383" applyNumberFormat="1" applyFont="1" applyFill="1" applyBorder="1"/>
    <xf numFmtId="10" fontId="77" fillId="0" borderId="0" xfId="383" applyNumberFormat="1" applyFont="1" applyFill="1" applyBorder="1"/>
    <xf numFmtId="0" fontId="102" fillId="0" borderId="0" xfId="383" applyFont="1" applyFill="1" applyBorder="1"/>
    <xf numFmtId="0" fontId="53" fillId="0" borderId="0" xfId="206" applyNumberFormat="1" applyFont="1" applyFill="1" applyBorder="1" applyAlignment="1">
      <alignment horizontal="left"/>
    </xf>
    <xf numFmtId="0" fontId="43" fillId="0" borderId="0" xfId="390" applyNumberFormat="1" applyFont="1" applyFill="1" applyAlignment="1" applyProtection="1">
      <alignment horizontal="right"/>
      <protection locked="0"/>
    </xf>
    <xf numFmtId="0" fontId="4" fillId="0" borderId="0" xfId="389" applyFill="1" applyBorder="1"/>
    <xf numFmtId="9" fontId="105" fillId="0" borderId="0" xfId="391" applyNumberFormat="1" applyFont="1" applyFill="1" applyBorder="1" applyAlignment="1">
      <alignment horizontal="center"/>
    </xf>
    <xf numFmtId="10" fontId="104" fillId="0" borderId="0" xfId="391" applyNumberFormat="1" applyFont="1" applyFill="1" applyBorder="1" applyAlignment="1">
      <alignment horizontal="center"/>
    </xf>
    <xf numFmtId="0" fontId="0" fillId="0" borderId="0" xfId="389" applyFont="1" applyFill="1" applyBorder="1"/>
    <xf numFmtId="0" fontId="106" fillId="0" borderId="0" xfId="389" applyFont="1" applyFill="1" applyBorder="1"/>
    <xf numFmtId="173" fontId="104" fillId="0" borderId="0" xfId="392" applyNumberFormat="1" applyFont="1" applyFill="1" applyBorder="1"/>
    <xf numFmtId="0" fontId="98" fillId="0" borderId="0" xfId="393" applyFont="1" applyFill="1" applyBorder="1" applyAlignment="1">
      <alignment horizontal="center" vertical="center" wrapText="1"/>
    </xf>
    <xf numFmtId="0" fontId="98" fillId="0" borderId="0" xfId="393" applyFont="1" applyFill="1" applyBorder="1"/>
    <xf numFmtId="0" fontId="104" fillId="0" borderId="0" xfId="389" applyFont="1" applyFill="1" applyBorder="1"/>
    <xf numFmtId="0" fontId="98" fillId="0" borderId="0" xfId="393" applyFont="1" applyFill="1" applyBorder="1" applyAlignment="1">
      <alignment horizontal="left" vertical="center"/>
    </xf>
    <xf numFmtId="15" fontId="98" fillId="0" borderId="0" xfId="393" applyNumberFormat="1" applyFont="1" applyFill="1" applyBorder="1" applyAlignment="1">
      <alignment vertical="center" wrapText="1"/>
    </xf>
    <xf numFmtId="173" fontId="98" fillId="0" borderId="0" xfId="394" applyNumberFormat="1" applyFont="1" applyFill="1" applyBorder="1" applyAlignment="1">
      <alignment horizontal="right" vertical="center" wrapText="1"/>
    </xf>
    <xf numFmtId="173" fontId="98" fillId="0" borderId="0" xfId="394" applyNumberFormat="1" applyFont="1" applyFill="1" applyBorder="1" applyAlignment="1">
      <alignment vertical="center" wrapText="1"/>
    </xf>
    <xf numFmtId="10" fontId="98" fillId="0" borderId="0" xfId="391" applyNumberFormat="1" applyFont="1" applyFill="1" applyBorder="1"/>
    <xf numFmtId="43" fontId="104" fillId="0" borderId="0" xfId="392" applyFont="1" applyFill="1" applyBorder="1"/>
    <xf numFmtId="43" fontId="104" fillId="0" borderId="0" xfId="392" applyFont="1" applyFill="1"/>
    <xf numFmtId="0" fontId="104" fillId="0" borderId="0" xfId="389" applyFont="1" applyFill="1"/>
    <xf numFmtId="10" fontId="104" fillId="0" borderId="0" xfId="391" applyNumberFormat="1" applyFont="1" applyFill="1" applyBorder="1"/>
    <xf numFmtId="182" fontId="0" fillId="0" borderId="0" xfId="392" applyNumberFormat="1" applyFont="1" applyFill="1" applyBorder="1"/>
    <xf numFmtId="9" fontId="0" fillId="0" borderId="0" xfId="391" applyFont="1" applyFill="1" applyBorder="1"/>
    <xf numFmtId="49" fontId="43" fillId="0" borderId="0" xfId="390" applyNumberFormat="1" applyFont="1" applyFill="1" applyAlignment="1"/>
    <xf numFmtId="0" fontId="4" fillId="0" borderId="0" xfId="389" applyFill="1" applyAlignment="1">
      <alignment horizontal="left"/>
    </xf>
    <xf numFmtId="41" fontId="108" fillId="0" borderId="0" xfId="389" applyNumberFormat="1" applyFont="1" applyFill="1" applyBorder="1" applyAlignment="1">
      <alignment horizontal="center"/>
    </xf>
    <xf numFmtId="0" fontId="107" fillId="0" borderId="0" xfId="389" applyFont="1" applyFill="1" applyBorder="1" applyAlignment="1">
      <alignment horizontal="right"/>
    </xf>
    <xf numFmtId="0" fontId="107" fillId="0" borderId="0" xfId="389" applyFont="1" applyFill="1" applyBorder="1"/>
    <xf numFmtId="0" fontId="108" fillId="0" borderId="0" xfId="389" applyFont="1" applyFill="1" applyBorder="1"/>
    <xf numFmtId="41" fontId="107" fillId="0" borderId="0" xfId="389" applyNumberFormat="1" applyFont="1" applyFill="1" applyBorder="1"/>
    <xf numFmtId="274" fontId="107" fillId="0" borderId="0" xfId="391" applyNumberFormat="1" applyFont="1" applyFill="1" applyBorder="1"/>
    <xf numFmtId="274" fontId="107" fillId="0" borderId="0" xfId="389" applyNumberFormat="1" applyFont="1" applyFill="1" applyBorder="1"/>
    <xf numFmtId="0" fontId="107" fillId="0" borderId="0" xfId="389" applyFont="1" applyFill="1" applyAlignment="1">
      <alignment horizontal="left"/>
    </xf>
    <xf numFmtId="41" fontId="107" fillId="0" borderId="0" xfId="389" applyNumberFormat="1" applyFont="1" applyFill="1" applyAlignment="1">
      <alignment horizontal="left"/>
    </xf>
    <xf numFmtId="41" fontId="107" fillId="0" borderId="0" xfId="389" applyNumberFormat="1" applyFont="1" applyFill="1"/>
    <xf numFmtId="0" fontId="107" fillId="0" borderId="0" xfId="389" applyFont="1" applyFill="1"/>
    <xf numFmtId="41" fontId="108" fillId="0" borderId="0" xfId="389" applyNumberFormat="1" applyFont="1" applyFill="1" applyAlignment="1">
      <alignment horizontal="center"/>
    </xf>
    <xf numFmtId="0" fontId="108" fillId="0" borderId="0" xfId="389" applyFont="1" applyFill="1" applyAlignment="1">
      <alignment horizontal="center"/>
    </xf>
    <xf numFmtId="0" fontId="4" fillId="0" borderId="0" xfId="389" applyFill="1" applyBorder="1" applyAlignment="1">
      <alignment horizontal="left"/>
    </xf>
    <xf numFmtId="41" fontId="107" fillId="0" borderId="9" xfId="389" applyNumberFormat="1" applyFont="1" applyFill="1" applyBorder="1"/>
    <xf numFmtId="0" fontId="111" fillId="0" borderId="9" xfId="389" applyFont="1" applyFill="1" applyBorder="1"/>
    <xf numFmtId="37" fontId="107" fillId="0" borderId="9" xfId="389" applyNumberFormat="1" applyFont="1" applyFill="1" applyBorder="1"/>
    <xf numFmtId="0" fontId="112" fillId="0" borderId="0" xfId="389" applyFont="1" applyFill="1" applyBorder="1"/>
    <xf numFmtId="41" fontId="112" fillId="0" borderId="0" xfId="389" applyNumberFormat="1" applyFont="1" applyFill="1" applyBorder="1"/>
    <xf numFmtId="41" fontId="107" fillId="0" borderId="0" xfId="389" applyNumberFormat="1" applyFont="1" applyFill="1" applyBorder="1" applyAlignment="1">
      <alignment horizontal="center"/>
    </xf>
    <xf numFmtId="37" fontId="107" fillId="0" borderId="0" xfId="389" applyNumberFormat="1" applyFont="1" applyFill="1" applyBorder="1" applyAlignment="1">
      <alignment horizontal="center"/>
    </xf>
    <xf numFmtId="0" fontId="111" fillId="0" borderId="19" xfId="389" applyFont="1" applyFill="1" applyBorder="1"/>
    <xf numFmtId="41" fontId="111" fillId="0" borderId="3" xfId="389" applyNumberFormat="1" applyFont="1" applyFill="1" applyBorder="1"/>
    <xf numFmtId="41" fontId="107" fillId="0" borderId="3" xfId="389" applyNumberFormat="1" applyFont="1" applyFill="1" applyBorder="1"/>
    <xf numFmtId="41" fontId="107" fillId="0" borderId="3" xfId="389" applyNumberFormat="1" applyFont="1" applyFill="1" applyBorder="1" applyAlignment="1">
      <alignment horizontal="center"/>
    </xf>
    <xf numFmtId="0" fontId="107" fillId="0" borderId="20" xfId="389" applyFont="1" applyFill="1" applyBorder="1" applyAlignment="1">
      <alignment horizontal="center"/>
    </xf>
    <xf numFmtId="0" fontId="111" fillId="0" borderId="10" xfId="389" applyFont="1" applyFill="1" applyBorder="1" applyAlignment="1">
      <alignment horizontal="left"/>
    </xf>
    <xf numFmtId="41" fontId="111" fillId="0" borderId="0" xfId="389" applyNumberFormat="1" applyFont="1" applyFill="1" applyBorder="1" applyAlignment="1">
      <alignment horizontal="left"/>
    </xf>
    <xf numFmtId="0" fontId="107" fillId="0" borderId="12" xfId="389" applyFont="1" applyFill="1" applyBorder="1" applyAlignment="1">
      <alignment horizontal="center"/>
    </xf>
    <xf numFmtId="0" fontId="111" fillId="0" borderId="17" xfId="389" applyFont="1" applyFill="1" applyBorder="1" applyAlignment="1">
      <alignment horizontal="left"/>
    </xf>
    <xf numFmtId="41" fontId="111" fillId="0" borderId="1" xfId="389" applyNumberFormat="1" applyFont="1" applyFill="1" applyBorder="1" applyAlignment="1">
      <alignment horizontal="left"/>
    </xf>
    <xf numFmtId="41" fontId="107" fillId="0" borderId="1" xfId="389" applyNumberFormat="1" applyFont="1" applyFill="1" applyBorder="1"/>
    <xf numFmtId="41" fontId="107" fillId="0" borderId="1" xfId="389" applyNumberFormat="1" applyFont="1" applyFill="1" applyBorder="1" applyAlignment="1">
      <alignment horizontal="center"/>
    </xf>
    <xf numFmtId="0" fontId="107" fillId="0" borderId="21" xfId="389" applyFont="1" applyFill="1" applyBorder="1" applyAlignment="1">
      <alignment horizontal="center"/>
    </xf>
    <xf numFmtId="0" fontId="38" fillId="0" borderId="0" xfId="389" applyFont="1" applyFill="1" applyBorder="1" applyAlignment="1">
      <alignment horizontal="center"/>
    </xf>
    <xf numFmtId="41" fontId="38" fillId="0" borderId="0" xfId="389" applyNumberFormat="1" applyFont="1" applyFill="1" applyBorder="1" applyAlignment="1">
      <alignment horizontal="center"/>
    </xf>
    <xf numFmtId="0" fontId="111" fillId="0" borderId="0" xfId="389" applyFont="1" applyFill="1" applyBorder="1"/>
    <xf numFmtId="41" fontId="13" fillId="0" borderId="0" xfId="389" applyNumberFormat="1" applyFont="1" applyFill="1" applyBorder="1" applyAlignment="1"/>
    <xf numFmtId="41" fontId="113" fillId="0" borderId="0" xfId="389" applyNumberFormat="1" applyFont="1" applyFill="1" applyBorder="1"/>
    <xf numFmtId="37" fontId="107" fillId="0" borderId="0" xfId="389" applyNumberFormat="1" applyFont="1" applyFill="1" applyBorder="1"/>
    <xf numFmtId="41" fontId="111" fillId="0" borderId="0" xfId="389" applyNumberFormat="1" applyFont="1" applyFill="1" applyBorder="1"/>
    <xf numFmtId="0" fontId="107" fillId="0" borderId="0" xfId="389" applyFont="1" applyFill="1" applyBorder="1" applyAlignment="1">
      <alignment horizontal="center"/>
    </xf>
    <xf numFmtId="0" fontId="111" fillId="0" borderId="24" xfId="389" applyFont="1" applyFill="1" applyBorder="1"/>
    <xf numFmtId="41" fontId="111" fillId="0" borderId="25" xfId="389" applyNumberFormat="1" applyFont="1" applyFill="1" applyBorder="1"/>
    <xf numFmtId="41" fontId="107" fillId="0" borderId="25" xfId="389" applyNumberFormat="1" applyFont="1" applyFill="1" applyBorder="1"/>
    <xf numFmtId="41" fontId="107" fillId="0" borderId="25" xfId="389" applyNumberFormat="1" applyFont="1" applyFill="1" applyBorder="1" applyAlignment="1">
      <alignment horizontal="center"/>
    </xf>
    <xf numFmtId="0" fontId="107" fillId="0" borderId="26" xfId="389" applyFont="1" applyFill="1" applyBorder="1" applyAlignment="1">
      <alignment horizontal="center"/>
    </xf>
    <xf numFmtId="41" fontId="111" fillId="0" borderId="0" xfId="389" applyNumberFormat="1" applyFont="1" applyFill="1" applyBorder="1" applyAlignment="1">
      <alignment horizontal="left" wrapText="1"/>
    </xf>
    <xf numFmtId="0" fontId="107" fillId="0" borderId="27" xfId="389" applyFont="1" applyFill="1" applyBorder="1" applyAlignment="1">
      <alignment horizontal="center"/>
    </xf>
    <xf numFmtId="41" fontId="111" fillId="0" borderId="8" xfId="389" applyNumberFormat="1" applyFont="1" applyFill="1" applyBorder="1" applyAlignment="1">
      <alignment horizontal="left"/>
    </xf>
    <xf numFmtId="41" fontId="107" fillId="0" borderId="8" xfId="389" applyNumberFormat="1" applyFont="1" applyFill="1" applyBorder="1"/>
    <xf numFmtId="41" fontId="107" fillId="0" borderId="8" xfId="389" applyNumberFormat="1" applyFont="1" applyFill="1" applyBorder="1" applyAlignment="1">
      <alignment horizontal="center"/>
    </xf>
    <xf numFmtId="0" fontId="107" fillId="0" borderId="28" xfId="389" applyFont="1" applyFill="1" applyBorder="1" applyAlignment="1">
      <alignment horizontal="center"/>
    </xf>
    <xf numFmtId="0" fontId="111" fillId="0" borderId="0" xfId="389" applyFont="1" applyFill="1" applyBorder="1" applyAlignment="1">
      <alignment horizontal="left"/>
    </xf>
    <xf numFmtId="0" fontId="95" fillId="0" borderId="0" xfId="389" applyFont="1" applyFill="1" applyBorder="1"/>
    <xf numFmtId="41" fontId="95" fillId="0" borderId="0" xfId="389" applyNumberFormat="1" applyFont="1" applyFill="1" applyBorder="1"/>
    <xf numFmtId="41" fontId="107" fillId="0" borderId="9" xfId="392" applyNumberFormat="1" applyFont="1" applyFill="1" applyBorder="1" applyAlignment="1">
      <alignment horizontal="right"/>
    </xf>
    <xf numFmtId="41" fontId="107" fillId="0" borderId="0" xfId="392" applyNumberFormat="1" applyFont="1" applyFill="1" applyBorder="1" applyAlignment="1">
      <alignment horizontal="right"/>
    </xf>
    <xf numFmtId="173" fontId="107" fillId="0" borderId="0" xfId="392" applyNumberFormat="1" applyFont="1" applyFill="1" applyBorder="1"/>
    <xf numFmtId="10" fontId="107" fillId="0" borderId="0" xfId="391" applyNumberFormat="1" applyFont="1" applyFill="1" applyBorder="1"/>
    <xf numFmtId="0" fontId="107" fillId="0" borderId="0" xfId="389" applyFont="1" applyFill="1" applyBorder="1" applyAlignment="1">
      <alignment horizontal="left"/>
    </xf>
    <xf numFmtId="41" fontId="107" fillId="0" borderId="0" xfId="389" applyNumberFormat="1" applyFont="1" applyFill="1" applyBorder="1" applyAlignment="1">
      <alignment horizontal="left"/>
    </xf>
    <xf numFmtId="0" fontId="111" fillId="0" borderId="29" xfId="389" applyFont="1" applyFill="1" applyBorder="1" applyAlignment="1">
      <alignment horizontal="left"/>
    </xf>
    <xf numFmtId="0" fontId="38" fillId="0" borderId="0" xfId="389" applyFont="1" applyFill="1" applyBorder="1" applyAlignment="1"/>
    <xf numFmtId="49" fontId="99" fillId="0" borderId="0" xfId="390" applyNumberFormat="1" applyFont="1" applyFill="1" applyAlignment="1">
      <alignment horizontal="center"/>
    </xf>
    <xf numFmtId="0" fontId="114" fillId="0" borderId="0" xfId="184" applyFont="1" applyFill="1"/>
    <xf numFmtId="0" fontId="13" fillId="0" borderId="0" xfId="184" applyFont="1" applyFill="1"/>
    <xf numFmtId="173" fontId="38" fillId="0" borderId="0" xfId="59" applyNumberFormat="1" applyFont="1" applyFill="1" applyAlignment="1"/>
    <xf numFmtId="0" fontId="20" fillId="0" borderId="0" xfId="0" applyNumberFormat="1" applyFont="1" applyFill="1" applyBorder="1" applyAlignment="1">
      <alignment horizontal="left"/>
    </xf>
    <xf numFmtId="172" fontId="115" fillId="0" borderId="0" xfId="0" applyFont="1" applyFill="1" applyBorder="1" applyAlignment="1">
      <alignment horizontal="center"/>
    </xf>
    <xf numFmtId="3" fontId="53" fillId="0" borderId="0" xfId="188" applyNumberFormat="1" applyFont="1" applyFill="1" applyAlignment="1">
      <alignment wrapText="1"/>
    </xf>
    <xf numFmtId="172" fontId="53" fillId="0" borderId="12" xfId="0" applyFont="1" applyFill="1" applyBorder="1" applyAlignment="1">
      <alignment horizontal="center"/>
    </xf>
    <xf numFmtId="172" fontId="53" fillId="0" borderId="0" xfId="0" applyFont="1" applyFill="1" applyAlignment="1">
      <alignment horizontal="center" wrapText="1"/>
    </xf>
    <xf numFmtId="173" fontId="43" fillId="0" borderId="0" xfId="59" applyNumberFormat="1" applyFont="1" applyFill="1" applyAlignment="1">
      <alignment horizontal="center"/>
    </xf>
    <xf numFmtId="173" fontId="53" fillId="0" borderId="0" xfId="211" applyNumberFormat="1" applyFont="1" applyFill="1" applyBorder="1"/>
    <xf numFmtId="43" fontId="77" fillId="0" borderId="0" xfId="59" applyFont="1" applyFill="1" applyBorder="1"/>
    <xf numFmtId="43" fontId="20" fillId="0" borderId="0" xfId="59" applyFont="1" applyFill="1" applyBorder="1" applyAlignment="1"/>
    <xf numFmtId="273" fontId="53" fillId="0" borderId="0" xfId="59" applyNumberFormat="1" applyFont="1" applyFill="1" applyBorder="1" applyAlignment="1"/>
    <xf numFmtId="172" fontId="53" fillId="0" borderId="0" xfId="0" applyFont="1" applyFill="1" applyBorder="1" applyAlignment="1">
      <alignment horizontal="center" wrapText="1"/>
    </xf>
    <xf numFmtId="10" fontId="53" fillId="0" borderId="0" xfId="266" applyNumberFormat="1" applyFont="1" applyFill="1" applyBorder="1"/>
    <xf numFmtId="172" fontId="53" fillId="0" borderId="3" xfId="0" applyFont="1" applyFill="1" applyBorder="1" applyAlignment="1">
      <alignment horizontal="center"/>
    </xf>
    <xf numFmtId="172" fontId="53" fillId="0" borderId="20" xfId="0" applyFont="1" applyFill="1" applyBorder="1" applyAlignment="1">
      <alignment horizontal="center"/>
    </xf>
    <xf numFmtId="172" fontId="95" fillId="0" borderId="12" xfId="201" applyFont="1" applyFill="1" applyBorder="1" applyAlignment="1"/>
    <xf numFmtId="172" fontId="95" fillId="0" borderId="12" xfId="201" applyFont="1" applyFill="1" applyBorder="1" applyAlignment="1">
      <alignment horizontal="center"/>
    </xf>
    <xf numFmtId="43" fontId="53" fillId="0" borderId="1" xfId="59" applyFont="1" applyFill="1" applyBorder="1"/>
    <xf numFmtId="172" fontId="53" fillId="0" borderId="17" xfId="0" applyFont="1" applyFill="1" applyBorder="1"/>
    <xf numFmtId="43" fontId="53" fillId="0" borderId="21" xfId="59" applyFont="1" applyFill="1" applyBorder="1"/>
    <xf numFmtId="172" fontId="95" fillId="0" borderId="0" xfId="201" applyFont="1" applyFill="1" applyBorder="1" applyAlignment="1">
      <alignment horizontal="center" wrapText="1"/>
    </xf>
    <xf numFmtId="43" fontId="53" fillId="0" borderId="12" xfId="59" applyFont="1" applyFill="1" applyBorder="1"/>
    <xf numFmtId="172" fontId="53" fillId="0" borderId="10" xfId="0" applyFont="1" applyFill="1" applyBorder="1"/>
    <xf numFmtId="172" fontId="53" fillId="0" borderId="0" xfId="201" applyFont="1" applyFill="1" applyBorder="1" applyAlignment="1">
      <alignment horizontal="center" wrapText="1"/>
    </xf>
    <xf numFmtId="3" fontId="53" fillId="0" borderId="0" xfId="211" applyNumberFormat="1" applyFont="1" applyFill="1" applyAlignment="1">
      <alignment wrapText="1"/>
    </xf>
    <xf numFmtId="3" fontId="53" fillId="0" borderId="0" xfId="211" quotePrefix="1" applyNumberFormat="1" applyFont="1" applyFill="1" applyAlignment="1">
      <alignment horizontal="left"/>
    </xf>
    <xf numFmtId="173" fontId="104" fillId="0" borderId="0" xfId="392" applyNumberFormat="1" applyFont="1" applyFill="1"/>
    <xf numFmtId="182" fontId="104" fillId="0" borderId="0" xfId="392" applyNumberFormat="1" applyFont="1" applyFill="1" applyBorder="1" applyAlignment="1">
      <alignment horizontal="center"/>
    </xf>
    <xf numFmtId="0" fontId="13" fillId="0" borderId="0" xfId="389" applyFont="1" applyFill="1" applyBorder="1" applyAlignment="1">
      <alignment horizontal="left"/>
    </xf>
    <xf numFmtId="0" fontId="53" fillId="0" borderId="0" xfId="211" applyNumberFormat="1" applyFont="1" applyFill="1" applyAlignment="1" applyProtection="1">
      <alignment vertical="top" wrapText="1"/>
      <protection locked="0"/>
    </xf>
    <xf numFmtId="172" fontId="53" fillId="0" borderId="0" xfId="201" applyFont="1" applyFill="1" applyBorder="1" applyAlignment="1">
      <alignment horizontal="left"/>
    </xf>
    <xf numFmtId="172" fontId="53" fillId="0" borderId="0" xfId="0" applyFont="1" applyFill="1" applyBorder="1" applyAlignment="1">
      <alignment horizontal="center"/>
    </xf>
    <xf numFmtId="0" fontId="53" fillId="0" borderId="0" xfId="201" applyNumberFormat="1" applyFont="1" applyFill="1" applyBorder="1" applyAlignment="1" applyProtection="1">
      <alignment horizontal="center"/>
      <protection locked="0"/>
    </xf>
    <xf numFmtId="49" fontId="83" fillId="0" borderId="0" xfId="0" applyNumberFormat="1" applyFont="1" applyFill="1" applyAlignment="1">
      <alignment horizontal="center"/>
    </xf>
    <xf numFmtId="172" fontId="53" fillId="0" borderId="0" xfId="0" applyFont="1" applyFill="1" applyAlignment="1">
      <alignment horizontal="right"/>
    </xf>
    <xf numFmtId="49" fontId="53" fillId="0" borderId="0" xfId="0" applyNumberFormat="1" applyFont="1" applyFill="1" applyAlignment="1">
      <alignment horizontal="center" vertical="center" wrapText="1"/>
    </xf>
    <xf numFmtId="172" fontId="53" fillId="0" borderId="0" xfId="0" applyFont="1" applyFill="1" applyAlignment="1">
      <alignment horizontal="center" vertical="center" wrapText="1"/>
    </xf>
    <xf numFmtId="0" fontId="53" fillId="0" borderId="0" xfId="212" applyFont="1" applyFill="1" applyAlignment="1">
      <alignment horizontal="center"/>
    </xf>
    <xf numFmtId="0" fontId="53" fillId="0" borderId="0" xfId="212" applyFont="1" applyFill="1" applyAlignment="1">
      <alignment horizontal="center" wrapText="1"/>
    </xf>
    <xf numFmtId="172" fontId="83" fillId="0" borderId="0" xfId="0" applyFont="1" applyFill="1" applyAlignment="1">
      <alignment horizontal="center"/>
    </xf>
    <xf numFmtId="0" fontId="53" fillId="0" borderId="0" xfId="192" applyFont="1" applyFill="1" applyAlignment="1">
      <alignment wrapText="1"/>
    </xf>
    <xf numFmtId="0" fontId="53" fillId="0" borderId="0" xfId="192" applyFont="1" applyFill="1"/>
    <xf numFmtId="173" fontId="53" fillId="0" borderId="0" xfId="59" applyNumberFormat="1" applyFont="1" applyFill="1"/>
    <xf numFmtId="0" fontId="53" fillId="0" borderId="3" xfId="192" applyFont="1" applyFill="1" applyBorder="1"/>
    <xf numFmtId="0" fontId="82" fillId="0" borderId="0" xfId="192" applyFont="1" applyFill="1"/>
    <xf numFmtId="3" fontId="53" fillId="0" borderId="0" xfId="211" applyNumberFormat="1" applyFont="1" applyFill="1" applyBorder="1" applyAlignment="1">
      <alignment horizontal="center"/>
    </xf>
    <xf numFmtId="43" fontId="53" fillId="0" borderId="0" xfId="192" applyNumberFormat="1" applyFont="1" applyFill="1"/>
    <xf numFmtId="0" fontId="53" fillId="0" borderId="8" xfId="211" applyNumberFormat="1" applyFont="1" applyFill="1" applyBorder="1" applyAlignment="1" applyProtection="1">
      <alignment horizontal="center"/>
      <protection locked="0"/>
    </xf>
    <xf numFmtId="3" fontId="53" fillId="0" borderId="0" xfId="211" quotePrefix="1" applyNumberFormat="1" applyFont="1" applyFill="1" applyAlignment="1"/>
    <xf numFmtId="10" fontId="53" fillId="0" borderId="8" xfId="266" applyNumberFormat="1" applyFont="1" applyFill="1" applyBorder="1" applyAlignment="1"/>
    <xf numFmtId="0" fontId="53" fillId="0" borderId="0" xfId="188" applyFont="1" applyFill="1" applyAlignment="1">
      <alignment horizontal="right"/>
    </xf>
    <xf numFmtId="172" fontId="53" fillId="0" borderId="0" xfId="211" applyNumberFormat="1" applyFont="1" applyFill="1" applyAlignment="1" applyProtection="1">
      <protection locked="0"/>
    </xf>
    <xf numFmtId="0" fontId="90" fillId="0" borderId="0" xfId="211" applyNumberFormat="1" applyFont="1" applyFill="1"/>
    <xf numFmtId="173" fontId="53" fillId="0" borderId="0" xfId="59" applyNumberFormat="1" applyFont="1" applyFill="1" applyAlignment="1" applyProtection="1">
      <alignment horizontal="center"/>
      <protection locked="0"/>
    </xf>
    <xf numFmtId="173" fontId="53" fillId="0" borderId="8" xfId="59" applyNumberFormat="1" applyFont="1" applyFill="1" applyBorder="1" applyAlignment="1" applyProtection="1">
      <alignment horizontal="center"/>
      <protection locked="0"/>
    </xf>
    <xf numFmtId="3" fontId="53" fillId="0" borderId="0" xfId="211" applyNumberFormat="1" applyFont="1" applyFill="1"/>
    <xf numFmtId="0" fontId="53" fillId="0" borderId="8" xfId="211" applyNumberFormat="1" applyFont="1" applyFill="1" applyBorder="1" applyAlignment="1" applyProtection="1">
      <alignment horizontal="centerContinuous"/>
      <protection locked="0"/>
    </xf>
    <xf numFmtId="3" fontId="53" fillId="0" borderId="0" xfId="211" applyNumberFormat="1" applyFont="1" applyFill="1" applyAlignment="1">
      <alignment horizontal="left"/>
    </xf>
    <xf numFmtId="3" fontId="53" fillId="0" borderId="0" xfId="211" applyNumberFormat="1" applyFont="1" applyFill="1" applyAlignment="1">
      <alignment horizontal="fill"/>
    </xf>
    <xf numFmtId="173" fontId="53" fillId="0" borderId="18" xfId="59" applyNumberFormat="1" applyFont="1" applyFill="1" applyBorder="1" applyAlignment="1" applyProtection="1">
      <alignment horizontal="right"/>
      <protection locked="0"/>
    </xf>
    <xf numFmtId="169" fontId="84" fillId="0" borderId="0" xfId="0" applyNumberFormat="1" applyFont="1" applyFill="1" applyAlignment="1"/>
    <xf numFmtId="172" fontId="84" fillId="0" borderId="0" xfId="0" applyFont="1" applyFill="1" applyAlignment="1"/>
    <xf numFmtId="0" fontId="53" fillId="0" borderId="0" xfId="206" applyNumberFormat="1" applyFont="1" applyFill="1" applyBorder="1"/>
    <xf numFmtId="3" fontId="53" fillId="0" borderId="0" xfId="211" applyNumberFormat="1" applyFont="1" applyFill="1" applyBorder="1" applyAlignment="1">
      <alignment horizontal="fill"/>
    </xf>
    <xf numFmtId="3" fontId="53" fillId="0" borderId="0" xfId="211" applyNumberFormat="1" applyFont="1" applyFill="1" applyBorder="1" applyAlignment="1"/>
    <xf numFmtId="0" fontId="53" fillId="0" borderId="0" xfId="206" applyNumberFormat="1" applyFont="1" applyFill="1" applyAlignment="1" applyProtection="1">
      <alignment horizontal="center"/>
      <protection locked="0"/>
    </xf>
    <xf numFmtId="0" fontId="53" fillId="0" borderId="0" xfId="206" applyNumberFormat="1" applyFont="1" applyFill="1" applyBorder="1" applyAlignment="1"/>
    <xf numFmtId="166" fontId="53" fillId="0" borderId="0" xfId="206" applyNumberFormat="1" applyFont="1" applyFill="1" applyBorder="1" applyAlignment="1"/>
    <xf numFmtId="173" fontId="53" fillId="0" borderId="0" xfId="59" applyNumberFormat="1" applyFont="1" applyFill="1" applyBorder="1" applyAlignment="1" applyProtection="1">
      <alignment horizontal="right"/>
      <protection locked="0"/>
    </xf>
    <xf numFmtId="168" fontId="53" fillId="0" borderId="0" xfId="211" applyNumberFormat="1" applyFont="1" applyFill="1"/>
    <xf numFmtId="0" fontId="53" fillId="0" borderId="0" xfId="211" applyNumberFormat="1" applyFont="1" applyFill="1" applyAlignment="1">
      <alignment horizontal="right"/>
    </xf>
    <xf numFmtId="3" fontId="60" fillId="0" borderId="0" xfId="211" applyNumberFormat="1" applyFont="1" applyFill="1" applyAlignment="1">
      <alignment horizontal="center"/>
    </xf>
    <xf numFmtId="0" fontId="60" fillId="0" borderId="0" xfId="211" applyNumberFormat="1" applyFont="1" applyFill="1" applyAlignment="1" applyProtection="1">
      <alignment horizontal="center"/>
      <protection locked="0"/>
    </xf>
    <xf numFmtId="172" fontId="60" fillId="0" borderId="0" xfId="211" applyFont="1" applyFill="1" applyAlignment="1">
      <alignment horizontal="center"/>
    </xf>
    <xf numFmtId="3" fontId="60" fillId="0" borderId="0" xfId="211" applyNumberFormat="1" applyFont="1" applyFill="1" applyAlignment="1"/>
    <xf numFmtId="0" fontId="60" fillId="0" borderId="0" xfId="211" applyNumberFormat="1" applyFont="1" applyFill="1" applyAlignment="1"/>
    <xf numFmtId="165" fontId="53" fillId="0" borderId="0" xfId="211" applyNumberFormat="1" applyFont="1" applyFill="1" applyAlignment="1"/>
    <xf numFmtId="0" fontId="53" fillId="0" borderId="0" xfId="206" applyFont="1" applyFill="1" applyAlignment="1"/>
    <xf numFmtId="0" fontId="53" fillId="0" borderId="0" xfId="188" applyNumberFormat="1" applyFont="1" applyFill="1"/>
    <xf numFmtId="173" fontId="53" fillId="0" borderId="18" xfId="59" applyNumberFormat="1" applyFont="1" applyFill="1" applyBorder="1" applyAlignment="1"/>
    <xf numFmtId="164" fontId="53" fillId="0" borderId="0" xfId="188" applyNumberFormat="1" applyFont="1" applyFill="1" applyAlignment="1">
      <alignment horizontal="center"/>
    </xf>
    <xf numFmtId="172" fontId="20" fillId="0" borderId="0" xfId="0" applyFont="1" applyFill="1"/>
    <xf numFmtId="172" fontId="20" fillId="0" borderId="0" xfId="0" applyFont="1" applyFill="1" applyBorder="1" applyAlignment="1">
      <alignment horizontal="left"/>
    </xf>
    <xf numFmtId="3" fontId="20" fillId="0" borderId="0" xfId="0" applyNumberFormat="1" applyFont="1" applyFill="1" applyBorder="1" applyAlignment="1"/>
    <xf numFmtId="172" fontId="20" fillId="0" borderId="0" xfId="0" applyFont="1" applyFill="1" applyBorder="1"/>
    <xf numFmtId="3" fontId="57" fillId="0" borderId="0" xfId="0" applyNumberFormat="1" applyFont="1" applyFill="1" applyBorder="1" applyAlignment="1">
      <alignment horizontal="right"/>
    </xf>
    <xf numFmtId="3" fontId="53" fillId="0" borderId="0" xfId="211" applyNumberFormat="1" applyFont="1" applyFill="1" applyAlignment="1">
      <alignment horizontal="right"/>
    </xf>
    <xf numFmtId="172" fontId="20" fillId="0" borderId="0" xfId="0" applyFont="1" applyFill="1" applyAlignment="1">
      <alignment horizontal="center"/>
    </xf>
    <xf numFmtId="0" fontId="53" fillId="0" borderId="0" xfId="211" applyNumberFormat="1" applyFont="1" applyFill="1" applyAlignment="1">
      <alignment wrapText="1"/>
    </xf>
    <xf numFmtId="0" fontId="53" fillId="0" borderId="0" xfId="211" quotePrefix="1" applyNumberFormat="1" applyFont="1" applyFill="1" applyAlignment="1">
      <alignment horizontal="left"/>
    </xf>
    <xf numFmtId="0" fontId="53" fillId="0" borderId="0" xfId="0" applyNumberFormat="1" applyFont="1" applyFill="1" applyAlignment="1">
      <alignment horizontal="left"/>
    </xf>
    <xf numFmtId="166" fontId="53" fillId="0" borderId="0" xfId="211" applyNumberFormat="1" applyFont="1" applyFill="1" applyAlignment="1"/>
    <xf numFmtId="166" fontId="53" fillId="0" borderId="0" xfId="188" applyNumberFormat="1" applyFont="1" applyFill="1" applyAlignment="1"/>
    <xf numFmtId="0" fontId="53" fillId="0" borderId="0" xfId="188" applyFont="1" applyFill="1" applyAlignment="1"/>
    <xf numFmtId="173" fontId="53" fillId="0" borderId="8" xfId="59" applyNumberFormat="1" applyFont="1" applyFill="1" applyBorder="1" applyAlignment="1">
      <alignment horizontal="right"/>
    </xf>
    <xf numFmtId="167" fontId="53" fillId="0" borderId="0" xfId="211" applyNumberFormat="1" applyFont="1" applyFill="1" applyAlignment="1"/>
    <xf numFmtId="166" fontId="53" fillId="0" borderId="0" xfId="188" applyNumberFormat="1" applyFont="1" applyFill="1" applyAlignment="1">
      <alignment horizontal="center"/>
    </xf>
    <xf numFmtId="173" fontId="53" fillId="0" borderId="14" xfId="59" applyNumberFormat="1" applyFont="1" applyFill="1" applyBorder="1" applyAlignment="1"/>
    <xf numFmtId="0" fontId="53" fillId="0" borderId="0" xfId="188" applyNumberFormat="1" applyFont="1" applyFill="1" applyAlignment="1"/>
    <xf numFmtId="172" fontId="53" fillId="0" borderId="0" xfId="211" applyFont="1" applyFill="1" applyAlignment="1">
      <alignment horizontal="right"/>
    </xf>
    <xf numFmtId="0" fontId="83" fillId="0" borderId="0" xfId="211" applyNumberFormat="1" applyFont="1" applyFill="1" applyAlignment="1" applyProtection="1">
      <alignment horizontal="center"/>
      <protection locked="0"/>
    </xf>
    <xf numFmtId="3" fontId="83" fillId="0" borderId="0" xfId="211" applyNumberFormat="1" applyFont="1" applyFill="1" applyAlignment="1"/>
    <xf numFmtId="172" fontId="83" fillId="0" borderId="0" xfId="0" applyFont="1" applyFill="1" applyAlignment="1"/>
    <xf numFmtId="3" fontId="53" fillId="0" borderId="8" xfId="211" applyNumberFormat="1" applyFont="1" applyFill="1" applyBorder="1" applyAlignment="1"/>
    <xf numFmtId="3" fontId="53" fillId="0" borderId="8" xfId="211" applyNumberFormat="1" applyFont="1" applyFill="1" applyBorder="1" applyAlignment="1">
      <alignment horizontal="center"/>
    </xf>
    <xf numFmtId="4" fontId="53" fillId="0" borderId="0" xfId="211" applyNumberFormat="1" applyFont="1" applyFill="1" applyAlignment="1"/>
    <xf numFmtId="3" fontId="53" fillId="0" borderId="0" xfId="188" applyNumberFormat="1" applyFont="1" applyFill="1" applyBorder="1" applyAlignment="1">
      <alignment horizontal="center"/>
    </xf>
    <xf numFmtId="0" fontId="53" fillId="0" borderId="8" xfId="188" applyNumberFormat="1" applyFont="1" applyFill="1" applyBorder="1" applyAlignment="1">
      <alignment horizontal="center"/>
    </xf>
    <xf numFmtId="0" fontId="53" fillId="0" borderId="0" xfId="188" applyNumberFormat="1" applyFont="1" applyFill="1" applyAlignment="1">
      <alignment horizontal="center"/>
    </xf>
    <xf numFmtId="169" fontId="53" fillId="0" borderId="0" xfId="211" applyNumberFormat="1" applyFont="1" applyFill="1" applyAlignment="1" applyProtection="1">
      <alignment horizontal="right"/>
      <protection locked="0"/>
    </xf>
    <xf numFmtId="169" fontId="53" fillId="0" borderId="0" xfId="211" applyNumberFormat="1" applyFont="1" applyFill="1" applyProtection="1">
      <protection locked="0"/>
    </xf>
    <xf numFmtId="0" fontId="53" fillId="0" borderId="0" xfId="211" applyNumberFormat="1" applyFont="1" applyFill="1" applyAlignment="1" applyProtection="1">
      <alignment horizontal="left" indent="8"/>
      <protection locked="0"/>
    </xf>
    <xf numFmtId="3" fontId="53" fillId="0" borderId="0" xfId="211" applyNumberFormat="1" applyFont="1" applyFill="1" applyAlignment="1">
      <alignment vertical="top" wrapText="1"/>
    </xf>
    <xf numFmtId="172" fontId="53" fillId="0" borderId="0" xfId="0" applyFont="1" applyFill="1" applyAlignment="1">
      <alignment vertical="top"/>
    </xf>
    <xf numFmtId="0" fontId="53" fillId="0" borderId="0" xfId="388" applyFont="1" applyFill="1" applyAlignment="1">
      <alignment vertical="center"/>
    </xf>
    <xf numFmtId="0" fontId="53" fillId="0" borderId="0" xfId="59" applyNumberFormat="1" applyFont="1" applyFill="1" applyBorder="1" applyAlignment="1"/>
    <xf numFmtId="172" fontId="53" fillId="0" borderId="19" xfId="0" applyFont="1" applyFill="1" applyBorder="1"/>
    <xf numFmtId="172" fontId="53" fillId="0" borderId="22" xfId="0" applyFont="1" applyFill="1" applyBorder="1" applyAlignment="1">
      <alignment horizontal="center"/>
    </xf>
    <xf numFmtId="172" fontId="53" fillId="0" borderId="3" xfId="0" applyFont="1" applyFill="1" applyBorder="1"/>
    <xf numFmtId="172" fontId="53" fillId="0" borderId="20" xfId="0" applyFont="1" applyFill="1" applyBorder="1"/>
    <xf numFmtId="172" fontId="53" fillId="0" borderId="17" xfId="0" applyFont="1" applyFill="1" applyBorder="1" applyAlignment="1"/>
    <xf numFmtId="172" fontId="53" fillId="0" borderId="15" xfId="0" applyFont="1" applyFill="1" applyBorder="1" applyAlignment="1">
      <alignment horizontal="center"/>
    </xf>
    <xf numFmtId="172" fontId="53" fillId="0" borderId="1" xfId="0" applyFont="1" applyFill="1" applyBorder="1" applyAlignment="1"/>
    <xf numFmtId="172" fontId="53" fillId="0" borderId="21" xfId="0" applyFont="1" applyFill="1" applyBorder="1" applyAlignment="1"/>
    <xf numFmtId="172" fontId="53" fillId="0" borderId="22" xfId="0" applyFont="1" applyFill="1" applyBorder="1"/>
    <xf numFmtId="172" fontId="53" fillId="0" borderId="11" xfId="0" applyFont="1" applyFill="1" applyBorder="1"/>
    <xf numFmtId="172" fontId="53" fillId="0" borderId="9" xfId="0" applyFont="1" applyFill="1" applyBorder="1" applyAlignment="1">
      <alignment horizontal="center"/>
    </xf>
    <xf numFmtId="172" fontId="53" fillId="0" borderId="11" xfId="0" applyFont="1" applyFill="1" applyBorder="1" applyAlignment="1">
      <alignment horizontal="center"/>
    </xf>
    <xf numFmtId="172" fontId="53" fillId="0" borderId="10" xfId="0" applyFont="1" applyFill="1" applyBorder="1" applyAlignment="1">
      <alignment horizontal="center"/>
    </xf>
    <xf numFmtId="172" fontId="53" fillId="0" borderId="19" xfId="0" applyFont="1" applyFill="1" applyBorder="1" applyAlignment="1">
      <alignment horizontal="center"/>
    </xf>
    <xf numFmtId="172" fontId="53" fillId="0" borderId="15" xfId="0" applyFont="1" applyFill="1" applyBorder="1"/>
    <xf numFmtId="10" fontId="53" fillId="0" borderId="15" xfId="266" applyNumberFormat="1" applyFont="1" applyFill="1" applyBorder="1"/>
    <xf numFmtId="172" fontId="53" fillId="0" borderId="0" xfId="201" applyFont="1" applyFill="1" applyAlignment="1"/>
    <xf numFmtId="172" fontId="53" fillId="0" borderId="0" xfId="201" applyFont="1" applyFill="1" applyAlignment="1">
      <alignment horizontal="center"/>
    </xf>
    <xf numFmtId="172" fontId="53" fillId="0" borderId="10" xfId="201" applyFont="1" applyFill="1" applyBorder="1" applyAlignment="1">
      <alignment horizontal="center"/>
    </xf>
    <xf numFmtId="172" fontId="53" fillId="0" borderId="11" xfId="201" applyFont="1" applyFill="1" applyBorder="1" applyAlignment="1">
      <alignment horizontal="center"/>
    </xf>
    <xf numFmtId="0" fontId="53" fillId="0" borderId="0" xfId="210" applyFont="1" applyFill="1"/>
    <xf numFmtId="0" fontId="83" fillId="0" borderId="0" xfId="0" applyNumberFormat="1" applyFont="1" applyFill="1" applyAlignment="1">
      <alignment horizontal="center"/>
    </xf>
    <xf numFmtId="0" fontId="53" fillId="0" borderId="0" xfId="212" applyFont="1" applyFill="1" applyAlignment="1">
      <alignment horizontal="right"/>
    </xf>
    <xf numFmtId="0" fontId="60" fillId="0" borderId="0" xfId="212" applyFont="1" applyFill="1" applyAlignment="1">
      <alignment horizontal="centerContinuous"/>
    </xf>
    <xf numFmtId="0" fontId="60" fillId="0" borderId="0" xfId="212" applyFont="1" applyFill="1" applyAlignment="1">
      <alignment horizontal="center"/>
    </xf>
    <xf numFmtId="0" fontId="53" fillId="0" borderId="0" xfId="0" applyNumberFormat="1" applyFont="1" applyFill="1" applyAlignment="1">
      <alignment horizontal="center" wrapText="1"/>
    </xf>
    <xf numFmtId="172" fontId="53" fillId="0" borderId="0" xfId="0" applyFont="1" applyFill="1" applyAlignment="1">
      <alignment wrapText="1"/>
    </xf>
    <xf numFmtId="3" fontId="53" fillId="0" borderId="0" xfId="188" applyNumberFormat="1" applyFont="1" applyFill="1" applyAlignment="1">
      <alignment horizontal="left" wrapText="1"/>
    </xf>
    <xf numFmtId="3" fontId="53" fillId="0" borderId="0" xfId="188" applyNumberFormat="1" applyFont="1" applyFill="1" applyAlignment="1">
      <alignment horizontal="center" wrapText="1"/>
    </xf>
    <xf numFmtId="0" fontId="53" fillId="0" borderId="0" xfId="212" quotePrefix="1" applyFont="1" applyFill="1" applyAlignment="1">
      <alignment horizontal="left"/>
    </xf>
    <xf numFmtId="173" fontId="53" fillId="0" borderId="14" xfId="59" applyNumberFormat="1" applyFont="1" applyFill="1" applyBorder="1"/>
    <xf numFmtId="37" fontId="53" fillId="0" borderId="0" xfId="212" applyNumberFormat="1" applyFont="1" applyFill="1"/>
    <xf numFmtId="172" fontId="53" fillId="0" borderId="0" xfId="207" applyFont="1" applyFill="1" applyAlignment="1"/>
    <xf numFmtId="0" fontId="60" fillId="0" borderId="0" xfId="212" applyFont="1" applyFill="1" applyAlignment="1">
      <alignment horizontal="centerContinuous" wrapText="1"/>
    </xf>
    <xf numFmtId="172" fontId="60" fillId="0" borderId="0" xfId="0" applyFont="1" applyFill="1" applyAlignment="1">
      <alignment horizontal="center"/>
    </xf>
    <xf numFmtId="172" fontId="60" fillId="0" borderId="0" xfId="0" applyFont="1" applyFill="1" applyAlignment="1">
      <alignment horizontal="center" wrapText="1"/>
    </xf>
    <xf numFmtId="172" fontId="83" fillId="0" borderId="0" xfId="0" applyFont="1" applyFill="1" applyBorder="1" applyAlignment="1"/>
    <xf numFmtId="43" fontId="53" fillId="0" borderId="1" xfId="59" applyFont="1" applyFill="1" applyBorder="1" applyAlignment="1">
      <alignment horizontal="center"/>
    </xf>
    <xf numFmtId="0" fontId="82" fillId="0" borderId="0" xfId="0" applyNumberFormat="1" applyFont="1" applyFill="1" applyAlignment="1">
      <alignment horizontal="center"/>
    </xf>
    <xf numFmtId="172" fontId="82" fillId="0" borderId="0" xfId="0" applyFont="1" applyFill="1" applyAlignment="1">
      <alignment horizontal="center"/>
    </xf>
    <xf numFmtId="44" fontId="82" fillId="0" borderId="0" xfId="0" applyNumberFormat="1" applyFont="1" applyFill="1" applyBorder="1" applyAlignment="1"/>
    <xf numFmtId="0" fontId="4" fillId="0" borderId="0" xfId="389" applyFill="1"/>
    <xf numFmtId="0" fontId="105" fillId="0" borderId="0" xfId="389" applyFont="1" applyFill="1" applyAlignment="1"/>
    <xf numFmtId="0" fontId="105" fillId="0" borderId="0" xfId="389" applyFont="1" applyFill="1" applyAlignment="1">
      <alignment horizontal="center"/>
    </xf>
    <xf numFmtId="0" fontId="104" fillId="0" borderId="0" xfId="389" applyFont="1" applyFill="1" applyAlignment="1">
      <alignment horizontal="center"/>
    </xf>
    <xf numFmtId="0" fontId="105" fillId="0" borderId="0" xfId="389" applyFont="1" applyFill="1"/>
    <xf numFmtId="9" fontId="104" fillId="0" borderId="0" xfId="389" applyNumberFormat="1" applyFont="1" applyFill="1" applyAlignment="1">
      <alignment horizontal="center"/>
    </xf>
    <xf numFmtId="182" fontId="104" fillId="0" borderId="0" xfId="392" applyNumberFormat="1" applyFont="1" applyFill="1" applyAlignment="1">
      <alignment horizontal="center"/>
    </xf>
    <xf numFmtId="182" fontId="104" fillId="0" borderId="0" xfId="392" applyNumberFormat="1" applyFont="1" applyFill="1"/>
    <xf numFmtId="9" fontId="104" fillId="0" borderId="0" xfId="391" applyFont="1" applyFill="1"/>
    <xf numFmtId="173" fontId="104" fillId="0" borderId="0" xfId="389" applyNumberFormat="1" applyFont="1" applyFill="1"/>
    <xf numFmtId="0" fontId="107" fillId="0" borderId="0" xfId="389" applyFont="1" applyFill="1" applyAlignment="1">
      <alignment horizontal="right"/>
    </xf>
    <xf numFmtId="0" fontId="38" fillId="0" borderId="0" xfId="389" applyFont="1" applyFill="1" applyAlignment="1">
      <alignment horizontal="center"/>
    </xf>
    <xf numFmtId="41" fontId="38" fillId="0" borderId="0" xfId="389" applyNumberFormat="1" applyFont="1" applyFill="1" applyAlignment="1">
      <alignment horizontal="center"/>
    </xf>
    <xf numFmtId="0" fontId="109" fillId="0" borderId="0" xfId="389" applyFont="1" applyFill="1" applyBorder="1"/>
    <xf numFmtId="0" fontId="108" fillId="0" borderId="0" xfId="389" applyFont="1" applyFill="1"/>
    <xf numFmtId="0" fontId="95" fillId="0" borderId="0" xfId="389" applyFont="1" applyFill="1"/>
    <xf numFmtId="41" fontId="95" fillId="0" borderId="0" xfId="389" applyNumberFormat="1" applyFont="1" applyFill="1"/>
    <xf numFmtId="0" fontId="107" fillId="0" borderId="9" xfId="389" applyFont="1" applyFill="1" applyBorder="1"/>
    <xf numFmtId="41" fontId="4" fillId="0" borderId="0" xfId="389" applyNumberFormat="1" applyFill="1"/>
    <xf numFmtId="0" fontId="107" fillId="0" borderId="12" xfId="389" applyFont="1" applyFill="1" applyBorder="1"/>
    <xf numFmtId="0" fontId="111" fillId="0" borderId="10" xfId="389" applyFont="1" applyFill="1" applyBorder="1" applyAlignment="1"/>
    <xf numFmtId="0" fontId="111" fillId="0" borderId="10" xfId="389" applyFont="1" applyFill="1" applyBorder="1"/>
    <xf numFmtId="41" fontId="107" fillId="0" borderId="0" xfId="389" applyNumberFormat="1" applyFont="1" applyFill="1" applyBorder="1" applyAlignment="1"/>
    <xf numFmtId="0" fontId="107" fillId="0" borderId="0" xfId="389" applyFont="1" applyFill="1" applyBorder="1" applyAlignment="1"/>
    <xf numFmtId="0" fontId="107" fillId="0" borderId="27" xfId="389" applyFont="1" applyFill="1" applyBorder="1" applyAlignment="1"/>
    <xf numFmtId="41" fontId="111" fillId="0" borderId="0" xfId="389" applyNumberFormat="1" applyFont="1" applyFill="1" applyBorder="1" applyAlignment="1">
      <alignment wrapText="1"/>
    </xf>
    <xf numFmtId="41" fontId="107" fillId="0" borderId="0" xfId="389" applyNumberFormat="1" applyFont="1" applyFill="1" applyBorder="1" applyAlignment="1">
      <alignment wrapText="1"/>
    </xf>
    <xf numFmtId="0" fontId="107" fillId="0" borderId="27" xfId="389" applyFont="1" applyFill="1" applyBorder="1" applyAlignment="1">
      <alignment wrapText="1"/>
    </xf>
    <xf numFmtId="0" fontId="13" fillId="0" borderId="9" xfId="389" applyFont="1" applyFill="1" applyBorder="1"/>
    <xf numFmtId="0" fontId="13" fillId="0" borderId="0" xfId="389" applyFont="1" applyFill="1" applyBorder="1"/>
    <xf numFmtId="41" fontId="107" fillId="0" borderId="0" xfId="389" applyNumberFormat="1" applyFont="1" applyFill="1" applyAlignment="1">
      <alignment horizontal="center"/>
    </xf>
    <xf numFmtId="0" fontId="103" fillId="0" borderId="0" xfId="396" applyFont="1" applyFill="1"/>
    <xf numFmtId="1" fontId="20" fillId="0" borderId="0" xfId="201" applyNumberFormat="1" applyFont="1" applyFill="1" applyAlignment="1">
      <alignment horizontal="left"/>
    </xf>
    <xf numFmtId="172" fontId="92" fillId="0" borderId="0" xfId="201" quotePrefix="1" applyFont="1" applyFill="1" applyAlignment="1">
      <alignment horizontal="left"/>
    </xf>
    <xf numFmtId="172" fontId="15" fillId="0" borderId="0" xfId="201" applyFont="1" applyFill="1" applyAlignment="1"/>
    <xf numFmtId="0" fontId="77" fillId="0" borderId="0" xfId="383" applyFont="1" applyFill="1" applyAlignment="1">
      <alignment horizontal="center" wrapText="1"/>
    </xf>
    <xf numFmtId="172" fontId="20" fillId="0" borderId="0" xfId="201" applyFont="1" applyFill="1" applyAlignment="1"/>
    <xf numFmtId="172" fontId="20" fillId="0" borderId="0" xfId="201" quotePrefix="1" applyFont="1" applyFill="1" applyBorder="1" applyAlignment="1">
      <alignment horizontal="left"/>
    </xf>
    <xf numFmtId="172" fontId="20" fillId="0" borderId="0" xfId="201" applyFont="1" applyFill="1" applyAlignment="1">
      <alignment horizontal="left"/>
    </xf>
    <xf numFmtId="172" fontId="20" fillId="0" borderId="0" xfId="201" applyFont="1" applyFill="1" applyBorder="1" applyAlignment="1"/>
    <xf numFmtId="0" fontId="77" fillId="0" borderId="0" xfId="383" applyFont="1" applyFill="1"/>
    <xf numFmtId="172" fontId="53" fillId="0" borderId="12" xfId="0" applyFont="1" applyFill="1" applyBorder="1" applyAlignment="1">
      <alignment horizontal="center" wrapText="1"/>
    </xf>
    <xf numFmtId="0" fontId="60" fillId="0" borderId="0" xfId="212" applyFont="1" applyFill="1" applyAlignment="1">
      <alignment horizontal="center"/>
    </xf>
    <xf numFmtId="172" fontId="53" fillId="0" borderId="0" xfId="211" applyFont="1" applyFill="1" applyAlignment="1">
      <alignment horizontal="center"/>
    </xf>
    <xf numFmtId="41" fontId="117" fillId="16" borderId="0" xfId="212" applyNumberFormat="1" applyFont="1" applyFill="1"/>
    <xf numFmtId="0" fontId="53" fillId="0" borderId="0" xfId="212" applyFont="1" applyFill="1" applyAlignment="1">
      <alignment horizontal="left"/>
    </xf>
    <xf numFmtId="10" fontId="53" fillId="0" borderId="0" xfId="266" applyNumberFormat="1" applyFont="1" applyFill="1" applyAlignment="1">
      <alignment horizontal="center"/>
    </xf>
    <xf numFmtId="37" fontId="53" fillId="0" borderId="0" xfId="59" applyNumberFormat="1" applyFont="1" applyFill="1" applyAlignment="1">
      <alignment horizontal="center" wrapText="1"/>
    </xf>
    <xf numFmtId="37" fontId="53" fillId="0" borderId="0" xfId="59" applyNumberFormat="1" applyFont="1" applyFill="1" applyBorder="1" applyAlignment="1">
      <alignment horizontal="center" wrapText="1"/>
    </xf>
    <xf numFmtId="37" fontId="53" fillId="0" borderId="0" xfId="59" applyNumberFormat="1" applyFont="1" applyFill="1" applyAlignment="1">
      <alignment horizontal="center"/>
    </xf>
    <xf numFmtId="0" fontId="53" fillId="0" borderId="0" xfId="192" applyFont="1" applyFill="1" applyBorder="1"/>
    <xf numFmtId="3" fontId="53" fillId="0" borderId="0" xfId="0" applyNumberFormat="1" applyFont="1" applyFill="1" applyAlignment="1"/>
    <xf numFmtId="3" fontId="53" fillId="0" borderId="8" xfId="0" applyNumberFormat="1" applyFont="1" applyFill="1" applyBorder="1" applyAlignment="1">
      <alignment horizontal="center"/>
    </xf>
    <xf numFmtId="0" fontId="53" fillId="0" borderId="0" xfId="0" applyNumberFormat="1" applyFont="1" applyFill="1" applyProtection="1">
      <protection locked="0"/>
    </xf>
    <xf numFmtId="173" fontId="53" fillId="0" borderId="0" xfId="59" applyNumberFormat="1" applyFont="1" applyFill="1" applyAlignment="1" applyProtection="1">
      <protection locked="0"/>
    </xf>
    <xf numFmtId="3" fontId="53" fillId="0" borderId="0" xfId="0" applyNumberFormat="1" applyFont="1" applyFill="1" applyAlignment="1">
      <alignment horizontal="center"/>
    </xf>
    <xf numFmtId="49" fontId="118" fillId="0" borderId="0" xfId="0" applyNumberFormat="1" applyFont="1" applyFill="1" applyAlignment="1">
      <alignment horizontal="center"/>
    </xf>
    <xf numFmtId="0" fontId="43" fillId="0" borderId="0" xfId="192" applyFont="1" applyFill="1"/>
    <xf numFmtId="172" fontId="43" fillId="0" borderId="0" xfId="0" applyFont="1" applyFill="1" applyAlignment="1">
      <alignment horizontal="center" vertical="center"/>
    </xf>
    <xf numFmtId="172" fontId="43" fillId="0" borderId="0" xfId="0" applyFont="1" applyFill="1" applyAlignment="1"/>
    <xf numFmtId="43" fontId="53" fillId="14" borderId="11" xfId="59" applyFont="1" applyFill="1" applyBorder="1"/>
    <xf numFmtId="43" fontId="53" fillId="14" borderId="12" xfId="59" applyFont="1" applyFill="1" applyBorder="1"/>
    <xf numFmtId="43" fontId="53" fillId="14" borderId="11" xfId="59" applyFont="1" applyFill="1" applyBorder="1" applyAlignment="1">
      <alignment horizontal="center"/>
    </xf>
    <xf numFmtId="43" fontId="53" fillId="14" borderId="22" xfId="59" applyFont="1" applyFill="1" applyBorder="1"/>
    <xf numFmtId="173" fontId="53" fillId="14" borderId="11" xfId="59" applyNumberFormat="1" applyFont="1" applyFill="1" applyBorder="1" applyAlignment="1"/>
    <xf numFmtId="172" fontId="53" fillId="14" borderId="0" xfId="201" applyFont="1" applyFill="1" applyBorder="1" applyAlignment="1"/>
    <xf numFmtId="172" fontId="53" fillId="14" borderId="1" xfId="201" applyFont="1" applyFill="1" applyBorder="1" applyAlignment="1"/>
    <xf numFmtId="173" fontId="53" fillId="14" borderId="0" xfId="59" applyNumberFormat="1" applyFont="1" applyFill="1" applyAlignment="1"/>
    <xf numFmtId="173" fontId="53" fillId="14" borderId="0" xfId="59" applyNumberFormat="1" applyFont="1" applyFill="1"/>
    <xf numFmtId="173" fontId="104" fillId="14" borderId="0" xfId="392" applyNumberFormat="1" applyFont="1" applyFill="1" applyBorder="1"/>
    <xf numFmtId="173" fontId="104" fillId="14" borderId="0" xfId="392" applyNumberFormat="1" applyFont="1" applyFill="1"/>
    <xf numFmtId="173" fontId="104" fillId="14" borderId="0" xfId="389" applyNumberFormat="1" applyFont="1" applyFill="1"/>
    <xf numFmtId="173" fontId="53" fillId="14" borderId="8" xfId="59" applyNumberFormat="1" applyFont="1" applyFill="1" applyBorder="1" applyAlignment="1"/>
    <xf numFmtId="43" fontId="53" fillId="14" borderId="0" xfId="59" applyFont="1" applyFill="1" applyBorder="1"/>
    <xf numFmtId="172" fontId="99" fillId="0" borderId="0" xfId="0" applyFont="1" applyFill="1" applyAlignment="1">
      <alignment horizontal="center" vertical="center"/>
    </xf>
    <xf numFmtId="10" fontId="53" fillId="0" borderId="8" xfId="266" applyNumberFormat="1" applyFont="1" applyFill="1" applyBorder="1" applyAlignment="1">
      <alignment horizontal="center"/>
    </xf>
    <xf numFmtId="10" fontId="53" fillId="0" borderId="0" xfId="266" applyNumberFormat="1" applyFont="1" applyFill="1" applyBorder="1" applyAlignment="1"/>
    <xf numFmtId="10" fontId="53" fillId="0" borderId="0" xfId="266" applyNumberFormat="1" applyFont="1" applyFill="1" applyAlignment="1" applyProtection="1">
      <alignment vertical="top"/>
      <protection locked="0"/>
    </xf>
    <xf numFmtId="10" fontId="53" fillId="0" borderId="0" xfId="266" applyNumberFormat="1" applyFont="1" applyFill="1" applyAlignment="1">
      <alignment horizontal="center"/>
    </xf>
    <xf numFmtId="0" fontId="53" fillId="0" borderId="0" xfId="212" quotePrefix="1" applyFont="1" applyFill="1" applyAlignment="1">
      <alignment horizontal="center"/>
    </xf>
    <xf numFmtId="174" fontId="53" fillId="0" borderId="0" xfId="93" quotePrefix="1" applyNumberFormat="1" applyFont="1" applyFill="1" applyAlignment="1">
      <alignment horizontal="left"/>
    </xf>
    <xf numFmtId="173" fontId="53" fillId="0" borderId="0" xfId="59" quotePrefix="1" applyNumberFormat="1" applyFont="1" applyFill="1" applyAlignment="1">
      <alignment horizontal="left"/>
    </xf>
    <xf numFmtId="0" fontId="60" fillId="0" borderId="0" xfId="212" quotePrefix="1" applyFont="1" applyFill="1" applyAlignment="1">
      <alignment horizontal="left"/>
    </xf>
    <xf numFmtId="10" fontId="53" fillId="0" borderId="0" xfId="266" applyNumberFormat="1" applyFont="1" applyFill="1" applyAlignment="1">
      <alignment horizontal="center"/>
    </xf>
    <xf numFmtId="0" fontId="53" fillId="14" borderId="0" xfId="59" applyNumberFormat="1" applyFont="1" applyFill="1" applyBorder="1" applyAlignment="1">
      <alignment horizontal="left"/>
    </xf>
    <xf numFmtId="172" fontId="53" fillId="14" borderId="0" xfId="201" applyFont="1" applyFill="1" applyBorder="1" applyAlignment="1">
      <alignment horizontal="left"/>
    </xf>
    <xf numFmtId="172" fontId="117" fillId="14" borderId="0" xfId="209" applyFont="1" applyFill="1" applyBorder="1" applyAlignment="1"/>
    <xf numFmtId="170" fontId="43" fillId="0" borderId="0" xfId="266" applyNumberFormat="1" applyFont="1" applyFill="1" applyAlignment="1">
      <alignment horizontal="center"/>
    </xf>
    <xf numFmtId="170" fontId="43" fillId="0" borderId="0" xfId="266" applyNumberFormat="1" applyFont="1" applyAlignment="1"/>
    <xf numFmtId="170" fontId="43" fillId="0" borderId="8" xfId="266" applyNumberFormat="1" applyFont="1" applyBorder="1" applyAlignment="1"/>
    <xf numFmtId="274" fontId="20" fillId="0" borderId="0" xfId="266" applyNumberFormat="1" applyFont="1" applyFill="1" applyAlignment="1">
      <alignment horizontal="right"/>
    </xf>
    <xf numFmtId="170" fontId="53" fillId="0" borderId="0" xfId="266" applyNumberFormat="1" applyFont="1" applyFill="1" applyAlignment="1"/>
    <xf numFmtId="172" fontId="119" fillId="0" borderId="0" xfId="0" applyFont="1" applyFill="1" applyAlignment="1"/>
    <xf numFmtId="172" fontId="119" fillId="0" borderId="0" xfId="201" applyFont="1" applyFill="1" applyBorder="1" applyAlignment="1"/>
    <xf numFmtId="0" fontId="53" fillId="0" borderId="0" xfId="188" quotePrefix="1" applyNumberFormat="1" applyFont="1" applyFill="1" applyAlignment="1">
      <alignment vertical="top" wrapText="1"/>
    </xf>
    <xf numFmtId="0" fontId="53" fillId="0" borderId="0" xfId="188" applyNumberFormat="1" applyFont="1" applyFill="1" applyAlignment="1">
      <alignment vertical="top" wrapText="1"/>
    </xf>
    <xf numFmtId="0" fontId="53" fillId="0" borderId="0" xfId="211" applyNumberFormat="1" applyFont="1" applyFill="1" applyAlignment="1" applyProtection="1">
      <alignment vertical="top" wrapText="1"/>
      <protection locked="0"/>
    </xf>
    <xf numFmtId="43" fontId="117" fillId="0" borderId="11" xfId="59" applyFont="1" applyFill="1" applyBorder="1" applyAlignment="1">
      <alignment horizontal="center"/>
    </xf>
    <xf numFmtId="43" fontId="53" fillId="0" borderId="11" xfId="59" applyFont="1" applyFill="1" applyBorder="1" applyAlignment="1">
      <alignment horizontal="center"/>
    </xf>
    <xf numFmtId="43" fontId="53" fillId="14" borderId="12" xfId="59" applyFont="1" applyFill="1" applyBorder="1" applyAlignment="1">
      <alignment horizontal="center"/>
    </xf>
    <xf numFmtId="172" fontId="53" fillId="0" borderId="21" xfId="0" applyFont="1" applyFill="1" applyBorder="1"/>
    <xf numFmtId="174" fontId="53" fillId="0" borderId="15" xfId="93" applyNumberFormat="1" applyFont="1" applyFill="1" applyBorder="1"/>
    <xf numFmtId="0" fontId="121" fillId="0" borderId="0" xfId="389" applyFont="1" applyFill="1" applyAlignment="1">
      <alignment horizontal="center"/>
    </xf>
    <xf numFmtId="173" fontId="121" fillId="0" borderId="0" xfId="389" applyNumberFormat="1" applyFont="1" applyFill="1" applyAlignment="1">
      <alignment horizontal="center"/>
    </xf>
    <xf numFmtId="0" fontId="122" fillId="0" borderId="0" xfId="389" applyFont="1" applyFill="1" applyAlignment="1">
      <alignment horizontal="center"/>
    </xf>
    <xf numFmtId="0" fontId="121" fillId="14" borderId="0" xfId="389" applyFont="1" applyFill="1" applyAlignment="1">
      <alignment horizontal="center"/>
    </xf>
    <xf numFmtId="172" fontId="49" fillId="0" borderId="0" xfId="0" applyFont="1" applyFill="1" applyAlignment="1"/>
    <xf numFmtId="172" fontId="123" fillId="0" borderId="0" xfId="0" applyFont="1" applyFill="1" applyAlignment="1"/>
    <xf numFmtId="0" fontId="49" fillId="0" borderId="0" xfId="212" quotePrefix="1" applyFont="1" applyFill="1" applyAlignment="1">
      <alignment horizontal="left"/>
    </xf>
    <xf numFmtId="0" fontId="49" fillId="0" borderId="0" xfId="0" applyNumberFormat="1" applyFont="1" applyFill="1" applyAlignment="1">
      <alignment horizontal="center"/>
    </xf>
    <xf numFmtId="173" fontId="49" fillId="0" borderId="0" xfId="59" applyNumberFormat="1" applyFont="1" applyFill="1" applyAlignment="1"/>
    <xf numFmtId="172" fontId="49" fillId="14" borderId="0" xfId="0" applyFont="1" applyFill="1" applyAlignment="1"/>
    <xf numFmtId="10" fontId="49" fillId="0" borderId="0" xfId="266" applyNumberFormat="1" applyFont="1" applyFill="1" applyAlignment="1"/>
    <xf numFmtId="173" fontId="49" fillId="0" borderId="0" xfId="59" applyNumberFormat="1" applyFont="1" applyFill="1" applyAlignment="1">
      <alignment horizontal="right"/>
    </xf>
    <xf numFmtId="172" fontId="49" fillId="0" borderId="0" xfId="0" applyFont="1" applyFill="1" applyAlignment="1">
      <alignment horizontal="center"/>
    </xf>
    <xf numFmtId="0" fontId="121" fillId="0" borderId="0" xfId="389" quotePrefix="1" applyFont="1" applyFill="1" applyAlignment="1">
      <alignment horizontal="center"/>
    </xf>
    <xf numFmtId="172" fontId="49" fillId="0" borderId="0" xfId="0" quotePrefix="1" applyFont="1" applyFill="1" applyAlignment="1">
      <alignment horizontal="center"/>
    </xf>
    <xf numFmtId="172" fontId="123" fillId="0" borderId="0" xfId="201" applyFont="1" applyFill="1" applyAlignment="1"/>
    <xf numFmtId="172" fontId="49" fillId="0" borderId="0" xfId="0" applyFont="1" applyFill="1" applyAlignment="1">
      <alignment horizontal="right"/>
    </xf>
    <xf numFmtId="172" fontId="49" fillId="0" borderId="0" xfId="201" applyFont="1" applyFill="1" applyAlignment="1">
      <alignment horizontal="center"/>
    </xf>
    <xf numFmtId="172" fontId="124" fillId="0" borderId="0" xfId="0" applyFont="1" applyFill="1" applyAlignment="1"/>
    <xf numFmtId="0" fontId="125" fillId="0" borderId="0" xfId="187" applyFont="1" applyFill="1" applyBorder="1" applyAlignment="1">
      <alignment horizontal="left"/>
    </xf>
    <xf numFmtId="0" fontId="49" fillId="0" borderId="0" xfId="187" applyFont="1" applyFill="1" applyBorder="1" applyAlignment="1"/>
    <xf numFmtId="0" fontId="49" fillId="0" borderId="0" xfId="187" applyFont="1" applyFill="1" applyBorder="1" applyAlignment="1">
      <alignment horizontal="center"/>
    </xf>
    <xf numFmtId="49" fontId="49" fillId="0" borderId="0" xfId="187" applyNumberFormat="1" applyFont="1" applyFill="1" applyBorder="1" applyAlignment="1">
      <alignment horizontal="center"/>
    </xf>
    <xf numFmtId="0" fontId="49" fillId="0" borderId="0" xfId="187" applyFont="1" applyFill="1" applyBorder="1"/>
    <xf numFmtId="172" fontId="49" fillId="0" borderId="0" xfId="0" applyFont="1" applyFill="1" applyBorder="1" applyAlignment="1"/>
    <xf numFmtId="3" fontId="49" fillId="0" borderId="0" xfId="187" applyNumberFormat="1" applyFont="1" applyFill="1" applyBorder="1" applyAlignment="1"/>
    <xf numFmtId="172" fontId="123" fillId="0" borderId="1" xfId="201" applyFont="1" applyFill="1" applyBorder="1" applyAlignment="1">
      <alignment horizontal="center" wrapText="1"/>
    </xf>
    <xf numFmtId="172" fontId="123" fillId="0" borderId="0" xfId="201" applyFont="1" applyFill="1" applyAlignment="1">
      <alignment horizontal="center" wrapText="1"/>
    </xf>
    <xf numFmtId="0" fontId="49" fillId="0" borderId="0" xfId="204" applyFont="1" applyFill="1" applyBorder="1" applyAlignment="1"/>
    <xf numFmtId="173" fontId="49" fillId="0" borderId="0" xfId="59" applyNumberFormat="1" applyFont="1" applyFill="1" applyBorder="1" applyAlignment="1"/>
    <xf numFmtId="172" fontId="49" fillId="0" borderId="0" xfId="201" applyFont="1" applyFill="1" applyBorder="1" applyAlignment="1"/>
    <xf numFmtId="172" fontId="49" fillId="0" borderId="8" xfId="201" applyFont="1" applyFill="1" applyBorder="1" applyAlignment="1"/>
    <xf numFmtId="172" fontId="49" fillId="0" borderId="0" xfId="201" applyFont="1" applyFill="1" applyBorder="1" applyAlignment="1">
      <alignment horizontal="center" vertical="top"/>
    </xf>
    <xf numFmtId="172" fontId="49" fillId="0" borderId="0" xfId="201" applyFont="1" applyFill="1" applyBorder="1" applyAlignment="1">
      <alignment vertical="top"/>
    </xf>
    <xf numFmtId="0" fontId="49" fillId="0" borderId="0" xfId="0" applyNumberFormat="1" applyFont="1" applyFill="1" applyAlignment="1">
      <alignment horizontal="center" vertical="center"/>
    </xf>
    <xf numFmtId="10" fontId="53" fillId="0" borderId="0" xfId="266" applyNumberFormat="1" applyFont="1" applyFill="1" applyAlignment="1">
      <alignment horizontal="center"/>
    </xf>
    <xf numFmtId="0" fontId="53" fillId="0" borderId="0" xfId="188" applyNumberFormat="1" applyFont="1" applyFill="1" applyAlignment="1">
      <alignment vertical="top" wrapText="1"/>
    </xf>
    <xf numFmtId="172" fontId="53" fillId="0" borderId="0" xfId="0" applyFont="1" applyFill="1" applyAlignment="1">
      <alignment horizontal="left" vertical="center" wrapText="1"/>
    </xf>
    <xf numFmtId="0" fontId="53" fillId="0" borderId="0" xfId="201" applyNumberFormat="1" applyFont="1" applyFill="1" applyBorder="1" applyAlignment="1" applyProtection="1">
      <alignment horizontal="center"/>
      <protection locked="0"/>
    </xf>
    <xf numFmtId="10" fontId="53" fillId="0" borderId="0" xfId="59" applyNumberFormat="1" applyFont="1" applyFill="1" applyBorder="1" applyAlignment="1">
      <alignment horizontal="center"/>
    </xf>
    <xf numFmtId="0" fontId="123" fillId="0" borderId="0" xfId="184" applyFont="1" applyFill="1"/>
    <xf numFmtId="0" fontId="49" fillId="0" borderId="0" xfId="184" applyFont="1" applyFill="1"/>
    <xf numFmtId="173" fontId="123" fillId="0" borderId="0" xfId="59" applyNumberFormat="1" applyFont="1" applyFill="1" applyAlignment="1"/>
    <xf numFmtId="0" fontId="123" fillId="0" borderId="0" xfId="212" applyFont="1" applyFill="1" applyAlignment="1">
      <alignment horizontal="center"/>
    </xf>
    <xf numFmtId="0" fontId="123" fillId="0" borderId="0" xfId="212" applyFont="1" applyFill="1" applyAlignment="1">
      <alignment horizontal="center" wrapText="1"/>
    </xf>
    <xf numFmtId="172" fontId="49" fillId="0" borderId="0" xfId="0" applyFont="1" applyFill="1" applyAlignment="1">
      <alignment horizontal="center" wrapText="1"/>
    </xf>
    <xf numFmtId="172" fontId="49" fillId="0" borderId="0" xfId="0" applyFont="1" applyFill="1"/>
    <xf numFmtId="1" fontId="49" fillId="0" borderId="1" xfId="0" applyNumberFormat="1" applyFont="1" applyFill="1" applyBorder="1" applyAlignment="1">
      <alignment horizontal="center"/>
    </xf>
    <xf numFmtId="172" fontId="49" fillId="0" borderId="1" xfId="0" applyFont="1" applyFill="1" applyBorder="1"/>
    <xf numFmtId="0" fontId="123" fillId="0" borderId="0" xfId="399" applyFont="1" applyFill="1" applyBorder="1" applyAlignment="1">
      <alignment horizontal="center"/>
    </xf>
    <xf numFmtId="0" fontId="49" fillId="0" borderId="0" xfId="59" applyNumberFormat="1" applyFont="1" applyFill="1" applyAlignment="1">
      <alignment horizontal="left"/>
    </xf>
    <xf numFmtId="1" fontId="49" fillId="0" borderId="0" xfId="399" applyNumberFormat="1" applyFont="1" applyFill="1" applyBorder="1" applyAlignment="1">
      <alignment horizontal="center"/>
    </xf>
    <xf numFmtId="173" fontId="49" fillId="0" borderId="1" xfId="399" applyNumberFormat="1" applyFont="1" applyFill="1" applyBorder="1" applyAlignment="1" applyProtection="1">
      <alignment horizontal="center"/>
      <protection locked="0"/>
    </xf>
    <xf numFmtId="275" fontId="49" fillId="0" borderId="0" xfId="399" applyNumberFormat="1" applyFont="1" applyFill="1" applyBorder="1" applyAlignment="1">
      <alignment horizontal="left"/>
    </xf>
    <xf numFmtId="276" fontId="49" fillId="0" borderId="0" xfId="399" applyNumberFormat="1" applyFont="1" applyFill="1" applyBorder="1" applyAlignment="1">
      <alignment horizontal="center"/>
    </xf>
    <xf numFmtId="174" fontId="49" fillId="14" borderId="0" xfId="93" applyNumberFormat="1" applyFont="1" applyFill="1" applyBorder="1"/>
    <xf numFmtId="277" fontId="49" fillId="14" borderId="0" xfId="93" applyNumberFormat="1" applyFont="1" applyFill="1" applyBorder="1"/>
    <xf numFmtId="173" fontId="49" fillId="14" borderId="0" xfId="59" applyNumberFormat="1" applyFont="1" applyFill="1" applyBorder="1"/>
    <xf numFmtId="177" fontId="49" fillId="14" borderId="0" xfId="59" applyNumberFormat="1" applyFont="1" applyFill="1" applyBorder="1"/>
    <xf numFmtId="276" fontId="49" fillId="0" borderId="0" xfId="0" applyNumberFormat="1" applyFont="1" applyFill="1" applyAlignment="1">
      <alignment horizontal="center"/>
    </xf>
    <xf numFmtId="0" fontId="49" fillId="0" borderId="0" xfId="399" applyFont="1" applyFill="1" applyBorder="1" applyAlignment="1">
      <alignment horizontal="left"/>
    </xf>
    <xf numFmtId="172" fontId="123" fillId="0" borderId="0" xfId="0" applyFont="1" applyFill="1"/>
    <xf numFmtId="174" fontId="49" fillId="0" borderId="7" xfId="93" applyNumberFormat="1" applyFont="1" applyFill="1" applyBorder="1" applyAlignment="1" applyProtection="1">
      <protection locked="0"/>
    </xf>
    <xf numFmtId="277" fontId="49" fillId="0" borderId="7" xfId="93" applyNumberFormat="1" applyFont="1" applyFill="1" applyBorder="1" applyAlignment="1" applyProtection="1">
      <protection locked="0"/>
    </xf>
    <xf numFmtId="10" fontId="49" fillId="0" borderId="0" xfId="266" applyNumberFormat="1" applyFont="1" applyFill="1"/>
    <xf numFmtId="174" fontId="49" fillId="0" borderId="0" xfId="0" applyNumberFormat="1" applyFont="1" applyFill="1"/>
    <xf numFmtId="173" fontId="53" fillId="14" borderId="8" xfId="59" applyNumberFormat="1" applyFont="1" applyFill="1" applyBorder="1"/>
    <xf numFmtId="172" fontId="53" fillId="14" borderId="0" xfId="209" applyFont="1" applyFill="1" applyBorder="1" applyAlignment="1"/>
    <xf numFmtId="0" fontId="53" fillId="0" borderId="0" xfId="211" applyNumberFormat="1" applyFont="1" applyFill="1" applyAlignment="1">
      <alignment horizontal="left" indent="2"/>
    </xf>
    <xf numFmtId="174" fontId="53" fillId="0" borderId="0" xfId="93" applyNumberFormat="1" applyFont="1" applyFill="1" applyBorder="1" applyAlignment="1"/>
    <xf numFmtId="173" fontId="53" fillId="0" borderId="10" xfId="59" applyNumberFormat="1" applyFont="1" applyFill="1" applyBorder="1" applyAlignment="1"/>
    <xf numFmtId="0" fontId="49" fillId="0" borderId="0" xfId="184" applyFont="1" applyFill="1" applyAlignment="1">
      <alignment horizontal="center"/>
    </xf>
    <xf numFmtId="172" fontId="124" fillId="0" borderId="0" xfId="0" applyFont="1" applyFill="1"/>
    <xf numFmtId="0" fontId="49" fillId="0" borderId="0" xfId="184" applyFont="1" applyFill="1" applyAlignment="1"/>
    <xf numFmtId="172" fontId="49" fillId="0" borderId="0" xfId="0" applyFont="1" applyFill="1" applyAlignment="1">
      <alignment horizontal="left"/>
    </xf>
    <xf numFmtId="173" fontId="49" fillId="0" borderId="0" xfId="59" applyNumberFormat="1" applyFont="1" applyFill="1" applyBorder="1" applyAlignment="1">
      <alignment wrapText="1"/>
    </xf>
    <xf numFmtId="0" fontId="49" fillId="0" borderId="0" xfId="184" applyFont="1" applyFill="1" applyAlignment="1">
      <alignment horizontal="left" vertical="center" wrapText="1"/>
    </xf>
    <xf numFmtId="0" fontId="49" fillId="0" borderId="0" xfId="184" applyFont="1" applyFill="1" applyAlignment="1">
      <alignment horizontal="left" wrapText="1"/>
    </xf>
    <xf numFmtId="172" fontId="49" fillId="0" borderId="0" xfId="0" applyFont="1" applyFill="1" applyAlignment="1">
      <alignment horizontal="left" vertical="center"/>
    </xf>
    <xf numFmtId="172" fontId="49" fillId="0" borderId="0" xfId="0" applyFont="1" applyFill="1" applyAlignment="1">
      <alignment horizontal="left" vertical="center" wrapText="1"/>
    </xf>
    <xf numFmtId="173" fontId="49" fillId="0" borderId="0" xfId="59" applyNumberFormat="1" applyFont="1" applyFill="1" applyAlignment="1">
      <alignment vertical="center" wrapText="1"/>
    </xf>
    <xf numFmtId="172" fontId="49" fillId="0" borderId="0" xfId="0" applyFont="1" applyFill="1" applyAlignment="1">
      <alignment horizontal="left" wrapText="1"/>
    </xf>
    <xf numFmtId="172" fontId="127" fillId="0" borderId="0" xfId="0" applyFont="1" applyFill="1" applyAlignment="1">
      <alignment wrapText="1"/>
    </xf>
    <xf numFmtId="172" fontId="125" fillId="0" borderId="0" xfId="0" applyFont="1" applyFill="1" applyAlignment="1"/>
    <xf numFmtId="0" fontId="49" fillId="0" borderId="0" xfId="184" applyFont="1" applyFill="1" applyAlignment="1">
      <alignment vertical="center" wrapText="1"/>
    </xf>
    <xf numFmtId="172" fontId="49" fillId="0" borderId="0" xfId="0" applyFont="1" applyFill="1" applyAlignment="1">
      <alignment wrapText="1"/>
    </xf>
    <xf numFmtId="172" fontId="49" fillId="0" borderId="0" xfId="0" applyFont="1" applyFill="1" applyAlignment="1">
      <alignment vertical="center" wrapText="1"/>
    </xf>
    <xf numFmtId="172" fontId="49" fillId="0" borderId="0" xfId="0" applyFont="1" applyFill="1" applyAlignment="1">
      <alignment horizontal="center" vertical="center"/>
    </xf>
    <xf numFmtId="173" fontId="49" fillId="0" borderId="0" xfId="0" applyNumberFormat="1" applyFont="1" applyFill="1"/>
    <xf numFmtId="9" fontId="49" fillId="0" borderId="0" xfId="184" applyNumberFormat="1" applyFont="1" applyFill="1"/>
    <xf numFmtId="173" fontId="49" fillId="0" borderId="0" xfId="184" applyNumberFormat="1" applyFont="1" applyFill="1"/>
    <xf numFmtId="0" fontId="49" fillId="0" borderId="0" xfId="184" applyFont="1" applyFill="1" applyAlignment="1">
      <alignment horizontal="center" wrapText="1"/>
    </xf>
    <xf numFmtId="10" fontId="49" fillId="0" borderId="0" xfId="184" applyNumberFormat="1" applyFont="1" applyFill="1"/>
    <xf numFmtId="174" fontId="49" fillId="0" borderId="0" xfId="93" applyNumberFormat="1" applyFont="1" applyFill="1" applyAlignment="1"/>
    <xf numFmtId="174" fontId="49" fillId="0" borderId="0" xfId="93" applyNumberFormat="1" applyFont="1" applyFill="1"/>
    <xf numFmtId="173" fontId="49" fillId="0" borderId="0" xfId="59" applyNumberFormat="1" applyFont="1" applyFill="1" applyAlignment="1">
      <alignment wrapText="1"/>
    </xf>
    <xf numFmtId="173" fontId="49" fillId="0" borderId="0" xfId="397" applyNumberFormat="1" applyFont="1" applyFill="1" applyAlignment="1">
      <alignment wrapText="1"/>
    </xf>
    <xf numFmtId="0" fontId="49" fillId="0" borderId="9" xfId="184" applyFont="1" applyFill="1" applyBorder="1"/>
    <xf numFmtId="0" fontId="49" fillId="0" borderId="9" xfId="184" applyFont="1" applyFill="1" applyBorder="1" applyAlignment="1">
      <alignment horizontal="center" wrapText="1"/>
    </xf>
    <xf numFmtId="0" fontId="49" fillId="0" borderId="9" xfId="184" applyFont="1" applyFill="1" applyBorder="1" applyAlignment="1">
      <alignment horizontal="center"/>
    </xf>
    <xf numFmtId="174" fontId="49" fillId="0" borderId="9" xfId="93" applyNumberFormat="1" applyFont="1" applyFill="1" applyBorder="1" applyAlignment="1"/>
    <xf numFmtId="174" fontId="49" fillId="0" borderId="9" xfId="93" applyNumberFormat="1" applyFont="1" applyFill="1" applyBorder="1"/>
    <xf numFmtId="174" fontId="49" fillId="0" borderId="9" xfId="184" applyNumberFormat="1" applyFont="1" applyFill="1" applyBorder="1"/>
    <xf numFmtId="173" fontId="49" fillId="0" borderId="9" xfId="59" applyNumberFormat="1" applyFont="1" applyFill="1" applyBorder="1" applyAlignment="1"/>
    <xf numFmtId="173" fontId="49" fillId="0" borderId="9" xfId="184" applyNumberFormat="1" applyFont="1" applyFill="1" applyBorder="1"/>
    <xf numFmtId="173" fontId="49" fillId="0" borderId="9" xfId="59" applyNumberFormat="1" applyFont="1" applyFill="1" applyBorder="1"/>
    <xf numFmtId="0" fontId="49" fillId="0" borderId="9" xfId="184" applyFont="1" applyFill="1" applyBorder="1" applyAlignment="1">
      <alignment horizontal="left" indent="2"/>
    </xf>
    <xf numFmtId="0" fontId="49" fillId="0" borderId="9" xfId="184" applyFont="1" applyFill="1" applyBorder="1" applyAlignment="1">
      <alignment horizontal="right"/>
    </xf>
    <xf numFmtId="10" fontId="49" fillId="0" borderId="9" xfId="184" applyNumberFormat="1" applyFont="1" applyFill="1" applyBorder="1"/>
    <xf numFmtId="173" fontId="104" fillId="14" borderId="0" xfId="59" applyNumberFormat="1" applyFont="1" applyFill="1"/>
    <xf numFmtId="173" fontId="104" fillId="14" borderId="0" xfId="59" applyNumberFormat="1" applyFont="1" applyFill="1" applyBorder="1"/>
    <xf numFmtId="10" fontId="53" fillId="14" borderId="0" xfId="266" applyNumberFormat="1" applyFont="1" applyFill="1" applyAlignment="1" applyProtection="1">
      <alignment vertical="top"/>
      <protection locked="0"/>
    </xf>
    <xf numFmtId="172" fontId="60" fillId="0" borderId="3" xfId="201" applyFont="1" applyFill="1" applyBorder="1" applyAlignment="1"/>
    <xf numFmtId="173" fontId="53" fillId="0" borderId="0" xfId="211" applyNumberFormat="1" applyFont="1" applyFill="1"/>
    <xf numFmtId="0" fontId="43" fillId="0" borderId="0" xfId="390" applyNumberFormat="1" applyFont="1" applyFill="1" applyAlignment="1" applyProtection="1">
      <alignment horizontal="right" wrapText="1"/>
      <protection locked="0"/>
    </xf>
    <xf numFmtId="0" fontId="107" fillId="0" borderId="0" xfId="389" applyFont="1" applyFill="1" applyBorder="1" applyAlignment="1">
      <alignment horizontal="right" wrapText="1"/>
    </xf>
    <xf numFmtId="0" fontId="107" fillId="0" borderId="0" xfId="389" applyFont="1" applyFill="1" applyBorder="1" applyAlignment="1">
      <alignment wrapText="1"/>
    </xf>
    <xf numFmtId="10" fontId="107" fillId="0" borderId="0" xfId="391" applyNumberFormat="1" applyFont="1" applyFill="1" applyBorder="1" applyAlignment="1">
      <alignment wrapText="1"/>
    </xf>
    <xf numFmtId="173" fontId="107" fillId="0" borderId="0" xfId="392" applyNumberFormat="1" applyFont="1" applyFill="1" applyBorder="1" applyAlignment="1">
      <alignment wrapText="1"/>
    </xf>
    <xf numFmtId="0" fontId="107" fillId="0" borderId="0" xfId="389" applyFont="1" applyFill="1" applyAlignment="1">
      <alignment wrapText="1"/>
    </xf>
    <xf numFmtId="0" fontId="38" fillId="0" borderId="0" xfId="389" applyFont="1" applyFill="1" applyAlignment="1">
      <alignment horizontal="center" wrapText="1"/>
    </xf>
    <xf numFmtId="0" fontId="108" fillId="0" borderId="0" xfId="389" applyFont="1" applyFill="1" applyAlignment="1">
      <alignment horizontal="center" wrapText="1"/>
    </xf>
    <xf numFmtId="37" fontId="107" fillId="0" borderId="0" xfId="389" applyNumberFormat="1" applyFont="1" applyFill="1" applyBorder="1" applyAlignment="1">
      <alignment horizontal="center" wrapText="1"/>
    </xf>
    <xf numFmtId="0" fontId="107" fillId="0" borderId="20" xfId="389" applyFont="1" applyFill="1" applyBorder="1" applyAlignment="1">
      <alignment horizontal="center" wrapText="1"/>
    </xf>
    <xf numFmtId="0" fontId="107" fillId="0" borderId="12" xfId="389" applyFont="1" applyFill="1" applyBorder="1" applyAlignment="1">
      <alignment wrapText="1"/>
    </xf>
    <xf numFmtId="0" fontId="107" fillId="0" borderId="12" xfId="389" applyFont="1" applyFill="1" applyBorder="1" applyAlignment="1">
      <alignment horizontal="center" wrapText="1"/>
    </xf>
    <xf numFmtId="0" fontId="107" fillId="0" borderId="21" xfId="389" applyFont="1" applyFill="1" applyBorder="1" applyAlignment="1">
      <alignment horizontal="center" wrapText="1"/>
    </xf>
    <xf numFmtId="0" fontId="107" fillId="0" borderId="0" xfId="389" applyFont="1" applyFill="1" applyAlignment="1">
      <alignment horizontal="right" wrapText="1"/>
    </xf>
    <xf numFmtId="0" fontId="108" fillId="0" borderId="0" xfId="389" applyFont="1" applyFill="1" applyBorder="1" applyAlignment="1">
      <alignment wrapText="1"/>
    </xf>
    <xf numFmtId="0" fontId="38" fillId="0" borderId="0" xfId="389" applyFont="1" applyFill="1" applyBorder="1" applyAlignment="1">
      <alignment horizontal="center" wrapText="1"/>
    </xf>
    <xf numFmtId="0" fontId="107" fillId="0" borderId="9" xfId="389" applyFont="1" applyFill="1" applyBorder="1" applyAlignment="1">
      <alignment wrapText="1"/>
    </xf>
    <xf numFmtId="37" fontId="107" fillId="0" borderId="0" xfId="389" applyNumberFormat="1" applyFont="1" applyFill="1" applyBorder="1" applyAlignment="1">
      <alignment wrapText="1"/>
    </xf>
    <xf numFmtId="0" fontId="107" fillId="0" borderId="0" xfId="389" applyFont="1" applyFill="1" applyBorder="1" applyAlignment="1">
      <alignment horizontal="center" wrapText="1"/>
    </xf>
    <xf numFmtId="0" fontId="107" fillId="0" borderId="26" xfId="389" applyFont="1" applyFill="1" applyBorder="1" applyAlignment="1">
      <alignment horizontal="center" wrapText="1"/>
    </xf>
    <xf numFmtId="0" fontId="107" fillId="0" borderId="27" xfId="389" applyFont="1" applyFill="1" applyBorder="1" applyAlignment="1">
      <alignment horizontal="center" wrapText="1"/>
    </xf>
    <xf numFmtId="0" fontId="107" fillId="0" borderId="28" xfId="389" applyFont="1" applyFill="1" applyBorder="1" applyAlignment="1">
      <alignment horizontal="center" wrapText="1"/>
    </xf>
    <xf numFmtId="0" fontId="13" fillId="0" borderId="9" xfId="389" applyFont="1" applyFill="1" applyBorder="1" applyAlignment="1">
      <alignment wrapText="1"/>
    </xf>
    <xf numFmtId="0" fontId="13" fillId="0" borderId="0" xfId="389" applyFont="1" applyFill="1" applyBorder="1" applyAlignment="1">
      <alignment wrapText="1"/>
    </xf>
    <xf numFmtId="173" fontId="104" fillId="0" borderId="0" xfId="59" applyNumberFormat="1" applyFont="1" applyFill="1"/>
    <xf numFmtId="0" fontId="128" fillId="0" borderId="0" xfId="389" applyFont="1" applyFill="1"/>
    <xf numFmtId="0" fontId="129" fillId="0" borderId="0" xfId="389" applyFont="1" applyFill="1" applyAlignment="1"/>
    <xf numFmtId="173" fontId="128" fillId="0" borderId="0" xfId="392" applyNumberFormat="1" applyFont="1" applyFill="1"/>
    <xf numFmtId="41" fontId="128" fillId="0" borderId="0" xfId="389" applyNumberFormat="1" applyFont="1" applyFill="1"/>
    <xf numFmtId="9" fontId="49" fillId="0" borderId="9" xfId="184" applyNumberFormat="1" applyFont="1" applyFill="1" applyBorder="1"/>
    <xf numFmtId="0" fontId="60" fillId="0" borderId="0" xfId="188" applyFont="1" applyFill="1"/>
    <xf numFmtId="173" fontId="49" fillId="0" borderId="1" xfId="59" applyNumberFormat="1" applyFont="1" applyFill="1" applyBorder="1" applyAlignment="1"/>
    <xf numFmtId="174" fontId="49" fillId="0" borderId="0" xfId="93" applyNumberFormat="1" applyFont="1" applyFill="1" applyBorder="1"/>
    <xf numFmtId="173" fontId="49" fillId="0" borderId="0" xfId="59" applyNumberFormat="1" applyFont="1" applyFill="1" applyBorder="1"/>
    <xf numFmtId="0" fontId="107" fillId="0" borderId="9" xfId="448" applyFont="1" applyFill="1" applyBorder="1" applyAlignment="1">
      <alignment wrapText="1"/>
    </xf>
    <xf numFmtId="41" fontId="107" fillId="0" borderId="9" xfId="448" applyNumberFormat="1" applyFont="1" applyFill="1" applyBorder="1"/>
    <xf numFmtId="10" fontId="53" fillId="0" borderId="0" xfId="266" applyNumberFormat="1" applyFont="1" applyFill="1" applyAlignment="1"/>
    <xf numFmtId="41" fontId="107" fillId="0" borderId="9" xfId="440" applyNumberFormat="1" applyFont="1" applyFill="1" applyBorder="1"/>
    <xf numFmtId="0" fontId="111" fillId="0" borderId="9" xfId="440" applyFont="1" applyFill="1" applyBorder="1"/>
    <xf numFmtId="41" fontId="107" fillId="0" borderId="9" xfId="442" applyNumberFormat="1" applyFont="1" applyFill="1" applyBorder="1" applyAlignment="1">
      <alignment horizontal="right"/>
    </xf>
    <xf numFmtId="0" fontId="53" fillId="0" borderId="0" xfId="206" applyNumberFormat="1" applyFont="1" applyFill="1" applyAlignment="1" applyProtection="1">
      <alignment horizontal="center"/>
      <protection locked="0"/>
    </xf>
    <xf numFmtId="43" fontId="53" fillId="0" borderId="14" xfId="59" applyFont="1" applyFill="1" applyBorder="1"/>
    <xf numFmtId="0" fontId="60" fillId="0" borderId="0" xfId="212" quotePrefix="1" applyFont="1" applyFill="1" applyAlignment="1">
      <alignment horizontal="left"/>
    </xf>
    <xf numFmtId="172" fontId="49" fillId="0" borderId="0" xfId="0" applyFont="1" applyFill="1" applyAlignment="1"/>
    <xf numFmtId="173" fontId="49" fillId="0" borderId="0" xfId="59" applyNumberFormat="1" applyFont="1" applyFill="1" applyAlignment="1"/>
    <xf numFmtId="172" fontId="49" fillId="0" borderId="0" xfId="201" applyFont="1" applyFill="1" applyBorder="1" applyAlignment="1">
      <alignment horizontal="center" vertical="top"/>
    </xf>
    <xf numFmtId="172" fontId="49" fillId="0" borderId="0" xfId="201" applyFont="1" applyFill="1" applyBorder="1" applyAlignment="1">
      <alignment vertical="top"/>
    </xf>
    <xf numFmtId="172" fontId="49" fillId="0" borderId="0" xfId="0" applyFont="1" applyFill="1" applyAlignment="1">
      <alignment horizontal="center" wrapText="1"/>
    </xf>
    <xf numFmtId="172" fontId="49" fillId="0" borderId="0" xfId="0" applyFont="1" applyFill="1"/>
    <xf numFmtId="172" fontId="49" fillId="0" borderId="0" xfId="0" applyFont="1" applyFill="1" applyAlignment="1">
      <alignment horizontal="left" wrapText="1"/>
    </xf>
    <xf numFmtId="37" fontId="107" fillId="0" borderId="9" xfId="440" applyNumberFormat="1" applyFont="1" applyFill="1" applyBorder="1" applyAlignment="1">
      <alignment wrapText="1"/>
    </xf>
    <xf numFmtId="172" fontId="49" fillId="0" borderId="0" xfId="0" applyFont="1" applyFill="1" applyAlignment="1"/>
    <xf numFmtId="173" fontId="49" fillId="0" borderId="0" xfId="59" applyNumberFormat="1" applyFont="1" applyFill="1" applyAlignment="1"/>
    <xf numFmtId="9" fontId="49" fillId="0" borderId="0" xfId="266" applyFont="1" applyFill="1" applyAlignment="1"/>
    <xf numFmtId="10" fontId="49" fillId="0" borderId="0" xfId="266" applyNumberFormat="1" applyFont="1" applyFill="1" applyAlignment="1"/>
    <xf numFmtId="172" fontId="49" fillId="0" borderId="0" xfId="0" applyFont="1" applyFill="1" applyAlignment="1">
      <alignment horizontal="center"/>
    </xf>
    <xf numFmtId="0" fontId="105" fillId="0" borderId="0" xfId="389" applyFont="1" applyFill="1" applyAlignment="1">
      <alignment horizontal="center"/>
    </xf>
    <xf numFmtId="172" fontId="49" fillId="0" borderId="0" xfId="0" applyFont="1" applyFill="1" applyAlignment="1">
      <alignment horizontal="center"/>
    </xf>
    <xf numFmtId="0" fontId="53" fillId="17" borderId="0" xfId="201" applyNumberFormat="1" applyFont="1" applyFill="1" applyAlignment="1">
      <alignment horizontal="right"/>
    </xf>
    <xf numFmtId="173" fontId="0" fillId="0" borderId="0" xfId="59" applyNumberFormat="1" applyFont="1" applyFill="1" applyAlignment="1"/>
    <xf numFmtId="173" fontId="43" fillId="0" borderId="0" xfId="59" applyNumberFormat="1" applyFont="1" applyFill="1" applyAlignment="1" applyProtection="1">
      <alignment horizontal="center"/>
      <protection locked="0"/>
    </xf>
    <xf numFmtId="49" fontId="43" fillId="0" borderId="0" xfId="390" applyNumberFormat="1" applyFont="1" applyFill="1" applyAlignment="1">
      <alignment horizontal="center"/>
    </xf>
    <xf numFmtId="173" fontId="13" fillId="0" borderId="0" xfId="59" applyNumberFormat="1" applyFont="1" applyFill="1" applyAlignment="1">
      <alignment horizontal="left"/>
    </xf>
    <xf numFmtId="0" fontId="123" fillId="0" borderId="0" xfId="59" applyNumberFormat="1" applyFont="1" applyFill="1" applyAlignment="1">
      <alignment horizontal="center"/>
    </xf>
    <xf numFmtId="0" fontId="49" fillId="0" borderId="0" xfId="59" applyNumberFormat="1" applyFont="1" applyFill="1" applyAlignment="1">
      <alignment horizontal="center"/>
    </xf>
    <xf numFmtId="0" fontId="49" fillId="0" borderId="0" xfId="59" applyNumberFormat="1" applyFont="1" applyFill="1" applyAlignment="1">
      <alignment horizontal="center" vertical="top"/>
    </xf>
    <xf numFmtId="172" fontId="49" fillId="0" borderId="0" xfId="201" applyFont="1" applyFill="1" applyBorder="1" applyAlignment="1">
      <alignment horizontal="left"/>
    </xf>
    <xf numFmtId="172" fontId="0" fillId="0" borderId="0" xfId="0"/>
    <xf numFmtId="172" fontId="130" fillId="0" borderId="0" xfId="0" applyFont="1"/>
    <xf numFmtId="172" fontId="132" fillId="0" borderId="0" xfId="0" applyFont="1" applyAlignment="1">
      <alignment horizontal="right"/>
    </xf>
    <xf numFmtId="3" fontId="0" fillId="0" borderId="0" xfId="0" applyNumberFormat="1"/>
    <xf numFmtId="170" fontId="131" fillId="0" borderId="0" xfId="266" applyNumberFormat="1" applyFont="1" applyFill="1" applyBorder="1"/>
    <xf numFmtId="41" fontId="0" fillId="0" borderId="0" xfId="0" applyNumberFormat="1"/>
    <xf numFmtId="41" fontId="0" fillId="0" borderId="0" xfId="0" applyNumberFormat="1" applyBorder="1"/>
    <xf numFmtId="172" fontId="133" fillId="0" borderId="0" xfId="0" applyFont="1"/>
    <xf numFmtId="172" fontId="0" fillId="0" borderId="0" xfId="0" applyAlignment="1">
      <alignment vertical="top"/>
    </xf>
    <xf numFmtId="43" fontId="53" fillId="0" borderId="0" xfId="59" applyNumberFormat="1" applyFont="1" applyFill="1"/>
    <xf numFmtId="172" fontId="135" fillId="0" borderId="0" xfId="0" applyFont="1"/>
    <xf numFmtId="0" fontId="135" fillId="0" borderId="0" xfId="398" applyFont="1"/>
    <xf numFmtId="173" fontId="135" fillId="0" borderId="0" xfId="59" applyNumberFormat="1" applyFont="1"/>
    <xf numFmtId="173" fontId="135" fillId="0" borderId="0" xfId="59" applyNumberFormat="1" applyFont="1" applyAlignment="1"/>
    <xf numFmtId="172" fontId="135" fillId="0" borderId="0" xfId="0" applyFont="1" applyAlignment="1">
      <alignment horizontal="center"/>
    </xf>
    <xf numFmtId="173" fontId="135" fillId="0" borderId="0" xfId="59" applyNumberFormat="1" applyFont="1" applyAlignment="1">
      <alignment horizontal="center"/>
    </xf>
    <xf numFmtId="0" fontId="135" fillId="0" borderId="0" xfId="398" applyFont="1" applyAlignment="1">
      <alignment horizontal="center"/>
    </xf>
    <xf numFmtId="43" fontId="135" fillId="0" borderId="0" xfId="59" applyFont="1" applyAlignment="1">
      <alignment horizontal="center"/>
    </xf>
    <xf numFmtId="10" fontId="135" fillId="0" borderId="0" xfId="266" applyNumberFormat="1" applyFont="1" applyAlignment="1">
      <alignment horizontal="center"/>
    </xf>
    <xf numFmtId="0" fontId="135" fillId="0" borderId="1" xfId="398" applyFont="1" applyBorder="1" applyAlignment="1">
      <alignment horizontal="center"/>
    </xf>
    <xf numFmtId="43" fontId="135" fillId="0" borderId="1" xfId="59" applyFont="1" applyBorder="1" applyAlignment="1">
      <alignment horizontal="center"/>
    </xf>
    <xf numFmtId="10" fontId="135" fillId="0" borderId="1" xfId="266" applyNumberFormat="1" applyFont="1" applyBorder="1" applyAlignment="1">
      <alignment horizontal="center"/>
    </xf>
    <xf numFmtId="173" fontId="135" fillId="0" borderId="1" xfId="59" applyNumberFormat="1" applyFont="1" applyBorder="1" applyAlignment="1">
      <alignment horizontal="center"/>
    </xf>
    <xf numFmtId="0" fontId="136" fillId="0" borderId="0" xfId="398" applyFont="1" applyAlignment="1">
      <alignment horizontal="center" vertical="center"/>
    </xf>
    <xf numFmtId="0" fontId="137" fillId="0" borderId="0" xfId="398" applyFont="1" applyAlignment="1">
      <alignment horizontal="center" vertical="center"/>
    </xf>
    <xf numFmtId="43" fontId="137" fillId="0" borderId="0" xfId="59" applyFont="1" applyAlignment="1">
      <alignment horizontal="center" vertical="center"/>
    </xf>
    <xf numFmtId="10" fontId="137" fillId="0" borderId="0" xfId="266" applyNumberFormat="1" applyFont="1" applyAlignment="1">
      <alignment horizontal="center" vertical="center"/>
    </xf>
    <xf numFmtId="173" fontId="137" fillId="0" borderId="0" xfId="59" applyNumberFormat="1" applyFont="1" applyAlignment="1">
      <alignment horizontal="center" vertical="center"/>
    </xf>
    <xf numFmtId="0" fontId="134" fillId="0" borderId="0" xfId="398" applyFont="1" applyAlignment="1">
      <alignment horizontal="center" vertical="center"/>
    </xf>
    <xf numFmtId="0" fontId="135" fillId="0" borderId="0" xfId="398" applyFont="1" applyAlignment="1">
      <alignment horizontal="center" vertical="center"/>
    </xf>
    <xf numFmtId="43" fontId="135" fillId="0" borderId="0" xfId="59" applyFont="1" applyAlignment="1">
      <alignment horizontal="center" vertical="center"/>
    </xf>
    <xf numFmtId="10" fontId="135" fillId="0" borderId="0" xfId="266" applyNumberFormat="1" applyFont="1" applyAlignment="1">
      <alignment horizontal="center" vertical="center"/>
    </xf>
    <xf numFmtId="173" fontId="135" fillId="0" borderId="0" xfId="59" applyNumberFormat="1" applyFont="1" applyAlignment="1">
      <alignment horizontal="center" vertical="center"/>
    </xf>
    <xf numFmtId="0" fontId="135" fillId="0" borderId="0" xfId="398" applyFont="1" applyAlignment="1">
      <alignment horizontal="left"/>
    </xf>
    <xf numFmtId="0" fontId="135" fillId="0" borderId="0" xfId="398" applyFont="1" applyFill="1" applyAlignment="1">
      <alignment horizontal="center"/>
    </xf>
    <xf numFmtId="2" fontId="135" fillId="0" borderId="0" xfId="398" applyNumberFormat="1" applyFont="1" applyFill="1" applyAlignment="1">
      <alignment horizontal="center"/>
    </xf>
    <xf numFmtId="43" fontId="135" fillId="0" borderId="0" xfId="59" applyFont="1" applyFill="1" applyBorder="1" applyAlignment="1">
      <alignment horizontal="center"/>
    </xf>
    <xf numFmtId="182" fontId="135" fillId="0" borderId="0" xfId="59" applyNumberFormat="1" applyFont="1" applyFill="1" applyAlignment="1"/>
    <xf numFmtId="173" fontId="134" fillId="0" borderId="4" xfId="59" applyNumberFormat="1" applyFont="1" applyBorder="1" applyAlignment="1">
      <alignment horizontal="center"/>
    </xf>
    <xf numFmtId="0" fontId="134" fillId="0" borderId="0" xfId="398" applyFont="1" applyAlignment="1">
      <alignment horizontal="left" vertical="center"/>
    </xf>
    <xf numFmtId="177" fontId="138" fillId="0" borderId="0" xfId="59" applyNumberFormat="1" applyFont="1" applyFill="1" applyAlignment="1">
      <alignment horizontal="center"/>
    </xf>
    <xf numFmtId="173" fontId="134" fillId="0" borderId="0" xfId="59" applyNumberFormat="1" applyFont="1" applyFill="1" applyBorder="1" applyAlignment="1">
      <alignment horizontal="center"/>
    </xf>
    <xf numFmtId="173" fontId="138" fillId="0" borderId="0" xfId="59" applyNumberFormat="1" applyFont="1" applyFill="1" applyAlignment="1">
      <alignment horizontal="center"/>
    </xf>
    <xf numFmtId="173" fontId="138" fillId="0" borderId="0" xfId="59" applyNumberFormat="1" applyFont="1" applyBorder="1" applyAlignment="1">
      <alignment horizontal="center"/>
    </xf>
    <xf numFmtId="0" fontId="135" fillId="0" borderId="0" xfId="398" applyFont="1" applyAlignment="1">
      <alignment horizontal="left" indent="1"/>
    </xf>
    <xf numFmtId="10" fontId="135" fillId="0" borderId="0" xfId="266" applyNumberFormat="1" applyFont="1" applyFill="1" applyAlignment="1">
      <alignment horizontal="center"/>
    </xf>
    <xf numFmtId="173" fontId="135" fillId="0" borderId="0" xfId="59" applyNumberFormat="1" applyFont="1" applyFill="1" applyAlignment="1"/>
    <xf numFmtId="173" fontId="135" fillId="0" borderId="0" xfId="59" applyNumberFormat="1" applyFont="1" applyFill="1" applyBorder="1" applyAlignment="1"/>
    <xf numFmtId="173" fontId="139" fillId="0" borderId="14" xfId="59" applyNumberFormat="1" applyFont="1" applyFill="1" applyBorder="1" applyAlignment="1"/>
    <xf numFmtId="172" fontId="138" fillId="0" borderId="0" xfId="0" applyFont="1"/>
    <xf numFmtId="173" fontId="135" fillId="0" borderId="0" xfId="59" applyNumberFormat="1" applyFont="1" applyFill="1" applyBorder="1"/>
    <xf numFmtId="172" fontId="135" fillId="0" borderId="0" xfId="0" applyFont="1" applyFill="1"/>
    <xf numFmtId="10" fontId="135" fillId="0" borderId="0" xfId="0" applyNumberFormat="1" applyFont="1" applyFill="1" applyAlignment="1">
      <alignment horizontal="center" vertical="center" wrapText="1"/>
    </xf>
    <xf numFmtId="173" fontId="135" fillId="0" borderId="0" xfId="59" applyNumberFormat="1" applyFont="1" applyFill="1" applyAlignment="1">
      <alignment vertical="center" wrapText="1"/>
    </xf>
    <xf numFmtId="10" fontId="135" fillId="0" borderId="0" xfId="0" applyNumberFormat="1" applyFont="1" applyFill="1" applyAlignment="1">
      <alignment vertical="center" wrapText="1"/>
    </xf>
    <xf numFmtId="173" fontId="139" fillId="0" borderId="14" xfId="59" applyNumberFormat="1" applyFont="1" applyFill="1" applyBorder="1" applyAlignment="1">
      <alignment vertical="center" wrapText="1"/>
    </xf>
    <xf numFmtId="172" fontId="98" fillId="0" borderId="0" xfId="0" applyFont="1" applyFill="1" applyAlignment="1">
      <alignment vertical="center" wrapText="1"/>
    </xf>
    <xf numFmtId="173" fontId="135" fillId="0" borderId="0" xfId="59" applyNumberFormat="1" applyFont="1" applyFill="1"/>
    <xf numFmtId="0" fontId="135" fillId="0" borderId="0" xfId="398" applyFont="1" applyFill="1" applyAlignment="1">
      <alignment horizontal="left"/>
    </xf>
    <xf numFmtId="0" fontId="135" fillId="0" borderId="0" xfId="398" applyFont="1" applyFill="1" applyAlignment="1">
      <alignment horizontal="left" indent="1"/>
    </xf>
    <xf numFmtId="0" fontId="135" fillId="0" borderId="0" xfId="398" applyFont="1" applyFill="1" applyAlignment="1">
      <alignment horizontal="right"/>
    </xf>
    <xf numFmtId="10" fontId="135" fillId="0" borderId="0" xfId="0" applyNumberFormat="1" applyFont="1" applyFill="1" applyAlignment="1">
      <alignment horizontal="center"/>
    </xf>
    <xf numFmtId="43" fontId="135" fillId="0" borderId="0" xfId="59" applyNumberFormat="1" applyFont="1"/>
    <xf numFmtId="173" fontId="135" fillId="0" borderId="0" xfId="59" applyNumberFormat="1" applyFont="1" applyFill="1" applyAlignment="1">
      <alignment horizontal="right"/>
    </xf>
    <xf numFmtId="173" fontId="135" fillId="0" borderId="0" xfId="59" applyNumberFormat="1" applyFont="1" applyFill="1" applyAlignment="1">
      <alignment horizontal="right" vertical="center" wrapText="1"/>
    </xf>
    <xf numFmtId="172" fontId="140" fillId="0" borderId="0" xfId="0" applyFont="1"/>
    <xf numFmtId="173" fontId="139" fillId="0" borderId="14" xfId="59" applyNumberFormat="1" applyFont="1" applyFill="1" applyBorder="1"/>
    <xf numFmtId="49" fontId="135" fillId="0" borderId="0" xfId="398" applyNumberFormat="1" applyFont="1" applyAlignment="1">
      <alignment horizontal="left" indent="1"/>
    </xf>
    <xf numFmtId="0" fontId="135" fillId="0" borderId="0" xfId="398" applyFont="1" applyAlignment="1">
      <alignment vertical="top"/>
    </xf>
    <xf numFmtId="172" fontId="135" fillId="0" borderId="0" xfId="0" applyFont="1" applyAlignment="1">
      <alignment vertical="top"/>
    </xf>
    <xf numFmtId="173" fontId="135" fillId="0" borderId="0" xfId="59" applyNumberFormat="1" applyFont="1" applyAlignment="1">
      <alignment vertical="top"/>
    </xf>
    <xf numFmtId="0" fontId="135" fillId="0" borderId="0" xfId="398" applyFont="1" applyFill="1" applyAlignment="1">
      <alignment vertical="top"/>
    </xf>
    <xf numFmtId="173" fontId="0" fillId="0" borderId="0" xfId="59" applyNumberFormat="1" applyFont="1"/>
    <xf numFmtId="174" fontId="53" fillId="0" borderId="3" xfId="93" applyNumberFormat="1" applyFont="1" applyFill="1" applyBorder="1"/>
    <xf numFmtId="43" fontId="87" fillId="0" borderId="0" xfId="59" applyNumberFormat="1" applyFont="1" applyFill="1" applyBorder="1" applyAlignment="1"/>
    <xf numFmtId="43" fontId="60" fillId="0" borderId="0" xfId="59" applyNumberFormat="1" applyFont="1" applyFill="1" applyBorder="1" applyAlignment="1"/>
    <xf numFmtId="173" fontId="43" fillId="0" borderId="0" xfId="59" applyNumberFormat="1" applyFont="1" applyFill="1" applyAlignment="1">
      <alignment horizontal="right"/>
    </xf>
    <xf numFmtId="173" fontId="43" fillId="0" borderId="0" xfId="59" applyNumberFormat="1" applyFont="1" applyAlignment="1">
      <alignment horizontal="right"/>
    </xf>
    <xf numFmtId="173" fontId="43" fillId="0" borderId="1" xfId="59" applyNumberFormat="1" applyFont="1" applyBorder="1" applyAlignment="1">
      <alignment horizontal="right"/>
    </xf>
    <xf numFmtId="173" fontId="43" fillId="0" borderId="0" xfId="0" applyNumberFormat="1" applyFont="1" applyAlignment="1"/>
    <xf numFmtId="173" fontId="43" fillId="0" borderId="1" xfId="59" applyNumberFormat="1" applyFont="1" applyBorder="1" applyAlignment="1"/>
    <xf numFmtId="278" fontId="53" fillId="0" borderId="0" xfId="211" applyNumberFormat="1" applyFont="1" applyFill="1" applyProtection="1">
      <protection locked="0"/>
    </xf>
    <xf numFmtId="173" fontId="53" fillId="14" borderId="0" xfId="59" applyNumberFormat="1" applyFont="1" applyFill="1" applyBorder="1" applyProtection="1">
      <protection locked="0"/>
    </xf>
    <xf numFmtId="0" fontId="121" fillId="14" borderId="0" xfId="389" applyFont="1" applyFill="1" applyAlignment="1">
      <alignment horizontal="left"/>
    </xf>
    <xf numFmtId="175" fontId="128" fillId="14" borderId="0" xfId="392" applyNumberFormat="1" applyFont="1" applyFill="1"/>
    <xf numFmtId="173" fontId="139" fillId="0" borderId="0" xfId="59" applyNumberFormat="1" applyFont="1" applyFill="1" applyBorder="1" applyAlignment="1">
      <alignment vertical="center" wrapText="1"/>
    </xf>
    <xf numFmtId="0" fontId="105" fillId="0" borderId="0" xfId="389" applyFont="1" applyFill="1" applyAlignment="1">
      <alignment horizontal="left"/>
    </xf>
    <xf numFmtId="169" fontId="49" fillId="0" borderId="0" xfId="0" applyNumberFormat="1" applyFont="1" applyFill="1" applyAlignment="1"/>
    <xf numFmtId="173" fontId="49" fillId="0" borderId="0" xfId="59" applyNumberFormat="1" applyFont="1" applyFill="1"/>
    <xf numFmtId="173" fontId="49" fillId="0" borderId="0" xfId="59" quotePrefix="1" applyNumberFormat="1" applyFont="1" applyFill="1" applyAlignment="1">
      <alignment horizontal="left"/>
    </xf>
    <xf numFmtId="172" fontId="143" fillId="0" borderId="0" xfId="0" applyFont="1" applyAlignment="1">
      <alignment vertical="center"/>
    </xf>
    <xf numFmtId="172" fontId="0" fillId="0" borderId="0" xfId="0" applyAlignment="1">
      <alignment horizontal="center"/>
    </xf>
    <xf numFmtId="49" fontId="53" fillId="0" borderId="0" xfId="0" applyNumberFormat="1" applyFont="1" applyFill="1" applyAlignment="1">
      <alignment horizontal="center" vertical="center"/>
    </xf>
    <xf numFmtId="172" fontId="135" fillId="0" borderId="0" xfId="0" applyFont="1" applyAlignment="1">
      <alignment horizontal="left" vertical="center" wrapText="1"/>
    </xf>
    <xf numFmtId="0" fontId="117" fillId="0" borderId="0" xfId="192" applyFont="1" applyFill="1"/>
    <xf numFmtId="173" fontId="53" fillId="0" borderId="0" xfId="192" applyNumberFormat="1" applyFont="1" applyFill="1"/>
    <xf numFmtId="169" fontId="53" fillId="0" borderId="0" xfId="211" applyNumberFormat="1" applyFont="1" applyFill="1" applyProtection="1"/>
    <xf numFmtId="173" fontId="53" fillId="14" borderId="0" xfId="59" applyNumberFormat="1" applyFont="1" applyFill="1" applyAlignment="1" applyProtection="1">
      <protection locked="0"/>
    </xf>
    <xf numFmtId="173" fontId="53" fillId="14" borderId="8" xfId="59" applyNumberFormat="1" applyFont="1" applyFill="1" applyBorder="1" applyAlignment="1" applyProtection="1">
      <protection locked="0"/>
    </xf>
    <xf numFmtId="10" fontId="53" fillId="14" borderId="0" xfId="266" applyNumberFormat="1" applyFont="1" applyFill="1" applyAlignment="1" applyProtection="1">
      <alignment horizontal="right"/>
      <protection locked="0"/>
    </xf>
    <xf numFmtId="174" fontId="53" fillId="14" borderId="0" xfId="93" applyNumberFormat="1" applyFont="1" applyFill="1" applyBorder="1" applyAlignment="1" applyProtection="1">
      <protection locked="0"/>
    </xf>
    <xf numFmtId="172" fontId="53" fillId="14" borderId="1" xfId="201" applyFont="1" applyFill="1" applyBorder="1" applyAlignment="1" applyProtection="1">
      <protection locked="0"/>
    </xf>
    <xf numFmtId="174" fontId="117" fillId="14" borderId="0" xfId="93" applyNumberFormat="1" applyFont="1" applyFill="1" applyBorder="1" applyAlignment="1" applyProtection="1">
      <protection locked="0"/>
    </xf>
    <xf numFmtId="173" fontId="53" fillId="14" borderId="0" xfId="59" applyNumberFormat="1" applyFont="1" applyFill="1" applyBorder="1" applyAlignment="1" applyProtection="1">
      <protection locked="0"/>
    </xf>
    <xf numFmtId="173" fontId="117" fillId="14" borderId="0" xfId="59" applyNumberFormat="1" applyFont="1" applyFill="1" applyBorder="1" applyAlignment="1" applyProtection="1">
      <protection locked="0"/>
    </xf>
    <xf numFmtId="173" fontId="53" fillId="14" borderId="1" xfId="59" applyNumberFormat="1" applyFont="1" applyFill="1" applyBorder="1" applyAlignment="1" applyProtection="1">
      <protection locked="0"/>
    </xf>
    <xf numFmtId="173" fontId="53" fillId="14" borderId="10" xfId="59" applyNumberFormat="1" applyFont="1" applyFill="1" applyBorder="1" applyAlignment="1" applyProtection="1">
      <protection locked="0"/>
    </xf>
    <xf numFmtId="173" fontId="82" fillId="14" borderId="17" xfId="59" applyNumberFormat="1" applyFont="1" applyFill="1" applyBorder="1" applyAlignment="1" applyProtection="1">
      <protection locked="0"/>
    </xf>
    <xf numFmtId="173" fontId="82" fillId="14" borderId="1" xfId="59" applyNumberFormat="1" applyFont="1" applyFill="1" applyBorder="1" applyAlignment="1" applyProtection="1">
      <protection locked="0"/>
    </xf>
    <xf numFmtId="174" fontId="53" fillId="14" borderId="10" xfId="93" applyNumberFormat="1" applyFont="1" applyFill="1" applyBorder="1" applyProtection="1">
      <protection locked="0"/>
    </xf>
    <xf numFmtId="173" fontId="53" fillId="14" borderId="19" xfId="59" applyNumberFormat="1" applyFont="1" applyFill="1" applyBorder="1" applyProtection="1">
      <protection locked="0"/>
    </xf>
    <xf numFmtId="43" fontId="53" fillId="14" borderId="10" xfId="59" applyFont="1" applyFill="1" applyBorder="1" applyProtection="1">
      <protection locked="0"/>
    </xf>
    <xf numFmtId="174" fontId="53" fillId="0" borderId="17" xfId="93" applyNumberFormat="1" applyFont="1" applyFill="1" applyBorder="1" applyProtection="1">
      <protection locked="0"/>
    </xf>
    <xf numFmtId="172" fontId="53" fillId="14" borderId="11" xfId="0" applyFont="1" applyFill="1" applyBorder="1" applyProtection="1">
      <protection locked="0"/>
    </xf>
    <xf numFmtId="43" fontId="53" fillId="14" borderId="22" xfId="59" applyFont="1" applyFill="1" applyBorder="1" applyProtection="1">
      <protection locked="0"/>
    </xf>
    <xf numFmtId="43" fontId="53" fillId="14" borderId="11" xfId="59" applyFont="1" applyFill="1" applyBorder="1" applyProtection="1">
      <protection locked="0"/>
    </xf>
    <xf numFmtId="43" fontId="53" fillId="14" borderId="22" xfId="59" applyFont="1" applyFill="1" applyBorder="1" applyAlignment="1" applyProtection="1">
      <alignment horizontal="center"/>
      <protection locked="0"/>
    </xf>
    <xf numFmtId="43" fontId="53" fillId="14" borderId="10" xfId="59" applyFont="1" applyFill="1" applyBorder="1" applyAlignment="1" applyProtection="1">
      <alignment horizontal="center"/>
      <protection locked="0"/>
    </xf>
    <xf numFmtId="43" fontId="53" fillId="14" borderId="11" xfId="59" applyFont="1" applyFill="1" applyBorder="1" applyAlignment="1" applyProtection="1">
      <protection locked="0"/>
    </xf>
    <xf numFmtId="41" fontId="53" fillId="14" borderId="0" xfId="212" applyNumberFormat="1" applyFont="1" applyFill="1" applyProtection="1">
      <protection locked="0"/>
    </xf>
    <xf numFmtId="173" fontId="53" fillId="14" borderId="0" xfId="59" applyNumberFormat="1" applyFont="1" applyFill="1" applyProtection="1">
      <protection locked="0"/>
    </xf>
    <xf numFmtId="173" fontId="53" fillId="0" borderId="14" xfId="59" applyNumberFormat="1" applyFont="1" applyFill="1" applyBorder="1" applyProtection="1"/>
    <xf numFmtId="0" fontId="53" fillId="14" borderId="0" xfId="187" applyFont="1" applyFill="1" applyBorder="1" applyAlignment="1" applyProtection="1">
      <protection locked="0"/>
    </xf>
    <xf numFmtId="173" fontId="53" fillId="14" borderId="0" xfId="59" applyNumberFormat="1" applyFont="1" applyFill="1" applyBorder="1" applyAlignment="1" applyProtection="1">
      <alignment horizontal="center"/>
      <protection locked="0"/>
    </xf>
    <xf numFmtId="43" fontId="53" fillId="14" borderId="0" xfId="59" applyNumberFormat="1" applyFont="1" applyFill="1" applyBorder="1" applyAlignment="1" applyProtection="1">
      <alignment horizontal="center"/>
      <protection locked="0"/>
    </xf>
    <xf numFmtId="43" fontId="53" fillId="14" borderId="0" xfId="59" applyNumberFormat="1" applyFont="1" applyFill="1" applyAlignment="1" applyProtection="1">
      <protection locked="0"/>
    </xf>
    <xf numFmtId="9" fontId="53" fillId="14" borderId="0" xfId="266" applyFont="1" applyFill="1" applyAlignment="1" applyProtection="1">
      <protection locked="0"/>
    </xf>
    <xf numFmtId="43" fontId="53" fillId="14" borderId="0" xfId="59" applyFont="1" applyFill="1" applyAlignment="1" applyProtection="1">
      <protection locked="0"/>
    </xf>
    <xf numFmtId="0" fontId="53" fillId="14" borderId="1" xfId="187" applyFont="1" applyFill="1" applyBorder="1" applyAlignment="1" applyProtection="1">
      <protection locked="0"/>
    </xf>
    <xf numFmtId="173" fontId="53" fillId="14" borderId="1" xfId="59" applyNumberFormat="1" applyFont="1" applyFill="1" applyBorder="1" applyProtection="1">
      <protection locked="0"/>
    </xf>
    <xf numFmtId="173" fontId="53" fillId="14" borderId="1" xfId="59" applyNumberFormat="1" applyFont="1" applyFill="1" applyBorder="1" applyAlignment="1" applyProtection="1">
      <alignment horizontal="center"/>
      <protection locked="0"/>
    </xf>
    <xf numFmtId="43" fontId="53" fillId="14" borderId="1" xfId="59" applyFont="1" applyFill="1" applyBorder="1" applyAlignment="1" applyProtection="1">
      <protection locked="0"/>
    </xf>
    <xf numFmtId="175" fontId="128" fillId="14" borderId="0" xfId="392" applyNumberFormat="1" applyFont="1" applyFill="1" applyProtection="1">
      <protection locked="0"/>
    </xf>
    <xf numFmtId="10" fontId="104" fillId="0" borderId="0" xfId="391" applyNumberFormat="1" applyFont="1" applyFill="1" applyProtection="1">
      <protection locked="0"/>
    </xf>
    <xf numFmtId="173" fontId="104" fillId="14" borderId="0" xfId="59" applyNumberFormat="1" applyFont="1" applyFill="1" applyBorder="1" applyProtection="1">
      <protection locked="0"/>
    </xf>
    <xf numFmtId="173" fontId="104" fillId="14" borderId="0" xfId="59" applyNumberFormat="1" applyFont="1" applyFill="1" applyProtection="1">
      <protection locked="0"/>
    </xf>
    <xf numFmtId="173" fontId="104" fillId="14" borderId="0" xfId="392" applyNumberFormat="1" applyFont="1" applyFill="1" applyBorder="1" applyProtection="1">
      <protection locked="0"/>
    </xf>
    <xf numFmtId="173" fontId="104" fillId="14" borderId="0" xfId="392" applyNumberFormat="1" applyFont="1" applyFill="1" applyProtection="1">
      <protection locked="0"/>
    </xf>
    <xf numFmtId="0" fontId="128" fillId="14" borderId="0" xfId="392" applyNumberFormat="1" applyFont="1" applyFill="1" applyProtection="1">
      <protection locked="0"/>
    </xf>
    <xf numFmtId="173" fontId="128" fillId="0" borderId="0" xfId="392" applyNumberFormat="1" applyFont="1" applyFill="1" applyProtection="1">
      <protection locked="0"/>
    </xf>
    <xf numFmtId="41" fontId="109" fillId="14" borderId="9" xfId="389" applyNumberFormat="1" applyFont="1" applyFill="1" applyBorder="1" applyProtection="1">
      <protection locked="0"/>
    </xf>
    <xf numFmtId="41" fontId="107" fillId="14" borderId="9" xfId="389" applyNumberFormat="1" applyFont="1" applyFill="1" applyBorder="1" applyProtection="1">
      <protection locked="0"/>
    </xf>
    <xf numFmtId="37" fontId="107" fillId="14" borderId="9" xfId="389" applyNumberFormat="1" applyFont="1" applyFill="1" applyBorder="1" applyAlignment="1" applyProtection="1">
      <protection locked="0"/>
    </xf>
    <xf numFmtId="41" fontId="107" fillId="14" borderId="9" xfId="395" applyNumberFormat="1" applyFont="1" applyFill="1" applyBorder="1" applyProtection="1">
      <protection locked="0"/>
    </xf>
    <xf numFmtId="0" fontId="107" fillId="14" borderId="9" xfId="389" applyFont="1" applyFill="1" applyBorder="1" applyAlignment="1" applyProtection="1">
      <alignment wrapText="1"/>
      <protection locked="0"/>
    </xf>
    <xf numFmtId="41" fontId="107" fillId="14" borderId="20" xfId="389" applyNumberFormat="1" applyFont="1" applyFill="1" applyBorder="1" applyProtection="1">
      <protection locked="0"/>
    </xf>
    <xf numFmtId="37" fontId="107" fillId="14" borderId="9" xfId="389" applyNumberFormat="1" applyFont="1" applyFill="1" applyBorder="1" applyAlignment="1" applyProtection="1">
      <alignment wrapText="1"/>
      <protection locked="0"/>
    </xf>
    <xf numFmtId="41" fontId="107" fillId="14" borderId="22" xfId="389" applyNumberFormat="1" applyFont="1" applyFill="1" applyBorder="1" applyProtection="1">
      <protection locked="0"/>
    </xf>
    <xf numFmtId="37" fontId="107" fillId="14" borderId="23" xfId="389" applyNumberFormat="1" applyFont="1" applyFill="1" applyBorder="1" applyAlignment="1" applyProtection="1">
      <alignment wrapText="1"/>
      <protection locked="0"/>
    </xf>
    <xf numFmtId="41" fontId="107" fillId="14" borderId="9" xfId="389" applyNumberFormat="1" applyFont="1" applyFill="1" applyBorder="1" applyAlignment="1" applyProtection="1">
      <alignment horizontal="left" vertical="top" wrapText="1"/>
      <protection locked="0"/>
    </xf>
    <xf numFmtId="41" fontId="107" fillId="14" borderId="9" xfId="389" applyNumberFormat="1" applyFont="1" applyFill="1" applyBorder="1" applyAlignment="1" applyProtection="1">
      <alignment horizontal="left"/>
      <protection locked="0"/>
    </xf>
    <xf numFmtId="37" fontId="107" fillId="14" borderId="23" xfId="389" applyNumberFormat="1" applyFont="1" applyFill="1" applyBorder="1" applyAlignment="1" applyProtection="1">
      <protection locked="0"/>
    </xf>
    <xf numFmtId="37" fontId="107" fillId="14" borderId="9" xfId="389" applyNumberFormat="1" applyFont="1" applyFill="1" applyBorder="1" applyProtection="1">
      <protection locked="0"/>
    </xf>
    <xf numFmtId="0" fontId="13" fillId="14" borderId="9" xfId="389" applyFont="1" applyFill="1" applyBorder="1" applyAlignment="1" applyProtection="1">
      <protection locked="0"/>
    </xf>
    <xf numFmtId="37" fontId="13" fillId="14" borderId="9" xfId="396" applyNumberFormat="1" applyFont="1" applyFill="1" applyBorder="1" applyProtection="1">
      <protection locked="0"/>
    </xf>
    <xf numFmtId="37" fontId="13" fillId="14" borderId="9" xfId="389" applyNumberFormat="1" applyFont="1" applyFill="1" applyBorder="1" applyAlignment="1" applyProtection="1">
      <protection locked="0"/>
    </xf>
    <xf numFmtId="0" fontId="107" fillId="14" borderId="9" xfId="389" applyFont="1" applyFill="1" applyBorder="1" applyProtection="1">
      <protection locked="0"/>
    </xf>
    <xf numFmtId="41" fontId="110" fillId="14" borderId="9" xfId="389" applyNumberFormat="1" applyFont="1" applyFill="1" applyBorder="1" applyProtection="1">
      <protection locked="0"/>
    </xf>
    <xf numFmtId="0" fontId="95" fillId="14" borderId="9" xfId="389" applyFont="1" applyFill="1" applyBorder="1" applyProtection="1">
      <protection locked="0"/>
    </xf>
    <xf numFmtId="41" fontId="13" fillId="14" borderId="9" xfId="389" applyNumberFormat="1" applyFont="1" applyFill="1" applyBorder="1" applyAlignment="1" applyProtection="1">
      <protection locked="0"/>
    </xf>
    <xf numFmtId="37" fontId="107" fillId="14" borderId="9" xfId="396" applyNumberFormat="1" applyFont="1" applyFill="1" applyBorder="1" applyProtection="1">
      <protection locked="0"/>
    </xf>
    <xf numFmtId="37" fontId="110" fillId="14" borderId="9" xfId="389" applyNumberFormat="1" applyFont="1" applyFill="1" applyBorder="1" applyProtection="1">
      <protection locked="0"/>
    </xf>
    <xf numFmtId="37" fontId="13" fillId="14" borderId="9" xfId="389" applyNumberFormat="1" applyFont="1" applyFill="1" applyBorder="1" applyProtection="1">
      <protection locked="0"/>
    </xf>
    <xf numFmtId="37" fontId="13" fillId="14" borderId="9" xfId="389" applyNumberFormat="1" applyFont="1" applyFill="1" applyBorder="1" applyAlignment="1" applyProtection="1">
      <alignment shrinkToFit="1"/>
      <protection locked="0"/>
    </xf>
    <xf numFmtId="0" fontId="107" fillId="14" borderId="0" xfId="389" applyFont="1" applyFill="1" applyProtection="1">
      <protection locked="0"/>
    </xf>
    <xf numFmtId="0" fontId="13" fillId="14" borderId="9" xfId="389" applyFont="1" applyFill="1" applyBorder="1" applyProtection="1">
      <protection locked="0"/>
    </xf>
    <xf numFmtId="41" fontId="107" fillId="14" borderId="9" xfId="392" applyNumberFormat="1" applyFont="1" applyFill="1" applyBorder="1" applyAlignment="1" applyProtection="1">
      <alignment horizontal="right"/>
      <protection locked="0"/>
    </xf>
    <xf numFmtId="41" fontId="107" fillId="14" borderId="9" xfId="440" applyNumberFormat="1" applyFont="1" applyFill="1" applyBorder="1" applyProtection="1">
      <protection locked="0"/>
    </xf>
    <xf numFmtId="37" fontId="107" fillId="14" borderId="9" xfId="440" applyNumberFormat="1" applyFont="1" applyFill="1" applyBorder="1" applyAlignment="1" applyProtection="1">
      <alignment wrapText="1"/>
      <protection locked="0"/>
    </xf>
    <xf numFmtId="0" fontId="107" fillId="14" borderId="9" xfId="440" applyFont="1" applyFill="1" applyBorder="1" applyAlignment="1" applyProtection="1">
      <alignment wrapText="1"/>
      <protection locked="0"/>
    </xf>
    <xf numFmtId="41" fontId="107" fillId="14" borderId="9" xfId="448" applyNumberFormat="1" applyFont="1" applyFill="1" applyBorder="1" applyProtection="1">
      <protection locked="0"/>
    </xf>
    <xf numFmtId="0" fontId="107" fillId="14" borderId="9" xfId="448" applyFont="1" applyFill="1" applyBorder="1" applyAlignment="1" applyProtection="1">
      <alignment wrapText="1"/>
      <protection locked="0"/>
    </xf>
    <xf numFmtId="41" fontId="107" fillId="14" borderId="9" xfId="389" applyNumberFormat="1" applyFont="1" applyFill="1" applyBorder="1" applyAlignment="1" applyProtection="1">
      <alignment wrapText="1"/>
      <protection locked="0"/>
    </xf>
    <xf numFmtId="0" fontId="13" fillId="14" borderId="9" xfId="389" applyFont="1" applyFill="1" applyBorder="1" applyAlignment="1" applyProtection="1">
      <alignment wrapText="1"/>
      <protection locked="0"/>
    </xf>
    <xf numFmtId="41" fontId="107" fillId="14" borderId="9" xfId="442" applyNumberFormat="1" applyFont="1" applyFill="1" applyBorder="1" applyAlignment="1" applyProtection="1">
      <alignment horizontal="right"/>
      <protection locked="0"/>
    </xf>
    <xf numFmtId="0" fontId="121" fillId="14" borderId="0" xfId="389" applyFont="1" applyFill="1" applyAlignment="1" applyProtection="1">
      <alignment horizontal="left"/>
      <protection locked="0"/>
    </xf>
    <xf numFmtId="173" fontId="121" fillId="14" borderId="0" xfId="389" applyNumberFormat="1" applyFont="1" applyFill="1" applyAlignment="1" applyProtection="1">
      <alignment horizontal="center"/>
      <protection locked="0"/>
    </xf>
    <xf numFmtId="173" fontId="121" fillId="14" borderId="0" xfId="59" applyNumberFormat="1" applyFont="1" applyFill="1" applyAlignment="1" applyProtection="1">
      <alignment horizontal="center"/>
      <protection locked="0"/>
    </xf>
    <xf numFmtId="172" fontId="49" fillId="14" borderId="0" xfId="0" applyFont="1" applyFill="1" applyAlignment="1" applyProtection="1">
      <protection locked="0"/>
    </xf>
    <xf numFmtId="0" fontId="121" fillId="14" borderId="0" xfId="389" applyFont="1" applyFill="1" applyAlignment="1" applyProtection="1">
      <alignment horizontal="center"/>
      <protection locked="0"/>
    </xf>
    <xf numFmtId="173" fontId="49" fillId="14" borderId="0" xfId="59" applyNumberFormat="1" applyFont="1" applyFill="1" applyAlignment="1" applyProtection="1">
      <protection locked="0"/>
    </xf>
    <xf numFmtId="0" fontId="53" fillId="0" borderId="0" xfId="212" quotePrefix="1" applyFont="1" applyFill="1" applyAlignment="1" applyProtection="1">
      <alignment horizontal="left"/>
      <protection locked="0"/>
    </xf>
    <xf numFmtId="0" fontId="53" fillId="14" borderId="0" xfId="212" quotePrefix="1" applyFont="1" applyFill="1" applyAlignment="1" applyProtection="1">
      <alignment horizontal="left"/>
      <protection locked="0"/>
    </xf>
    <xf numFmtId="172" fontId="0" fillId="14" borderId="0" xfId="0" applyFill="1" applyAlignment="1" applyProtection="1">
      <protection locked="0"/>
    </xf>
    <xf numFmtId="0" fontId="53" fillId="14" borderId="0" xfId="212" quotePrefix="1" applyFont="1" applyFill="1" applyAlignment="1" applyProtection="1">
      <alignment horizontal="center"/>
      <protection locked="0"/>
    </xf>
    <xf numFmtId="174" fontId="53" fillId="14" borderId="0" xfId="93" quotePrefix="1" applyNumberFormat="1" applyFont="1" applyFill="1" applyAlignment="1" applyProtection="1">
      <alignment horizontal="left"/>
      <protection locked="0"/>
    </xf>
    <xf numFmtId="173" fontId="53" fillId="14" borderId="0" xfId="59" quotePrefix="1" applyNumberFormat="1" applyFont="1" applyFill="1" applyAlignment="1" applyProtection="1">
      <alignment horizontal="left"/>
      <protection locked="0"/>
    </xf>
    <xf numFmtId="39" fontId="53" fillId="14" borderId="0" xfId="59" quotePrefix="1" applyNumberFormat="1" applyFont="1" applyFill="1" applyAlignment="1" applyProtection="1">
      <alignment horizontal="left"/>
      <protection locked="0"/>
    </xf>
    <xf numFmtId="173" fontId="53" fillId="14" borderId="3" xfId="93" applyNumberFormat="1" applyFont="1" applyFill="1" applyBorder="1" applyAlignment="1" applyProtection="1">
      <alignment horizontal="right"/>
      <protection locked="0"/>
    </xf>
    <xf numFmtId="174" fontId="53" fillId="14" borderId="3" xfId="93" applyNumberFormat="1" applyFont="1" applyFill="1" applyBorder="1" applyProtection="1">
      <protection locked="0"/>
    </xf>
    <xf numFmtId="173" fontId="53" fillId="14" borderId="0" xfId="59" applyNumberFormat="1" applyFont="1" applyFill="1" applyAlignment="1" applyProtection="1">
      <alignment horizontal="center"/>
      <protection locked="0"/>
    </xf>
    <xf numFmtId="173" fontId="49" fillId="14" borderId="0" xfId="59" applyNumberFormat="1" applyFont="1" applyFill="1" applyAlignment="1" applyProtection="1">
      <alignment wrapText="1"/>
      <protection locked="0"/>
    </xf>
    <xf numFmtId="173" fontId="49" fillId="14" borderId="0" xfId="59" applyNumberFormat="1" applyFont="1" applyFill="1" applyAlignment="1" applyProtection="1">
      <alignment vertical="center" wrapText="1"/>
      <protection locked="0"/>
    </xf>
    <xf numFmtId="0" fontId="49" fillId="14" borderId="0" xfId="184" applyFont="1" applyFill="1" applyAlignment="1" applyProtection="1">
      <alignment horizontal="left"/>
      <protection locked="0"/>
    </xf>
    <xf numFmtId="9" fontId="49" fillId="14" borderId="0" xfId="184" applyNumberFormat="1" applyFont="1" applyFill="1" applyProtection="1">
      <protection locked="0"/>
    </xf>
    <xf numFmtId="0" fontId="49" fillId="14" borderId="0" xfId="184" applyFont="1" applyFill="1" applyProtection="1">
      <protection locked="0"/>
    </xf>
    <xf numFmtId="174" fontId="49" fillId="14" borderId="9" xfId="93" applyNumberFormat="1" applyFont="1" applyFill="1" applyBorder="1" applyProtection="1">
      <protection locked="0"/>
    </xf>
    <xf numFmtId="173" fontId="49" fillId="14" borderId="9" xfId="59" applyNumberFormat="1" applyFont="1" applyFill="1" applyBorder="1" applyProtection="1">
      <protection locked="0"/>
    </xf>
    <xf numFmtId="173" fontId="49" fillId="14" borderId="9" xfId="59" applyNumberFormat="1" applyFont="1" applyFill="1" applyBorder="1" applyAlignment="1" applyProtection="1">
      <protection locked="0"/>
    </xf>
    <xf numFmtId="0" fontId="49" fillId="14" borderId="9" xfId="184" applyFont="1" applyFill="1" applyBorder="1" applyProtection="1">
      <protection locked="0"/>
    </xf>
    <xf numFmtId="173" fontId="49" fillId="14" borderId="9" xfId="184" applyNumberFormat="1" applyFont="1" applyFill="1" applyBorder="1" applyProtection="1">
      <protection locked="0"/>
    </xf>
    <xf numFmtId="174" fontId="49" fillId="14" borderId="0" xfId="0" applyNumberFormat="1" applyFont="1" applyFill="1" applyProtection="1">
      <protection locked="0"/>
    </xf>
    <xf numFmtId="173" fontId="49" fillId="14" borderId="0" xfId="59" applyNumberFormat="1" applyFont="1" applyFill="1" applyProtection="1">
      <protection locked="0"/>
    </xf>
    <xf numFmtId="174" fontId="49" fillId="14" borderId="0" xfId="93" applyNumberFormat="1" applyFont="1" applyFill="1" applyProtection="1">
      <protection locked="0"/>
    </xf>
    <xf numFmtId="173" fontId="49" fillId="14" borderId="0" xfId="59" applyNumberFormat="1" applyFont="1" applyFill="1" applyBorder="1" applyProtection="1">
      <protection locked="0"/>
    </xf>
    <xf numFmtId="174" fontId="49" fillId="14" borderId="0" xfId="93" applyNumberFormat="1" applyFont="1" applyFill="1" applyBorder="1" applyProtection="1">
      <protection locked="0"/>
    </xf>
    <xf numFmtId="174" fontId="49" fillId="14" borderId="0" xfId="59" applyNumberFormat="1" applyFont="1" applyFill="1" applyBorder="1" applyProtection="1">
      <protection locked="0"/>
    </xf>
    <xf numFmtId="43" fontId="101" fillId="14" borderId="0" xfId="59" applyFont="1" applyFill="1" applyProtection="1">
      <protection locked="0"/>
    </xf>
    <xf numFmtId="172" fontId="53" fillId="14" borderId="10" xfId="0" applyFont="1" applyFill="1" applyBorder="1" applyProtection="1">
      <protection locked="0"/>
    </xf>
    <xf numFmtId="172" fontId="53" fillId="14" borderId="0" xfId="0" applyFont="1" applyFill="1" applyBorder="1" applyProtection="1">
      <protection locked="0"/>
    </xf>
    <xf numFmtId="173" fontId="49" fillId="0" borderId="0" xfId="59" applyNumberFormat="1" applyFont="1" applyFill="1" applyBorder="1" applyAlignment="1" applyProtection="1">
      <protection locked="0"/>
    </xf>
    <xf numFmtId="173" fontId="49" fillId="0" borderId="1" xfId="59" applyNumberFormat="1" applyFont="1" applyFill="1" applyBorder="1" applyAlignment="1" applyProtection="1">
      <protection locked="0"/>
    </xf>
    <xf numFmtId="173" fontId="49" fillId="14" borderId="1" xfId="59" applyNumberFormat="1" applyFont="1" applyFill="1" applyBorder="1" applyAlignment="1" applyProtection="1">
      <protection locked="0"/>
    </xf>
    <xf numFmtId="43" fontId="135" fillId="14" borderId="0" xfId="59" applyFont="1" applyFill="1" applyBorder="1" applyAlignment="1" applyProtection="1">
      <alignment horizontal="center"/>
      <protection locked="0"/>
    </xf>
    <xf numFmtId="173" fontId="135" fillId="14" borderId="0" xfId="59" applyNumberFormat="1" applyFont="1" applyFill="1" applyAlignment="1" applyProtection="1">
      <protection locked="0"/>
    </xf>
    <xf numFmtId="173" fontId="135" fillId="14" borderId="0" xfId="59" applyNumberFormat="1" applyFont="1" applyFill="1" applyBorder="1" applyAlignment="1" applyProtection="1">
      <protection locked="0"/>
    </xf>
    <xf numFmtId="173" fontId="135" fillId="14" borderId="0" xfId="59" applyNumberFormat="1" applyFont="1" applyFill="1" applyProtection="1">
      <protection locked="0"/>
    </xf>
    <xf numFmtId="173" fontId="135" fillId="14" borderId="0" xfId="59" applyNumberFormat="1" applyFont="1" applyFill="1" applyBorder="1" applyProtection="1">
      <protection locked="0"/>
    </xf>
    <xf numFmtId="173" fontId="135" fillId="14" borderId="0" xfId="59" applyNumberFormat="1" applyFont="1" applyFill="1" applyAlignment="1" applyProtection="1">
      <alignment vertical="center" wrapText="1"/>
      <protection locked="0"/>
    </xf>
    <xf numFmtId="43" fontId="135" fillId="14" borderId="0" xfId="59" applyFont="1" applyFill="1" applyProtection="1">
      <protection locked="0"/>
    </xf>
    <xf numFmtId="172" fontId="53" fillId="0" borderId="0" xfId="211" applyFont="1" applyFill="1" applyAlignment="1">
      <alignment horizontal="center"/>
    </xf>
    <xf numFmtId="49" fontId="53" fillId="0" borderId="0" xfId="211" applyNumberFormat="1" applyFont="1" applyFill="1" applyAlignment="1" applyProtection="1">
      <alignment horizontal="center"/>
      <protection locked="0"/>
    </xf>
    <xf numFmtId="0" fontId="53" fillId="0" borderId="0" xfId="211" applyNumberFormat="1" applyFont="1" applyFill="1" applyAlignment="1" applyProtection="1">
      <alignment vertical="top" wrapText="1"/>
      <protection locked="0"/>
    </xf>
    <xf numFmtId="0" fontId="91" fillId="0" borderId="0" xfId="211" applyNumberFormat="1" applyFont="1" applyFill="1" applyAlignment="1" applyProtection="1">
      <alignment vertical="top" wrapText="1"/>
      <protection locked="0"/>
    </xf>
    <xf numFmtId="0" fontId="53" fillId="0" borderId="0" xfId="188" quotePrefix="1" applyNumberFormat="1" applyFont="1" applyFill="1" applyAlignment="1">
      <alignment vertical="top" wrapText="1"/>
    </xf>
    <xf numFmtId="0" fontId="53" fillId="0" borderId="0" xfId="188" applyNumberFormat="1" applyFont="1" applyFill="1" applyAlignment="1">
      <alignment vertical="top" wrapText="1"/>
    </xf>
    <xf numFmtId="172" fontId="53" fillId="0" borderId="0" xfId="0" applyFont="1" applyFill="1" applyAlignment="1">
      <alignment horizontal="left" wrapText="1"/>
    </xf>
    <xf numFmtId="0" fontId="53" fillId="0" borderId="0" xfId="206" applyFont="1" applyFill="1" applyAlignment="1">
      <alignment vertical="top" wrapText="1"/>
    </xf>
    <xf numFmtId="0" fontId="53" fillId="0" borderId="0" xfId="0" applyNumberFormat="1" applyFont="1" applyFill="1" applyBorder="1" applyAlignment="1">
      <alignment horizontal="left" vertical="top" wrapText="1"/>
    </xf>
    <xf numFmtId="172" fontId="53" fillId="0" borderId="0" xfId="0" applyFont="1" applyFill="1" applyAlignment="1">
      <alignment horizontal="left" vertical="center" wrapText="1"/>
    </xf>
    <xf numFmtId="172" fontId="53" fillId="0" borderId="0" xfId="201" applyFont="1" applyFill="1" applyBorder="1" applyAlignment="1">
      <alignment horizontal="left"/>
    </xf>
    <xf numFmtId="172" fontId="53" fillId="0" borderId="0" xfId="201" applyFont="1" applyFill="1" applyBorder="1" applyAlignment="1">
      <alignment horizontal="left" vertical="top" wrapText="1"/>
    </xf>
    <xf numFmtId="172" fontId="53" fillId="0" borderId="0" xfId="201" applyFont="1" applyFill="1" applyBorder="1" applyAlignment="1">
      <alignment horizontal="left" wrapText="1"/>
    </xf>
    <xf numFmtId="172" fontId="60" fillId="0" borderId="19" xfId="201" applyFont="1" applyFill="1" applyBorder="1" applyAlignment="1">
      <alignment horizontal="center"/>
    </xf>
    <xf numFmtId="172" fontId="60" fillId="0" borderId="17" xfId="201" applyFont="1" applyFill="1" applyBorder="1" applyAlignment="1">
      <alignment horizontal="center"/>
    </xf>
    <xf numFmtId="172" fontId="53" fillId="0" borderId="0" xfId="201" applyFont="1" applyFill="1" applyAlignment="1">
      <alignment horizontal="left" vertical="top" wrapText="1"/>
    </xf>
    <xf numFmtId="172" fontId="53" fillId="0" borderId="19" xfId="0" applyFont="1" applyFill="1" applyBorder="1" applyAlignment="1">
      <alignment horizontal="center"/>
    </xf>
    <xf numFmtId="172" fontId="53" fillId="0" borderId="20" xfId="0" applyFont="1" applyFill="1" applyBorder="1" applyAlignment="1">
      <alignment horizontal="center"/>
    </xf>
    <xf numFmtId="172" fontId="53" fillId="0" borderId="17" xfId="0" applyFont="1" applyFill="1" applyBorder="1" applyAlignment="1">
      <alignment horizontal="center"/>
    </xf>
    <xf numFmtId="172" fontId="53" fillId="0" borderId="21" xfId="0" applyFont="1" applyFill="1" applyBorder="1" applyAlignment="1">
      <alignment horizontal="center"/>
    </xf>
    <xf numFmtId="172" fontId="53" fillId="0" borderId="0" xfId="0" applyFont="1" applyFill="1" applyAlignment="1">
      <alignment horizontal="left" vertical="top" wrapText="1"/>
    </xf>
    <xf numFmtId="172" fontId="60" fillId="0" borderId="22" xfId="201" applyFont="1" applyFill="1" applyBorder="1" applyAlignment="1">
      <alignment horizontal="center" wrapText="1"/>
    </xf>
    <xf numFmtId="172" fontId="60" fillId="0" borderId="15" xfId="201" applyFont="1" applyFill="1" applyBorder="1" applyAlignment="1">
      <alignment horizontal="center" wrapText="1"/>
    </xf>
    <xf numFmtId="172" fontId="60" fillId="15" borderId="16" xfId="0" applyFont="1" applyFill="1" applyBorder="1" applyAlignment="1">
      <alignment horizontal="center"/>
    </xf>
    <xf numFmtId="172" fontId="60" fillId="15" borderId="7" xfId="0" applyFont="1" applyFill="1" applyBorder="1" applyAlignment="1">
      <alignment horizontal="center"/>
    </xf>
    <xf numFmtId="172" fontId="60" fillId="15" borderId="23" xfId="0" applyFont="1" applyFill="1" applyBorder="1" applyAlignment="1">
      <alignment horizontal="center"/>
    </xf>
    <xf numFmtId="0" fontId="60" fillId="15" borderId="16" xfId="212" applyFont="1" applyFill="1" applyBorder="1" applyAlignment="1">
      <alignment horizontal="center"/>
    </xf>
    <xf numFmtId="0" fontId="60" fillId="15" borderId="7" xfId="212" applyFont="1" applyFill="1" applyBorder="1" applyAlignment="1">
      <alignment horizontal="center"/>
    </xf>
    <xf numFmtId="0" fontId="60" fillId="15" borderId="23" xfId="212" applyFont="1" applyFill="1" applyBorder="1" applyAlignment="1">
      <alignment horizontal="center"/>
    </xf>
    <xf numFmtId="172" fontId="60" fillId="0" borderId="0" xfId="0" applyFont="1" applyFill="1" applyAlignment="1">
      <alignment horizontal="center"/>
    </xf>
    <xf numFmtId="172" fontId="53" fillId="0" borderId="2" xfId="0" applyFont="1" applyFill="1" applyBorder="1" applyAlignment="1">
      <alignment horizontal="center"/>
    </xf>
    <xf numFmtId="0" fontId="53" fillId="0" borderId="0" xfId="188" applyNumberFormat="1" applyFont="1" applyFill="1" applyAlignment="1">
      <alignment horizontal="left" vertical="top" wrapText="1"/>
    </xf>
    <xf numFmtId="0" fontId="82" fillId="0" borderId="0" xfId="188" applyNumberFormat="1" applyFont="1" applyFill="1" applyAlignment="1">
      <alignment horizontal="left" vertical="top" wrapText="1"/>
    </xf>
    <xf numFmtId="0" fontId="105" fillId="0" borderId="0" xfId="389" applyFont="1" applyFill="1" applyAlignment="1">
      <alignment horizontal="center"/>
    </xf>
    <xf numFmtId="49" fontId="141" fillId="0" borderId="0" xfId="389" applyNumberFormat="1" applyFont="1" applyFill="1" applyBorder="1" applyAlignment="1">
      <alignment horizontal="center"/>
    </xf>
    <xf numFmtId="0" fontId="141" fillId="0" borderId="0" xfId="389" applyFont="1" applyFill="1" applyBorder="1" applyAlignment="1">
      <alignment horizontal="center"/>
    </xf>
    <xf numFmtId="49" fontId="107" fillId="0" borderId="0" xfId="389" applyNumberFormat="1" applyFont="1" applyFill="1" applyBorder="1" applyAlignment="1">
      <alignment horizontal="center"/>
    </xf>
    <xf numFmtId="0" fontId="107" fillId="0" borderId="0" xfId="389" applyFont="1" applyFill="1" applyBorder="1" applyAlignment="1">
      <alignment horizontal="center"/>
    </xf>
    <xf numFmtId="0" fontId="123" fillId="0" borderId="0" xfId="184" applyFont="1" applyFill="1" applyAlignment="1">
      <alignment horizontal="center"/>
    </xf>
    <xf numFmtId="172" fontId="123" fillId="0" borderId="0" xfId="0" applyFont="1" applyFill="1" applyAlignment="1">
      <alignment horizontal="center"/>
    </xf>
    <xf numFmtId="0" fontId="120" fillId="0" borderId="0" xfId="398" applyFont="1" applyFill="1" applyAlignment="1">
      <alignment horizontal="center"/>
    </xf>
    <xf numFmtId="0" fontId="12" fillId="0" borderId="0" xfId="184" applyFont="1" applyFill="1" applyAlignment="1">
      <alignment horizontal="center"/>
    </xf>
    <xf numFmtId="172" fontId="18" fillId="0" borderId="0" xfId="0" applyFont="1" applyFill="1" applyAlignment="1">
      <alignment horizontal="center"/>
    </xf>
    <xf numFmtId="172" fontId="126" fillId="0" borderId="0" xfId="0" applyFont="1" applyFill="1" applyAlignment="1">
      <alignment horizontal="center"/>
    </xf>
    <xf numFmtId="172" fontId="49" fillId="0" borderId="0" xfId="0" applyFont="1" applyFill="1" applyAlignment="1">
      <alignment horizontal="center"/>
    </xf>
    <xf numFmtId="172" fontId="53" fillId="0" borderId="0" xfId="0" applyFont="1" applyFill="1" applyBorder="1" applyAlignment="1">
      <alignment horizontal="center"/>
    </xf>
    <xf numFmtId="172" fontId="135" fillId="0" borderId="0" xfId="0" applyFont="1" applyAlignment="1">
      <alignment horizontal="left" vertical="center" wrapText="1"/>
    </xf>
    <xf numFmtId="0" fontId="134" fillId="0" borderId="0" xfId="398" applyFont="1" applyAlignment="1">
      <alignment horizontal="center"/>
    </xf>
    <xf numFmtId="0" fontId="135" fillId="0" borderId="0" xfId="398" applyFont="1" applyAlignment="1">
      <alignment horizontal="left" vertical="top" wrapText="1"/>
    </xf>
    <xf numFmtId="49" fontId="135" fillId="0" borderId="0" xfId="398" applyNumberFormat="1" applyFont="1" applyAlignment="1">
      <alignment horizontal="left" vertical="top" wrapText="1"/>
    </xf>
    <xf numFmtId="173" fontId="134" fillId="0" borderId="30" xfId="59" applyNumberFormat="1" applyFont="1" applyFill="1" applyBorder="1" applyAlignment="1">
      <alignment horizontal="center"/>
    </xf>
    <xf numFmtId="173" fontId="134" fillId="0" borderId="6" xfId="59" applyNumberFormat="1" applyFont="1" applyFill="1" applyBorder="1" applyAlignment="1">
      <alignment horizontal="center"/>
    </xf>
    <xf numFmtId="173" fontId="134" fillId="0" borderId="31" xfId="59" applyNumberFormat="1" applyFont="1" applyFill="1" applyBorder="1" applyAlignment="1">
      <alignment horizontal="center"/>
    </xf>
    <xf numFmtId="172" fontId="135" fillId="0" borderId="0" xfId="0" applyFont="1" applyAlignment="1">
      <alignment horizontal="left" vertical="top" wrapText="1"/>
    </xf>
  </cellXfs>
  <cellStyles count="540">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Basic" xfId="8" xr:uid="{00000000-0005-0000-0000-000007000000}"/>
    <cellStyle name="black" xfId="9" xr:uid="{00000000-0005-0000-0000-000008000000}"/>
    <cellStyle name="blu" xfId="10" xr:uid="{00000000-0005-0000-0000-000009000000}"/>
    <cellStyle name="bot" xfId="11" xr:uid="{00000000-0005-0000-0000-00000A000000}"/>
    <cellStyle name="Bullet" xfId="12" xr:uid="{00000000-0005-0000-0000-00000B000000}"/>
    <cellStyle name="Bullet [0]" xfId="13" xr:uid="{00000000-0005-0000-0000-00000C000000}"/>
    <cellStyle name="Bullet [2]" xfId="14" xr:uid="{00000000-0005-0000-0000-00000D000000}"/>
    <cellStyle name="Bullet [4]" xfId="15" xr:uid="{00000000-0005-0000-0000-00000E000000}"/>
    <cellStyle name="c" xfId="16" xr:uid="{00000000-0005-0000-0000-00000F000000}"/>
    <cellStyle name="c," xfId="17" xr:uid="{00000000-0005-0000-0000-000010000000}"/>
    <cellStyle name="c_HardInc " xfId="18" xr:uid="{00000000-0005-0000-0000-000011000000}"/>
    <cellStyle name="c_HardInc _ITC Great Plains Formula 1-12-09a" xfId="19" xr:uid="{00000000-0005-0000-0000-000012000000}"/>
    <cellStyle name="C00A" xfId="20" xr:uid="{00000000-0005-0000-0000-000013000000}"/>
    <cellStyle name="C00B" xfId="21" xr:uid="{00000000-0005-0000-0000-000014000000}"/>
    <cellStyle name="C00L" xfId="22" xr:uid="{00000000-0005-0000-0000-000015000000}"/>
    <cellStyle name="C01A" xfId="23" xr:uid="{00000000-0005-0000-0000-000016000000}"/>
    <cellStyle name="C01B" xfId="24" xr:uid="{00000000-0005-0000-0000-000017000000}"/>
    <cellStyle name="C01H" xfId="25" xr:uid="{00000000-0005-0000-0000-000018000000}"/>
    <cellStyle name="C01L" xfId="26" xr:uid="{00000000-0005-0000-0000-000019000000}"/>
    <cellStyle name="C02A" xfId="27" xr:uid="{00000000-0005-0000-0000-00001A000000}"/>
    <cellStyle name="C02B" xfId="28" xr:uid="{00000000-0005-0000-0000-00001B000000}"/>
    <cellStyle name="C02H" xfId="29" xr:uid="{00000000-0005-0000-0000-00001C000000}"/>
    <cellStyle name="C02L" xfId="30" xr:uid="{00000000-0005-0000-0000-00001D000000}"/>
    <cellStyle name="C03A" xfId="31" xr:uid="{00000000-0005-0000-0000-00001E000000}"/>
    <cellStyle name="C03B" xfId="32" xr:uid="{00000000-0005-0000-0000-00001F000000}"/>
    <cellStyle name="C03H" xfId="33" xr:uid="{00000000-0005-0000-0000-000020000000}"/>
    <cellStyle name="C03L" xfId="34" xr:uid="{00000000-0005-0000-0000-000021000000}"/>
    <cellStyle name="C04A" xfId="35" xr:uid="{00000000-0005-0000-0000-000022000000}"/>
    <cellStyle name="C04B" xfId="36" xr:uid="{00000000-0005-0000-0000-000023000000}"/>
    <cellStyle name="C04H" xfId="37" xr:uid="{00000000-0005-0000-0000-000024000000}"/>
    <cellStyle name="C04L" xfId="38" xr:uid="{00000000-0005-0000-0000-000025000000}"/>
    <cellStyle name="C05A" xfId="39" xr:uid="{00000000-0005-0000-0000-000026000000}"/>
    <cellStyle name="C05B" xfId="40" xr:uid="{00000000-0005-0000-0000-000027000000}"/>
    <cellStyle name="C05H" xfId="41" xr:uid="{00000000-0005-0000-0000-000028000000}"/>
    <cellStyle name="C05L" xfId="42" xr:uid="{00000000-0005-0000-0000-000029000000}"/>
    <cellStyle name="C05L 2" xfId="43" xr:uid="{00000000-0005-0000-0000-00002A000000}"/>
    <cellStyle name="C06A" xfId="44" xr:uid="{00000000-0005-0000-0000-00002B000000}"/>
    <cellStyle name="C06B" xfId="45" xr:uid="{00000000-0005-0000-0000-00002C000000}"/>
    <cellStyle name="C06H" xfId="46" xr:uid="{00000000-0005-0000-0000-00002D000000}"/>
    <cellStyle name="C06L" xfId="47" xr:uid="{00000000-0005-0000-0000-00002E000000}"/>
    <cellStyle name="C07A" xfId="48" xr:uid="{00000000-0005-0000-0000-00002F000000}"/>
    <cellStyle name="C07B" xfId="49" xr:uid="{00000000-0005-0000-0000-000030000000}"/>
    <cellStyle name="C07H" xfId="50" xr:uid="{00000000-0005-0000-0000-000031000000}"/>
    <cellStyle name="C07L" xfId="51" xr:uid="{00000000-0005-0000-0000-000032000000}"/>
    <cellStyle name="c1" xfId="52" xr:uid="{00000000-0005-0000-0000-000033000000}"/>
    <cellStyle name="c1," xfId="53" xr:uid="{00000000-0005-0000-0000-000034000000}"/>
    <cellStyle name="c2" xfId="54" xr:uid="{00000000-0005-0000-0000-000035000000}"/>
    <cellStyle name="c2," xfId="55" xr:uid="{00000000-0005-0000-0000-000036000000}"/>
    <cellStyle name="c3" xfId="56" xr:uid="{00000000-0005-0000-0000-000037000000}"/>
    <cellStyle name="cas" xfId="57" xr:uid="{00000000-0005-0000-0000-000038000000}"/>
    <cellStyle name="Centered Heading" xfId="58" xr:uid="{00000000-0005-0000-0000-000039000000}"/>
    <cellStyle name="Comma" xfId="59" builtinId="3"/>
    <cellStyle name="Comma  - Style1" xfId="60" xr:uid="{00000000-0005-0000-0000-00003B000000}"/>
    <cellStyle name="Comma  - Style2" xfId="61" xr:uid="{00000000-0005-0000-0000-00003C000000}"/>
    <cellStyle name="Comma  - Style3" xfId="62" xr:uid="{00000000-0005-0000-0000-00003D000000}"/>
    <cellStyle name="Comma  - Style4" xfId="63" xr:uid="{00000000-0005-0000-0000-00003E000000}"/>
    <cellStyle name="Comma  - Style5" xfId="64" xr:uid="{00000000-0005-0000-0000-00003F000000}"/>
    <cellStyle name="Comma  - Style6" xfId="65" xr:uid="{00000000-0005-0000-0000-000040000000}"/>
    <cellStyle name="Comma  - Style7" xfId="66" xr:uid="{00000000-0005-0000-0000-000041000000}"/>
    <cellStyle name="Comma  - Style8" xfId="67" xr:uid="{00000000-0005-0000-0000-000042000000}"/>
    <cellStyle name="Comma [0] 2" xfId="68" xr:uid="{00000000-0005-0000-0000-000043000000}"/>
    <cellStyle name="Comma [0] 3 2" xfId="395" xr:uid="{00000000-0005-0000-0000-000044000000}"/>
    <cellStyle name="Comma [0] 3 2 2" xfId="445" xr:uid="{00000000-0005-0000-0000-000045000000}"/>
    <cellStyle name="Comma [0] 3 2 2 2" xfId="533" xr:uid="{00000000-0005-0000-0000-000046000000}"/>
    <cellStyle name="Comma [0] 3 2 3" xfId="489" xr:uid="{00000000-0005-0000-0000-000047000000}"/>
    <cellStyle name="Comma [1]" xfId="69" xr:uid="{00000000-0005-0000-0000-000048000000}"/>
    <cellStyle name="Comma [2]" xfId="70" xr:uid="{00000000-0005-0000-0000-000049000000}"/>
    <cellStyle name="Comma [3]" xfId="71" xr:uid="{00000000-0005-0000-0000-00004A000000}"/>
    <cellStyle name="Comma 0.0" xfId="72" xr:uid="{00000000-0005-0000-0000-00004B000000}"/>
    <cellStyle name="Comma 0.00" xfId="73" xr:uid="{00000000-0005-0000-0000-00004C000000}"/>
    <cellStyle name="Comma 0.000" xfId="74" xr:uid="{00000000-0005-0000-0000-00004D000000}"/>
    <cellStyle name="Comma 0.0000" xfId="75" xr:uid="{00000000-0005-0000-0000-00004E000000}"/>
    <cellStyle name="Comma 10" xfId="76" xr:uid="{00000000-0005-0000-0000-00004F000000}"/>
    <cellStyle name="Comma 11" xfId="77" xr:uid="{00000000-0005-0000-0000-000050000000}"/>
    <cellStyle name="Comma 12" xfId="381" xr:uid="{00000000-0005-0000-0000-000051000000}"/>
    <cellStyle name="Comma 12 2" xfId="435" xr:uid="{00000000-0005-0000-0000-000052000000}"/>
    <cellStyle name="Comma 12 2 2" xfId="523" xr:uid="{00000000-0005-0000-0000-000053000000}"/>
    <cellStyle name="Comma 12 3" xfId="392" xr:uid="{00000000-0005-0000-0000-000054000000}"/>
    <cellStyle name="Comma 12 3 2" xfId="403" xr:uid="{00000000-0005-0000-0000-000055000000}"/>
    <cellStyle name="Comma 12 3 3" xfId="442" xr:uid="{00000000-0005-0000-0000-000056000000}"/>
    <cellStyle name="Comma 12 3 3 2" xfId="530" xr:uid="{00000000-0005-0000-0000-000057000000}"/>
    <cellStyle name="Comma 12 3 4" xfId="486" xr:uid="{00000000-0005-0000-0000-000058000000}"/>
    <cellStyle name="Comma 12 4" xfId="479" xr:uid="{00000000-0005-0000-0000-000059000000}"/>
    <cellStyle name="Comma 13" xfId="397" xr:uid="{00000000-0005-0000-0000-00005A000000}"/>
    <cellStyle name="Comma 13 2" xfId="394" xr:uid="{00000000-0005-0000-0000-00005B000000}"/>
    <cellStyle name="Comma 13 2 2" xfId="405" xr:uid="{00000000-0005-0000-0000-00005C000000}"/>
    <cellStyle name="Comma 13 2 3" xfId="444" xr:uid="{00000000-0005-0000-0000-00005D000000}"/>
    <cellStyle name="Comma 13 2 3 2" xfId="532" xr:uid="{00000000-0005-0000-0000-00005E000000}"/>
    <cellStyle name="Comma 13 2 4" xfId="488" xr:uid="{00000000-0005-0000-0000-00005F000000}"/>
    <cellStyle name="Comma 2" xfId="78" xr:uid="{00000000-0005-0000-0000-000060000000}"/>
    <cellStyle name="Comma 2 2" xfId="79" xr:uid="{00000000-0005-0000-0000-000061000000}"/>
    <cellStyle name="Comma 3" xfId="80" xr:uid="{00000000-0005-0000-0000-000062000000}"/>
    <cellStyle name="Comma 3 2" xfId="81" xr:uid="{00000000-0005-0000-0000-000063000000}"/>
    <cellStyle name="Comma 4" xfId="82" xr:uid="{00000000-0005-0000-0000-000064000000}"/>
    <cellStyle name="Comma 5" xfId="83" xr:uid="{00000000-0005-0000-0000-000065000000}"/>
    <cellStyle name="Comma 6" xfId="84" xr:uid="{00000000-0005-0000-0000-000066000000}"/>
    <cellStyle name="Comma 6 2" xfId="385" xr:uid="{00000000-0005-0000-0000-000067000000}"/>
    <cellStyle name="Comma 6 2 2" xfId="438" xr:uid="{00000000-0005-0000-0000-000068000000}"/>
    <cellStyle name="Comma 6 2 2 2" xfId="526" xr:uid="{00000000-0005-0000-0000-000069000000}"/>
    <cellStyle name="Comma 6 2 3" xfId="482" xr:uid="{00000000-0005-0000-0000-00006A000000}"/>
    <cellStyle name="Comma 7" xfId="85" xr:uid="{00000000-0005-0000-0000-00006B000000}"/>
    <cellStyle name="Comma 8" xfId="86" xr:uid="{00000000-0005-0000-0000-00006C000000}"/>
    <cellStyle name="Comma 8 2" xfId="87" xr:uid="{00000000-0005-0000-0000-00006D000000}"/>
    <cellStyle name="Comma 8 2 2" xfId="365" xr:uid="{00000000-0005-0000-0000-00006E000000}"/>
    <cellStyle name="Comma 9" xfId="88" xr:uid="{00000000-0005-0000-0000-00006F000000}"/>
    <cellStyle name="Comma 9 2" xfId="366" xr:uid="{00000000-0005-0000-0000-000070000000}"/>
    <cellStyle name="Comma Input" xfId="89" xr:uid="{00000000-0005-0000-0000-000071000000}"/>
    <cellStyle name="Comma0" xfId="90" xr:uid="{00000000-0005-0000-0000-000072000000}"/>
    <cellStyle name="Company Name" xfId="91" xr:uid="{00000000-0005-0000-0000-000073000000}"/>
    <cellStyle name="Config Data" xfId="92" xr:uid="{00000000-0005-0000-0000-000074000000}"/>
    <cellStyle name="Currency" xfId="93" builtinId="4"/>
    <cellStyle name="Currency [1]" xfId="94" xr:uid="{00000000-0005-0000-0000-000076000000}"/>
    <cellStyle name="Currency [2]" xfId="95" xr:uid="{00000000-0005-0000-0000-000077000000}"/>
    <cellStyle name="Currency [3]" xfId="96" xr:uid="{00000000-0005-0000-0000-000078000000}"/>
    <cellStyle name="Currency 0.0" xfId="97" xr:uid="{00000000-0005-0000-0000-000079000000}"/>
    <cellStyle name="Currency 0.00" xfId="98" xr:uid="{00000000-0005-0000-0000-00007A000000}"/>
    <cellStyle name="Currency 0.000" xfId="99" xr:uid="{00000000-0005-0000-0000-00007B000000}"/>
    <cellStyle name="Currency 0.0000" xfId="100" xr:uid="{00000000-0005-0000-0000-00007C000000}"/>
    <cellStyle name="Currency 2" xfId="101" xr:uid="{00000000-0005-0000-0000-00007D000000}"/>
    <cellStyle name="Currency 2 2" xfId="102" xr:uid="{00000000-0005-0000-0000-00007E000000}"/>
    <cellStyle name="Currency 3" xfId="103" xr:uid="{00000000-0005-0000-0000-00007F000000}"/>
    <cellStyle name="Currency 3 2" xfId="104" xr:uid="{00000000-0005-0000-0000-000080000000}"/>
    <cellStyle name="Currency 4" xfId="105" xr:uid="{00000000-0005-0000-0000-000081000000}"/>
    <cellStyle name="Currency Input" xfId="106" xr:uid="{00000000-0005-0000-0000-000082000000}"/>
    <cellStyle name="Currency0" xfId="107" xr:uid="{00000000-0005-0000-0000-000083000000}"/>
    <cellStyle name="d" xfId="108" xr:uid="{00000000-0005-0000-0000-000084000000}"/>
    <cellStyle name="d," xfId="109" xr:uid="{00000000-0005-0000-0000-000085000000}"/>
    <cellStyle name="d1" xfId="110" xr:uid="{00000000-0005-0000-0000-000086000000}"/>
    <cellStyle name="d1," xfId="111" xr:uid="{00000000-0005-0000-0000-000087000000}"/>
    <cellStyle name="d2" xfId="112" xr:uid="{00000000-0005-0000-0000-000088000000}"/>
    <cellStyle name="d2," xfId="113" xr:uid="{00000000-0005-0000-0000-000089000000}"/>
    <cellStyle name="d3" xfId="114" xr:uid="{00000000-0005-0000-0000-00008A000000}"/>
    <cellStyle name="Dash" xfId="115" xr:uid="{00000000-0005-0000-0000-00008B000000}"/>
    <cellStyle name="Date" xfId="116" xr:uid="{00000000-0005-0000-0000-00008C000000}"/>
    <cellStyle name="Date [Abbreviated]" xfId="117" xr:uid="{00000000-0005-0000-0000-00008D000000}"/>
    <cellStyle name="Date [Long Europe]" xfId="118" xr:uid="{00000000-0005-0000-0000-00008E000000}"/>
    <cellStyle name="Date [Long U.S.]" xfId="119" xr:uid="{00000000-0005-0000-0000-00008F000000}"/>
    <cellStyle name="Date [Short Europe]" xfId="120" xr:uid="{00000000-0005-0000-0000-000090000000}"/>
    <cellStyle name="Date [Short U.S.]" xfId="121" xr:uid="{00000000-0005-0000-0000-000091000000}"/>
    <cellStyle name="Date_ITCM 2010 Template" xfId="122" xr:uid="{00000000-0005-0000-0000-000092000000}"/>
    <cellStyle name="Define$0" xfId="123" xr:uid="{00000000-0005-0000-0000-000093000000}"/>
    <cellStyle name="Define$1" xfId="124" xr:uid="{00000000-0005-0000-0000-000094000000}"/>
    <cellStyle name="Define$2" xfId="125" xr:uid="{00000000-0005-0000-0000-000095000000}"/>
    <cellStyle name="Define0" xfId="126" xr:uid="{00000000-0005-0000-0000-000096000000}"/>
    <cellStyle name="Define1" xfId="127" xr:uid="{00000000-0005-0000-0000-000097000000}"/>
    <cellStyle name="Define1x" xfId="128" xr:uid="{00000000-0005-0000-0000-000098000000}"/>
    <cellStyle name="Define2" xfId="129" xr:uid="{00000000-0005-0000-0000-000099000000}"/>
    <cellStyle name="Define2x" xfId="130" xr:uid="{00000000-0005-0000-0000-00009A000000}"/>
    <cellStyle name="Dollar" xfId="131" xr:uid="{00000000-0005-0000-0000-00009B000000}"/>
    <cellStyle name="e" xfId="132" xr:uid="{00000000-0005-0000-0000-00009C000000}"/>
    <cellStyle name="e1" xfId="133" xr:uid="{00000000-0005-0000-0000-00009D000000}"/>
    <cellStyle name="e2" xfId="134" xr:uid="{00000000-0005-0000-0000-00009E000000}"/>
    <cellStyle name="Euro" xfId="135" xr:uid="{00000000-0005-0000-0000-00009F000000}"/>
    <cellStyle name="Fixed" xfId="136" xr:uid="{00000000-0005-0000-0000-0000A0000000}"/>
    <cellStyle name="FOOTER - Style1" xfId="137" xr:uid="{00000000-0005-0000-0000-0000A1000000}"/>
    <cellStyle name="g" xfId="138" xr:uid="{00000000-0005-0000-0000-0000A2000000}"/>
    <cellStyle name="general" xfId="139" xr:uid="{00000000-0005-0000-0000-0000A3000000}"/>
    <cellStyle name="General [C]" xfId="140" xr:uid="{00000000-0005-0000-0000-0000A4000000}"/>
    <cellStyle name="General [R]" xfId="141" xr:uid="{00000000-0005-0000-0000-0000A5000000}"/>
    <cellStyle name="Green" xfId="142" xr:uid="{00000000-0005-0000-0000-0000A6000000}"/>
    <cellStyle name="grey" xfId="143" xr:uid="{00000000-0005-0000-0000-0000A7000000}"/>
    <cellStyle name="Header1" xfId="144" xr:uid="{00000000-0005-0000-0000-0000A8000000}"/>
    <cellStyle name="Header2" xfId="145" xr:uid="{00000000-0005-0000-0000-0000A9000000}"/>
    <cellStyle name="Heading" xfId="146" xr:uid="{00000000-0005-0000-0000-0000AA000000}"/>
    <cellStyle name="Heading 1" xfId="147" builtinId="16" customBuiltin="1"/>
    <cellStyle name="Heading 2" xfId="148" builtinId="17" customBuiltin="1"/>
    <cellStyle name="Heading 2 2" xfId="149" xr:uid="{00000000-0005-0000-0000-0000AD000000}"/>
    <cellStyle name="Heading No Underline" xfId="150" xr:uid="{00000000-0005-0000-0000-0000AE000000}"/>
    <cellStyle name="Heading With Underline" xfId="151" xr:uid="{00000000-0005-0000-0000-0000AF000000}"/>
    <cellStyle name="Heading1" xfId="152" xr:uid="{00000000-0005-0000-0000-0000B0000000}"/>
    <cellStyle name="Heading2" xfId="153" xr:uid="{00000000-0005-0000-0000-0000B1000000}"/>
    <cellStyle name="Headline" xfId="154" xr:uid="{00000000-0005-0000-0000-0000B2000000}"/>
    <cellStyle name="Highlight" xfId="155" xr:uid="{00000000-0005-0000-0000-0000B3000000}"/>
    <cellStyle name="Hyperlink 2" xfId="156" xr:uid="{00000000-0005-0000-0000-0000B4000000}"/>
    <cellStyle name="in" xfId="157" xr:uid="{00000000-0005-0000-0000-0000B5000000}"/>
    <cellStyle name="Indented [0]" xfId="158" xr:uid="{00000000-0005-0000-0000-0000B6000000}"/>
    <cellStyle name="Indented [2]" xfId="159" xr:uid="{00000000-0005-0000-0000-0000B7000000}"/>
    <cellStyle name="Indented [4]" xfId="160" xr:uid="{00000000-0005-0000-0000-0000B8000000}"/>
    <cellStyle name="Indented [6]" xfId="161" xr:uid="{00000000-0005-0000-0000-0000B9000000}"/>
    <cellStyle name="Input [yellow]" xfId="162" xr:uid="{00000000-0005-0000-0000-0000BA000000}"/>
    <cellStyle name="Input$0" xfId="163" xr:uid="{00000000-0005-0000-0000-0000BB000000}"/>
    <cellStyle name="Input$1" xfId="164" xr:uid="{00000000-0005-0000-0000-0000BC000000}"/>
    <cellStyle name="Input$2" xfId="165" xr:uid="{00000000-0005-0000-0000-0000BD000000}"/>
    <cellStyle name="Input0" xfId="166" xr:uid="{00000000-0005-0000-0000-0000BE000000}"/>
    <cellStyle name="Input1" xfId="167" xr:uid="{00000000-0005-0000-0000-0000BF000000}"/>
    <cellStyle name="Input1x" xfId="168" xr:uid="{00000000-0005-0000-0000-0000C0000000}"/>
    <cellStyle name="Input2" xfId="169" xr:uid="{00000000-0005-0000-0000-0000C1000000}"/>
    <cellStyle name="Input2x" xfId="170" xr:uid="{00000000-0005-0000-0000-0000C2000000}"/>
    <cellStyle name="lborder" xfId="171" xr:uid="{00000000-0005-0000-0000-0000C3000000}"/>
    <cellStyle name="LeftSubtitle" xfId="172" xr:uid="{00000000-0005-0000-0000-0000C4000000}"/>
    <cellStyle name="Lines" xfId="173" xr:uid="{00000000-0005-0000-0000-0000C5000000}"/>
    <cellStyle name="m" xfId="174" xr:uid="{00000000-0005-0000-0000-0000C6000000}"/>
    <cellStyle name="m1" xfId="175" xr:uid="{00000000-0005-0000-0000-0000C7000000}"/>
    <cellStyle name="m2" xfId="176" xr:uid="{00000000-0005-0000-0000-0000C8000000}"/>
    <cellStyle name="m3" xfId="177" xr:uid="{00000000-0005-0000-0000-0000C9000000}"/>
    <cellStyle name="Multiple" xfId="178" xr:uid="{00000000-0005-0000-0000-0000CA000000}"/>
    <cellStyle name="Negative" xfId="179" xr:uid="{00000000-0005-0000-0000-0000CB000000}"/>
    <cellStyle name="no dec" xfId="180" xr:uid="{00000000-0005-0000-0000-0000CC000000}"/>
    <cellStyle name="Normal" xfId="0" builtinId="0"/>
    <cellStyle name="Normal - Style1" xfId="181" xr:uid="{00000000-0005-0000-0000-0000CE000000}"/>
    <cellStyle name="Normal 10" xfId="182" xr:uid="{00000000-0005-0000-0000-0000CF000000}"/>
    <cellStyle name="Normal 10 2" xfId="367" xr:uid="{00000000-0005-0000-0000-0000D0000000}"/>
    <cellStyle name="Normal 10 2 2" xfId="421" xr:uid="{00000000-0005-0000-0000-0000D1000000}"/>
    <cellStyle name="Normal 10 2 2 2" xfId="509" xr:uid="{00000000-0005-0000-0000-0000D2000000}"/>
    <cellStyle name="Normal 10 2 3" xfId="465" xr:uid="{00000000-0005-0000-0000-0000D3000000}"/>
    <cellStyle name="Normal 10 3" xfId="390" xr:uid="{00000000-0005-0000-0000-0000D4000000}"/>
    <cellStyle name="Normal 10 4" xfId="408" xr:uid="{00000000-0005-0000-0000-0000D5000000}"/>
    <cellStyle name="Normal 10 4 2" xfId="496" xr:uid="{00000000-0005-0000-0000-0000D6000000}"/>
    <cellStyle name="Normal 10 5" xfId="452" xr:uid="{00000000-0005-0000-0000-0000D7000000}"/>
    <cellStyle name="Normal 11" xfId="183" xr:uid="{00000000-0005-0000-0000-0000D8000000}"/>
    <cellStyle name="Normal 12" xfId="380" xr:uid="{00000000-0005-0000-0000-0000D9000000}"/>
    <cellStyle name="Normal 12 2" xfId="389" xr:uid="{00000000-0005-0000-0000-0000DA000000}"/>
    <cellStyle name="Normal 12 2 2" xfId="401" xr:uid="{00000000-0005-0000-0000-0000DB000000}"/>
    <cellStyle name="Normal 12 2 2 2" xfId="448" xr:uid="{00000000-0005-0000-0000-0000DC000000}"/>
    <cellStyle name="Normal 12 2 2 2 2" xfId="536" xr:uid="{00000000-0005-0000-0000-0000DD000000}"/>
    <cellStyle name="Normal 12 2 2 3" xfId="492" xr:uid="{00000000-0005-0000-0000-0000DE000000}"/>
    <cellStyle name="Normal 12 2 3" xfId="440" xr:uid="{00000000-0005-0000-0000-0000DF000000}"/>
    <cellStyle name="Normal 12 2 3 2" xfId="528" xr:uid="{00000000-0005-0000-0000-0000E0000000}"/>
    <cellStyle name="Normal 12 2 4" xfId="484" xr:uid="{00000000-0005-0000-0000-0000E1000000}"/>
    <cellStyle name="Normal 12 3" xfId="434" xr:uid="{00000000-0005-0000-0000-0000E2000000}"/>
    <cellStyle name="Normal 12 3 2" xfId="522" xr:uid="{00000000-0005-0000-0000-0000E3000000}"/>
    <cellStyle name="Normal 12 4" xfId="478" xr:uid="{00000000-0005-0000-0000-0000E4000000}"/>
    <cellStyle name="Normal 13" xfId="388" xr:uid="{00000000-0005-0000-0000-0000E5000000}"/>
    <cellStyle name="Normal 13 2" xfId="393" xr:uid="{00000000-0005-0000-0000-0000E6000000}"/>
    <cellStyle name="Normal 13 2 2" xfId="404" xr:uid="{00000000-0005-0000-0000-0000E7000000}"/>
    <cellStyle name="Normal 13 2 2 2" xfId="449" xr:uid="{00000000-0005-0000-0000-0000E8000000}"/>
    <cellStyle name="Normal 13 2 2 2 2" xfId="537" xr:uid="{00000000-0005-0000-0000-0000E9000000}"/>
    <cellStyle name="Normal 13 2 2 3" xfId="493" xr:uid="{00000000-0005-0000-0000-0000EA000000}"/>
    <cellStyle name="Normal 13 2 3" xfId="443" xr:uid="{00000000-0005-0000-0000-0000EB000000}"/>
    <cellStyle name="Normal 13 2 3 2" xfId="531" xr:uid="{00000000-0005-0000-0000-0000EC000000}"/>
    <cellStyle name="Normal 13 2 4" xfId="487" xr:uid="{00000000-0005-0000-0000-0000ED000000}"/>
    <cellStyle name="Normal 13 3" xfId="400" xr:uid="{00000000-0005-0000-0000-0000EE000000}"/>
    <cellStyle name="Normal 13 3 2" xfId="447" xr:uid="{00000000-0005-0000-0000-0000EF000000}"/>
    <cellStyle name="Normal 13 3 2 2" xfId="535" xr:uid="{00000000-0005-0000-0000-0000F0000000}"/>
    <cellStyle name="Normal 13 3 3" xfId="491" xr:uid="{00000000-0005-0000-0000-0000F1000000}"/>
    <cellStyle name="Normal 13 4" xfId="439" xr:uid="{00000000-0005-0000-0000-0000F2000000}"/>
    <cellStyle name="Normal 13 4 2" xfId="527" xr:uid="{00000000-0005-0000-0000-0000F3000000}"/>
    <cellStyle name="Normal 13 5" xfId="483" xr:uid="{00000000-0005-0000-0000-0000F4000000}"/>
    <cellStyle name="Normal 16 2" xfId="396" xr:uid="{00000000-0005-0000-0000-0000F5000000}"/>
    <cellStyle name="Normal 16 2 2" xfId="406" xr:uid="{00000000-0005-0000-0000-0000F6000000}"/>
    <cellStyle name="Normal 16 2 2 2" xfId="450" xr:uid="{00000000-0005-0000-0000-0000F7000000}"/>
    <cellStyle name="Normal 16 2 2 2 2" xfId="538" xr:uid="{00000000-0005-0000-0000-0000F8000000}"/>
    <cellStyle name="Normal 16 2 2 3" xfId="494" xr:uid="{00000000-0005-0000-0000-0000F9000000}"/>
    <cellStyle name="Normal 16 2 3" xfId="446" xr:uid="{00000000-0005-0000-0000-0000FA000000}"/>
    <cellStyle name="Normal 16 2 3 2" xfId="534" xr:uid="{00000000-0005-0000-0000-0000FB000000}"/>
    <cellStyle name="Normal 16 2 4" xfId="490" xr:uid="{00000000-0005-0000-0000-0000FC000000}"/>
    <cellStyle name="Normal 2" xfId="184" xr:uid="{00000000-0005-0000-0000-0000FD000000}"/>
    <cellStyle name="Normal 2 2" xfId="185" xr:uid="{00000000-0005-0000-0000-0000FE000000}"/>
    <cellStyle name="Normal 3" xfId="186" xr:uid="{00000000-0005-0000-0000-0000FF000000}"/>
    <cellStyle name="Normal 3 2" xfId="187" xr:uid="{00000000-0005-0000-0000-000000010000}"/>
    <cellStyle name="Normal 3_Attach O, GG, Support -New Method 2-14-11" xfId="188" xr:uid="{00000000-0005-0000-0000-000001010000}"/>
    <cellStyle name="Normal 4" xfId="189" xr:uid="{00000000-0005-0000-0000-000002010000}"/>
    <cellStyle name="Normal 4 2" xfId="190" xr:uid="{00000000-0005-0000-0000-000003010000}"/>
    <cellStyle name="Normal 4_Attach O, GG, Support -New Method 2-14-11" xfId="191" xr:uid="{00000000-0005-0000-0000-000004010000}"/>
    <cellStyle name="Normal 5" xfId="192" xr:uid="{00000000-0005-0000-0000-000005010000}"/>
    <cellStyle name="Normal 5 2" xfId="387" xr:uid="{00000000-0005-0000-0000-000006010000}"/>
    <cellStyle name="Normal 6" xfId="193" xr:uid="{00000000-0005-0000-0000-000007010000}"/>
    <cellStyle name="Normal 6 2" xfId="194" xr:uid="{00000000-0005-0000-0000-000008010000}"/>
    <cellStyle name="Normal 6 2 2" xfId="195" xr:uid="{00000000-0005-0000-0000-000009010000}"/>
    <cellStyle name="Normal 6 2 2 2" xfId="196" xr:uid="{00000000-0005-0000-0000-00000A010000}"/>
    <cellStyle name="Normal 6 2 2 2 2" xfId="371" xr:uid="{00000000-0005-0000-0000-00000B010000}"/>
    <cellStyle name="Normal 6 2 2 2 2 2" xfId="425" xr:uid="{00000000-0005-0000-0000-00000C010000}"/>
    <cellStyle name="Normal 6 2 2 2 2 2 2" xfId="513" xr:uid="{00000000-0005-0000-0000-00000D010000}"/>
    <cellStyle name="Normal 6 2 2 2 2 3" xfId="469" xr:uid="{00000000-0005-0000-0000-00000E010000}"/>
    <cellStyle name="Normal 6 2 2 2 3" xfId="412" xr:uid="{00000000-0005-0000-0000-00000F010000}"/>
    <cellStyle name="Normal 6 2 2 2 3 2" xfId="500" xr:uid="{00000000-0005-0000-0000-000010010000}"/>
    <cellStyle name="Normal 6 2 2 2 4" xfId="456" xr:uid="{00000000-0005-0000-0000-000011010000}"/>
    <cellStyle name="Normal 6 2 2 3" xfId="370" xr:uid="{00000000-0005-0000-0000-000012010000}"/>
    <cellStyle name="Normal 6 2 2 3 2" xfId="424" xr:uid="{00000000-0005-0000-0000-000013010000}"/>
    <cellStyle name="Normal 6 2 2 3 2 2" xfId="512" xr:uid="{00000000-0005-0000-0000-000014010000}"/>
    <cellStyle name="Normal 6 2 2 3 3" xfId="468" xr:uid="{00000000-0005-0000-0000-000015010000}"/>
    <cellStyle name="Normal 6 2 2 4" xfId="411" xr:uid="{00000000-0005-0000-0000-000016010000}"/>
    <cellStyle name="Normal 6 2 2 4 2" xfId="499" xr:uid="{00000000-0005-0000-0000-000017010000}"/>
    <cellStyle name="Normal 6 2 2 5" xfId="455" xr:uid="{00000000-0005-0000-0000-000018010000}"/>
    <cellStyle name="Normal 6 2 3" xfId="197" xr:uid="{00000000-0005-0000-0000-000019010000}"/>
    <cellStyle name="Normal 6 2 3 2" xfId="372" xr:uid="{00000000-0005-0000-0000-00001A010000}"/>
    <cellStyle name="Normal 6 2 3 2 2" xfId="426" xr:uid="{00000000-0005-0000-0000-00001B010000}"/>
    <cellStyle name="Normal 6 2 3 2 2 2" xfId="514" xr:uid="{00000000-0005-0000-0000-00001C010000}"/>
    <cellStyle name="Normal 6 2 3 2 3" xfId="470" xr:uid="{00000000-0005-0000-0000-00001D010000}"/>
    <cellStyle name="Normal 6 2 3 3" xfId="413" xr:uid="{00000000-0005-0000-0000-00001E010000}"/>
    <cellStyle name="Normal 6 2 3 3 2" xfId="501" xr:uid="{00000000-0005-0000-0000-00001F010000}"/>
    <cellStyle name="Normal 6 2 3 4" xfId="457" xr:uid="{00000000-0005-0000-0000-000020010000}"/>
    <cellStyle name="Normal 6 2 4" xfId="369" xr:uid="{00000000-0005-0000-0000-000021010000}"/>
    <cellStyle name="Normal 6 2 4 2" xfId="423" xr:uid="{00000000-0005-0000-0000-000022010000}"/>
    <cellStyle name="Normal 6 2 4 2 2" xfId="511" xr:uid="{00000000-0005-0000-0000-000023010000}"/>
    <cellStyle name="Normal 6 2 4 3" xfId="467" xr:uid="{00000000-0005-0000-0000-000024010000}"/>
    <cellStyle name="Normal 6 2 5" xfId="386" xr:uid="{00000000-0005-0000-0000-000025010000}"/>
    <cellStyle name="Normal 6 2 6" xfId="410" xr:uid="{00000000-0005-0000-0000-000026010000}"/>
    <cellStyle name="Normal 6 2 6 2" xfId="498" xr:uid="{00000000-0005-0000-0000-000027010000}"/>
    <cellStyle name="Normal 6 2 7" xfId="454" xr:uid="{00000000-0005-0000-0000-000028010000}"/>
    <cellStyle name="Normal 6 3" xfId="198" xr:uid="{00000000-0005-0000-0000-000029010000}"/>
    <cellStyle name="Normal 6 3 2" xfId="199" xr:uid="{00000000-0005-0000-0000-00002A010000}"/>
    <cellStyle name="Normal 6 3 2 2" xfId="374" xr:uid="{00000000-0005-0000-0000-00002B010000}"/>
    <cellStyle name="Normal 6 3 2 2 2" xfId="428" xr:uid="{00000000-0005-0000-0000-00002C010000}"/>
    <cellStyle name="Normal 6 3 2 2 2 2" xfId="516" xr:uid="{00000000-0005-0000-0000-00002D010000}"/>
    <cellStyle name="Normal 6 3 2 2 3" xfId="472" xr:uid="{00000000-0005-0000-0000-00002E010000}"/>
    <cellStyle name="Normal 6 3 2 3" xfId="415" xr:uid="{00000000-0005-0000-0000-00002F010000}"/>
    <cellStyle name="Normal 6 3 2 3 2" xfId="503" xr:uid="{00000000-0005-0000-0000-000030010000}"/>
    <cellStyle name="Normal 6 3 2 4" xfId="459" xr:uid="{00000000-0005-0000-0000-000031010000}"/>
    <cellStyle name="Normal 6 3 3" xfId="373" xr:uid="{00000000-0005-0000-0000-000032010000}"/>
    <cellStyle name="Normal 6 3 3 2" xfId="427" xr:uid="{00000000-0005-0000-0000-000033010000}"/>
    <cellStyle name="Normal 6 3 3 2 2" xfId="515" xr:uid="{00000000-0005-0000-0000-000034010000}"/>
    <cellStyle name="Normal 6 3 3 3" xfId="471" xr:uid="{00000000-0005-0000-0000-000035010000}"/>
    <cellStyle name="Normal 6 3 4" xfId="414" xr:uid="{00000000-0005-0000-0000-000036010000}"/>
    <cellStyle name="Normal 6 3 4 2" xfId="502" xr:uid="{00000000-0005-0000-0000-000037010000}"/>
    <cellStyle name="Normal 6 3 5" xfId="458" xr:uid="{00000000-0005-0000-0000-000038010000}"/>
    <cellStyle name="Normal 6 4" xfId="200" xr:uid="{00000000-0005-0000-0000-000039010000}"/>
    <cellStyle name="Normal 6 4 2" xfId="375" xr:uid="{00000000-0005-0000-0000-00003A010000}"/>
    <cellStyle name="Normal 6 4 2 2" xfId="429" xr:uid="{00000000-0005-0000-0000-00003B010000}"/>
    <cellStyle name="Normal 6 4 2 2 2" xfId="517" xr:uid="{00000000-0005-0000-0000-00003C010000}"/>
    <cellStyle name="Normal 6 4 2 3" xfId="473" xr:uid="{00000000-0005-0000-0000-00003D010000}"/>
    <cellStyle name="Normal 6 4 3" xfId="416" xr:uid="{00000000-0005-0000-0000-00003E010000}"/>
    <cellStyle name="Normal 6 4 3 2" xfId="504" xr:uid="{00000000-0005-0000-0000-00003F010000}"/>
    <cellStyle name="Normal 6 4 4" xfId="460" xr:uid="{00000000-0005-0000-0000-000040010000}"/>
    <cellStyle name="Normal 6 5" xfId="368" xr:uid="{00000000-0005-0000-0000-000041010000}"/>
    <cellStyle name="Normal 6 5 2" xfId="422" xr:uid="{00000000-0005-0000-0000-000042010000}"/>
    <cellStyle name="Normal 6 5 2 2" xfId="510" xr:uid="{00000000-0005-0000-0000-000043010000}"/>
    <cellStyle name="Normal 6 5 3" xfId="466" xr:uid="{00000000-0005-0000-0000-000044010000}"/>
    <cellStyle name="Normal 6 6" xfId="409" xr:uid="{00000000-0005-0000-0000-000045010000}"/>
    <cellStyle name="Normal 6 6 2" xfId="497" xr:uid="{00000000-0005-0000-0000-000046010000}"/>
    <cellStyle name="Normal 6 7" xfId="453" xr:uid="{00000000-0005-0000-0000-000047010000}"/>
    <cellStyle name="Normal 7" xfId="201" xr:uid="{00000000-0005-0000-0000-000048010000}"/>
    <cellStyle name="Normal 8" xfId="202" xr:uid="{00000000-0005-0000-0000-000049010000}"/>
    <cellStyle name="Normal 8 2" xfId="203" xr:uid="{00000000-0005-0000-0000-00004A010000}"/>
    <cellStyle name="Normal 8 2 2" xfId="377" xr:uid="{00000000-0005-0000-0000-00004B010000}"/>
    <cellStyle name="Normal 8 2 2 2" xfId="431" xr:uid="{00000000-0005-0000-0000-00004C010000}"/>
    <cellStyle name="Normal 8 2 2 2 2" xfId="519" xr:uid="{00000000-0005-0000-0000-00004D010000}"/>
    <cellStyle name="Normal 8 2 2 3" xfId="475" xr:uid="{00000000-0005-0000-0000-00004E010000}"/>
    <cellStyle name="Normal 8 2 3" xfId="418" xr:uid="{00000000-0005-0000-0000-00004F010000}"/>
    <cellStyle name="Normal 8 2 3 2" xfId="506" xr:uid="{00000000-0005-0000-0000-000050010000}"/>
    <cellStyle name="Normal 8 2 4" xfId="462" xr:uid="{00000000-0005-0000-0000-000051010000}"/>
    <cellStyle name="Normal 8 3" xfId="376" xr:uid="{00000000-0005-0000-0000-000052010000}"/>
    <cellStyle name="Normal 8 3 2" xfId="430" xr:uid="{00000000-0005-0000-0000-000053010000}"/>
    <cellStyle name="Normal 8 3 2 2" xfId="518" xr:uid="{00000000-0005-0000-0000-000054010000}"/>
    <cellStyle name="Normal 8 3 3" xfId="474" xr:uid="{00000000-0005-0000-0000-000055010000}"/>
    <cellStyle name="Normal 8 4" xfId="384" xr:uid="{00000000-0005-0000-0000-000056010000}"/>
    <cellStyle name="Normal 8 4 2" xfId="437" xr:uid="{00000000-0005-0000-0000-000057010000}"/>
    <cellStyle name="Normal 8 4 2 2" xfId="525" xr:uid="{00000000-0005-0000-0000-000058010000}"/>
    <cellStyle name="Normal 8 4 3" xfId="481" xr:uid="{00000000-0005-0000-0000-000059010000}"/>
    <cellStyle name="Normal 8 5" xfId="417" xr:uid="{00000000-0005-0000-0000-00005A010000}"/>
    <cellStyle name="Normal 8 5 2" xfId="505" xr:uid="{00000000-0005-0000-0000-00005B010000}"/>
    <cellStyle name="Normal 8 6" xfId="461" xr:uid="{00000000-0005-0000-0000-00005C010000}"/>
    <cellStyle name="Normal 9" xfId="204" xr:uid="{00000000-0005-0000-0000-00005D010000}"/>
    <cellStyle name="Normal 9 2" xfId="205" xr:uid="{00000000-0005-0000-0000-00005E010000}"/>
    <cellStyle name="Normal 9 2 2" xfId="379" xr:uid="{00000000-0005-0000-0000-00005F010000}"/>
    <cellStyle name="Normal 9 2 2 2" xfId="433" xr:uid="{00000000-0005-0000-0000-000060010000}"/>
    <cellStyle name="Normal 9 2 2 2 2" xfId="521" xr:uid="{00000000-0005-0000-0000-000061010000}"/>
    <cellStyle name="Normal 9 2 2 3" xfId="477" xr:uid="{00000000-0005-0000-0000-000062010000}"/>
    <cellStyle name="Normal 9 2 3" xfId="420" xr:uid="{00000000-0005-0000-0000-000063010000}"/>
    <cellStyle name="Normal 9 2 3 2" xfId="508" xr:uid="{00000000-0005-0000-0000-000064010000}"/>
    <cellStyle name="Normal 9 2 4" xfId="464" xr:uid="{00000000-0005-0000-0000-000065010000}"/>
    <cellStyle name="Normal 9 3" xfId="378" xr:uid="{00000000-0005-0000-0000-000066010000}"/>
    <cellStyle name="Normal 9 3 2" xfId="432" xr:uid="{00000000-0005-0000-0000-000067010000}"/>
    <cellStyle name="Normal 9 3 2 2" xfId="520" xr:uid="{00000000-0005-0000-0000-000068010000}"/>
    <cellStyle name="Normal 9 3 3" xfId="476" xr:uid="{00000000-0005-0000-0000-000069010000}"/>
    <cellStyle name="Normal 9 4" xfId="407" xr:uid="{00000000-0005-0000-0000-00006A010000}"/>
    <cellStyle name="Normal 9 4 2" xfId="451" xr:uid="{00000000-0005-0000-0000-00006B010000}"/>
    <cellStyle name="Normal 9 4 2 2" xfId="539" xr:uid="{00000000-0005-0000-0000-00006C010000}"/>
    <cellStyle name="Normal 9 4 3" xfId="495" xr:uid="{00000000-0005-0000-0000-00006D010000}"/>
    <cellStyle name="Normal 9 5" xfId="419" xr:uid="{00000000-0005-0000-0000-00006E010000}"/>
    <cellStyle name="Normal 9 5 2" xfId="507" xr:uid="{00000000-0005-0000-0000-00006F010000}"/>
    <cellStyle name="Normal 9 6" xfId="463" xr:uid="{00000000-0005-0000-0000-000070010000}"/>
    <cellStyle name="Normal_21 Exh B" xfId="206" xr:uid="{00000000-0005-0000-0000-000071010000}"/>
    <cellStyle name="Normal_A" xfId="399" xr:uid="{00000000-0005-0000-0000-000072010000}"/>
    <cellStyle name="Normal_ATC Projected 2008 Monthly Plant Balances for Attachment O 2 (2)" xfId="207" xr:uid="{00000000-0005-0000-0000-000073010000}"/>
    <cellStyle name="Normal_Attachment GG Example 8 26 09" xfId="208" xr:uid="{00000000-0005-0000-0000-000074010000}"/>
    <cellStyle name="Normal_Attachment GG Template ER11-28 11-18-10" xfId="209" xr:uid="{00000000-0005-0000-0000-000075010000}"/>
    <cellStyle name="Normal_Attachment O Support - 2004 True-up" xfId="210" xr:uid="{00000000-0005-0000-0000-000076010000}"/>
    <cellStyle name="Normal_Attachment Os for 2002 True-up" xfId="211" xr:uid="{00000000-0005-0000-0000-000077010000}"/>
    <cellStyle name="Normal_interest calc Book1" xfId="383" xr:uid="{00000000-0005-0000-0000-000078010000}"/>
    <cellStyle name="Normal_Red Line and Clean Copy 5-5-2010 populated attachment 9 and supplement (2)" xfId="398" xr:uid="{00000000-0005-0000-0000-000079010000}"/>
    <cellStyle name="Normal_Schedule O Info for Mike" xfId="212" xr:uid="{00000000-0005-0000-0000-00007A010000}"/>
    <cellStyle name="Output1_Back" xfId="213" xr:uid="{00000000-0005-0000-0000-00007B010000}"/>
    <cellStyle name="p" xfId="214" xr:uid="{00000000-0005-0000-0000-00007C010000}"/>
    <cellStyle name="p_2010 Attachment O  GG_082709" xfId="215" xr:uid="{00000000-0005-0000-0000-00007D010000}"/>
    <cellStyle name="p_2010 Attachment O Template Supporting Work Papers_ITC Midwest" xfId="216" xr:uid="{00000000-0005-0000-0000-00007E010000}"/>
    <cellStyle name="p_2010 Attachment O Template Supporting Work Papers_ITCTransmission" xfId="217" xr:uid="{00000000-0005-0000-0000-00007F010000}"/>
    <cellStyle name="p_2010 Attachment O Template Supporting Work Papers_METC" xfId="218" xr:uid="{00000000-0005-0000-0000-000080010000}"/>
    <cellStyle name="p_2Mod11" xfId="219" xr:uid="{00000000-0005-0000-0000-000081010000}"/>
    <cellStyle name="p_aavidmod11.xls Chart 1" xfId="220" xr:uid="{00000000-0005-0000-0000-000082010000}"/>
    <cellStyle name="p_aavidmod11.xls Chart 2" xfId="221" xr:uid="{00000000-0005-0000-0000-000083010000}"/>
    <cellStyle name="p_Attachment O &amp; GG" xfId="222" xr:uid="{00000000-0005-0000-0000-000084010000}"/>
    <cellStyle name="p_charts for capm" xfId="223" xr:uid="{00000000-0005-0000-0000-000085010000}"/>
    <cellStyle name="p_DCF" xfId="224" xr:uid="{00000000-0005-0000-0000-000086010000}"/>
    <cellStyle name="p_DCF_2Mod11" xfId="225" xr:uid="{00000000-0005-0000-0000-000087010000}"/>
    <cellStyle name="p_DCF_aavidmod11.xls Chart 1" xfId="226" xr:uid="{00000000-0005-0000-0000-000088010000}"/>
    <cellStyle name="p_DCF_aavidmod11.xls Chart 2" xfId="227" xr:uid="{00000000-0005-0000-0000-000089010000}"/>
    <cellStyle name="p_DCF_charts for capm" xfId="228" xr:uid="{00000000-0005-0000-0000-00008A010000}"/>
    <cellStyle name="p_DCF_DCF5" xfId="229" xr:uid="{00000000-0005-0000-0000-00008B010000}"/>
    <cellStyle name="p_DCF_Template2" xfId="230" xr:uid="{00000000-0005-0000-0000-00008C010000}"/>
    <cellStyle name="p_DCF_Template2_1" xfId="231" xr:uid="{00000000-0005-0000-0000-00008D010000}"/>
    <cellStyle name="p_DCF_VERA" xfId="232" xr:uid="{00000000-0005-0000-0000-00008E010000}"/>
    <cellStyle name="p_DCF_VERA_1" xfId="233" xr:uid="{00000000-0005-0000-0000-00008F010000}"/>
    <cellStyle name="p_DCF_VERA_1_Template2" xfId="234" xr:uid="{00000000-0005-0000-0000-000090010000}"/>
    <cellStyle name="p_DCF_VERA_aavidmod11.xls Chart 2" xfId="235" xr:uid="{00000000-0005-0000-0000-000091010000}"/>
    <cellStyle name="p_DCF_VERA_Model02" xfId="236" xr:uid="{00000000-0005-0000-0000-000092010000}"/>
    <cellStyle name="p_DCF_VERA_Template2" xfId="237" xr:uid="{00000000-0005-0000-0000-000093010000}"/>
    <cellStyle name="p_DCF_VERA_VERA" xfId="238" xr:uid="{00000000-0005-0000-0000-000094010000}"/>
    <cellStyle name="p_DCF_VERA_VERA_1" xfId="239" xr:uid="{00000000-0005-0000-0000-000095010000}"/>
    <cellStyle name="p_DCF_VERA_VERA_2" xfId="240" xr:uid="{00000000-0005-0000-0000-000096010000}"/>
    <cellStyle name="p_DCF_VERA_VERA_Template2" xfId="241" xr:uid="{00000000-0005-0000-0000-000097010000}"/>
    <cellStyle name="p_DCF5" xfId="242" xr:uid="{00000000-0005-0000-0000-000098010000}"/>
    <cellStyle name="p_ITC Great Plains Formula 1-12-09a" xfId="243" xr:uid="{00000000-0005-0000-0000-000099010000}"/>
    <cellStyle name="p_ITCM 2010 Template" xfId="244" xr:uid="{00000000-0005-0000-0000-00009A010000}"/>
    <cellStyle name="p_ITCMW 2009 Rate" xfId="245" xr:uid="{00000000-0005-0000-0000-00009B010000}"/>
    <cellStyle name="p_ITCMW 2010 Rate_083109" xfId="246" xr:uid="{00000000-0005-0000-0000-00009C010000}"/>
    <cellStyle name="p_ITCOP 2010 Rate_083109" xfId="247" xr:uid="{00000000-0005-0000-0000-00009D010000}"/>
    <cellStyle name="p_ITCT 2009 Rate" xfId="248" xr:uid="{00000000-0005-0000-0000-00009E010000}"/>
    <cellStyle name="p_ITCT New 2010 Attachment O &amp; GG_111209NL" xfId="249" xr:uid="{00000000-0005-0000-0000-00009F010000}"/>
    <cellStyle name="p_METC 2010 Rate_083109" xfId="250" xr:uid="{00000000-0005-0000-0000-0000A0010000}"/>
    <cellStyle name="p_Template2" xfId="251" xr:uid="{00000000-0005-0000-0000-0000A1010000}"/>
    <cellStyle name="p_Template2_1" xfId="252" xr:uid="{00000000-0005-0000-0000-0000A2010000}"/>
    <cellStyle name="p_VERA" xfId="253" xr:uid="{00000000-0005-0000-0000-0000A3010000}"/>
    <cellStyle name="p_VERA_1" xfId="254" xr:uid="{00000000-0005-0000-0000-0000A4010000}"/>
    <cellStyle name="p_VERA_1_Template2" xfId="255" xr:uid="{00000000-0005-0000-0000-0000A5010000}"/>
    <cellStyle name="p_VERA_aavidmod11.xls Chart 2" xfId="256" xr:uid="{00000000-0005-0000-0000-0000A6010000}"/>
    <cellStyle name="p_VERA_Model02" xfId="257" xr:uid="{00000000-0005-0000-0000-0000A7010000}"/>
    <cellStyle name="p_VERA_Template2" xfId="258" xr:uid="{00000000-0005-0000-0000-0000A8010000}"/>
    <cellStyle name="p_VERA_VERA" xfId="259" xr:uid="{00000000-0005-0000-0000-0000A9010000}"/>
    <cellStyle name="p_VERA_VERA_1" xfId="260" xr:uid="{00000000-0005-0000-0000-0000AA010000}"/>
    <cellStyle name="p_VERA_VERA_2" xfId="261" xr:uid="{00000000-0005-0000-0000-0000AB010000}"/>
    <cellStyle name="p_VERA_VERA_Template2" xfId="262" xr:uid="{00000000-0005-0000-0000-0000AC010000}"/>
    <cellStyle name="p1" xfId="263" xr:uid="{00000000-0005-0000-0000-0000AD010000}"/>
    <cellStyle name="p2" xfId="264" xr:uid="{00000000-0005-0000-0000-0000AE010000}"/>
    <cellStyle name="p3" xfId="265" xr:uid="{00000000-0005-0000-0000-0000AF010000}"/>
    <cellStyle name="Percent" xfId="266" builtinId="5"/>
    <cellStyle name="Percent %" xfId="267" xr:uid="{00000000-0005-0000-0000-0000B1010000}"/>
    <cellStyle name="Percent % Long Underline" xfId="268" xr:uid="{00000000-0005-0000-0000-0000B2010000}"/>
    <cellStyle name="Percent (0)" xfId="269" xr:uid="{00000000-0005-0000-0000-0000B3010000}"/>
    <cellStyle name="Percent [0]" xfId="270" xr:uid="{00000000-0005-0000-0000-0000B4010000}"/>
    <cellStyle name="Percent [1]" xfId="271" xr:uid="{00000000-0005-0000-0000-0000B5010000}"/>
    <cellStyle name="Percent [2]" xfId="272" xr:uid="{00000000-0005-0000-0000-0000B6010000}"/>
    <cellStyle name="Percent [3]" xfId="273" xr:uid="{00000000-0005-0000-0000-0000B7010000}"/>
    <cellStyle name="Percent 0.0%" xfId="274" xr:uid="{00000000-0005-0000-0000-0000B8010000}"/>
    <cellStyle name="Percent 0.0% Long Underline" xfId="275" xr:uid="{00000000-0005-0000-0000-0000B9010000}"/>
    <cellStyle name="Percent 0.00%" xfId="276" xr:uid="{00000000-0005-0000-0000-0000BA010000}"/>
    <cellStyle name="Percent 0.00% Long Underline" xfId="277" xr:uid="{00000000-0005-0000-0000-0000BB010000}"/>
    <cellStyle name="Percent 0.000%" xfId="278" xr:uid="{00000000-0005-0000-0000-0000BC010000}"/>
    <cellStyle name="Percent 0.000% Long Underline" xfId="279" xr:uid="{00000000-0005-0000-0000-0000BD010000}"/>
    <cellStyle name="Percent 0.0000%" xfId="280" xr:uid="{00000000-0005-0000-0000-0000BE010000}"/>
    <cellStyle name="Percent 0.0000% Long Underline" xfId="281" xr:uid="{00000000-0005-0000-0000-0000BF010000}"/>
    <cellStyle name="Percent 2" xfId="282" xr:uid="{00000000-0005-0000-0000-0000C0010000}"/>
    <cellStyle name="Percent 2 2" xfId="283" xr:uid="{00000000-0005-0000-0000-0000C1010000}"/>
    <cellStyle name="Percent 3" xfId="284" xr:uid="{00000000-0005-0000-0000-0000C2010000}"/>
    <cellStyle name="Percent 3 2" xfId="285" xr:uid="{00000000-0005-0000-0000-0000C3010000}"/>
    <cellStyle name="Percent 4" xfId="286" xr:uid="{00000000-0005-0000-0000-0000C4010000}"/>
    <cellStyle name="Percent 5" xfId="287" xr:uid="{00000000-0005-0000-0000-0000C5010000}"/>
    <cellStyle name="Percent 6" xfId="288" xr:uid="{00000000-0005-0000-0000-0000C6010000}"/>
    <cellStyle name="Percent 7" xfId="289" xr:uid="{00000000-0005-0000-0000-0000C7010000}"/>
    <cellStyle name="Percent 8" xfId="382" xr:uid="{00000000-0005-0000-0000-0000C8010000}"/>
    <cellStyle name="Percent 8 2" xfId="436" xr:uid="{00000000-0005-0000-0000-0000C9010000}"/>
    <cellStyle name="Percent 8 2 2" xfId="524" xr:uid="{00000000-0005-0000-0000-0000CA010000}"/>
    <cellStyle name="Percent 8 3" xfId="480" xr:uid="{00000000-0005-0000-0000-0000CB010000}"/>
    <cellStyle name="Percent 9 2 2" xfId="391" xr:uid="{00000000-0005-0000-0000-0000CC010000}"/>
    <cellStyle name="Percent 9 2 2 2" xfId="402" xr:uid="{00000000-0005-0000-0000-0000CD010000}"/>
    <cellStyle name="Percent 9 2 2 3" xfId="441" xr:uid="{00000000-0005-0000-0000-0000CE010000}"/>
    <cellStyle name="Percent 9 2 2 3 2" xfId="529" xr:uid="{00000000-0005-0000-0000-0000CF010000}"/>
    <cellStyle name="Percent 9 2 2 4" xfId="485" xr:uid="{00000000-0005-0000-0000-0000D0010000}"/>
    <cellStyle name="Percent Input" xfId="290" xr:uid="{00000000-0005-0000-0000-0000D1010000}"/>
    <cellStyle name="Percent0" xfId="291" xr:uid="{00000000-0005-0000-0000-0000D2010000}"/>
    <cellStyle name="Percent1" xfId="292" xr:uid="{00000000-0005-0000-0000-0000D3010000}"/>
    <cellStyle name="Percent2" xfId="293" xr:uid="{00000000-0005-0000-0000-0000D4010000}"/>
    <cellStyle name="PSChar" xfId="294" xr:uid="{00000000-0005-0000-0000-0000D5010000}"/>
    <cellStyle name="PSDate" xfId="295" xr:uid="{00000000-0005-0000-0000-0000D6010000}"/>
    <cellStyle name="PSDec" xfId="296" xr:uid="{00000000-0005-0000-0000-0000D7010000}"/>
    <cellStyle name="PSdesc" xfId="297" xr:uid="{00000000-0005-0000-0000-0000D8010000}"/>
    <cellStyle name="PSHeading" xfId="298" xr:uid="{00000000-0005-0000-0000-0000D9010000}"/>
    <cellStyle name="PSInt" xfId="299" xr:uid="{00000000-0005-0000-0000-0000DA010000}"/>
    <cellStyle name="PSSpacer" xfId="300" xr:uid="{00000000-0005-0000-0000-0000DB010000}"/>
    <cellStyle name="PStest" xfId="301" xr:uid="{00000000-0005-0000-0000-0000DC010000}"/>
    <cellStyle name="R00A" xfId="302" xr:uid="{00000000-0005-0000-0000-0000DD010000}"/>
    <cellStyle name="R00B" xfId="303" xr:uid="{00000000-0005-0000-0000-0000DE010000}"/>
    <cellStyle name="R00L" xfId="304" xr:uid="{00000000-0005-0000-0000-0000DF010000}"/>
    <cellStyle name="R01A" xfId="305" xr:uid="{00000000-0005-0000-0000-0000E0010000}"/>
    <cellStyle name="R01B" xfId="306" xr:uid="{00000000-0005-0000-0000-0000E1010000}"/>
    <cellStyle name="R01H" xfId="307" xr:uid="{00000000-0005-0000-0000-0000E2010000}"/>
    <cellStyle name="R01L" xfId="308" xr:uid="{00000000-0005-0000-0000-0000E3010000}"/>
    <cellStyle name="R02A" xfId="309" xr:uid="{00000000-0005-0000-0000-0000E4010000}"/>
    <cellStyle name="R02B" xfId="310" xr:uid="{00000000-0005-0000-0000-0000E5010000}"/>
    <cellStyle name="R02H" xfId="311" xr:uid="{00000000-0005-0000-0000-0000E6010000}"/>
    <cellStyle name="R02L" xfId="312" xr:uid="{00000000-0005-0000-0000-0000E7010000}"/>
    <cellStyle name="R03A" xfId="313" xr:uid="{00000000-0005-0000-0000-0000E8010000}"/>
    <cellStyle name="R03B" xfId="314" xr:uid="{00000000-0005-0000-0000-0000E9010000}"/>
    <cellStyle name="R03H" xfId="315" xr:uid="{00000000-0005-0000-0000-0000EA010000}"/>
    <cellStyle name="R03L" xfId="316" xr:uid="{00000000-0005-0000-0000-0000EB010000}"/>
    <cellStyle name="R04A" xfId="317" xr:uid="{00000000-0005-0000-0000-0000EC010000}"/>
    <cellStyle name="R04B" xfId="318" xr:uid="{00000000-0005-0000-0000-0000ED010000}"/>
    <cellStyle name="R04H" xfId="319" xr:uid="{00000000-0005-0000-0000-0000EE010000}"/>
    <cellStyle name="R04L" xfId="320" xr:uid="{00000000-0005-0000-0000-0000EF010000}"/>
    <cellStyle name="R05A" xfId="321" xr:uid="{00000000-0005-0000-0000-0000F0010000}"/>
    <cellStyle name="R05B" xfId="322" xr:uid="{00000000-0005-0000-0000-0000F1010000}"/>
    <cellStyle name="R05H" xfId="323" xr:uid="{00000000-0005-0000-0000-0000F2010000}"/>
    <cellStyle name="R05L" xfId="324" xr:uid="{00000000-0005-0000-0000-0000F3010000}"/>
    <cellStyle name="R05L 2" xfId="325" xr:uid="{00000000-0005-0000-0000-0000F4010000}"/>
    <cellStyle name="R06A" xfId="326" xr:uid="{00000000-0005-0000-0000-0000F5010000}"/>
    <cellStyle name="R06B" xfId="327" xr:uid="{00000000-0005-0000-0000-0000F6010000}"/>
    <cellStyle name="R06H" xfId="328" xr:uid="{00000000-0005-0000-0000-0000F7010000}"/>
    <cellStyle name="R06L" xfId="329" xr:uid="{00000000-0005-0000-0000-0000F8010000}"/>
    <cellStyle name="R07A" xfId="330" xr:uid="{00000000-0005-0000-0000-0000F9010000}"/>
    <cellStyle name="R07B" xfId="331" xr:uid="{00000000-0005-0000-0000-0000FA010000}"/>
    <cellStyle name="R07H" xfId="332" xr:uid="{00000000-0005-0000-0000-0000FB010000}"/>
    <cellStyle name="R07L" xfId="333" xr:uid="{00000000-0005-0000-0000-0000FC010000}"/>
    <cellStyle name="rborder" xfId="334" xr:uid="{00000000-0005-0000-0000-0000FD010000}"/>
    <cellStyle name="red" xfId="335" xr:uid="{00000000-0005-0000-0000-0000FE010000}"/>
    <cellStyle name="s_HardInc " xfId="336" xr:uid="{00000000-0005-0000-0000-0000FF010000}"/>
    <cellStyle name="s_HardInc _ITC Great Plains Formula 1-12-09a" xfId="337" xr:uid="{00000000-0005-0000-0000-000000020000}"/>
    <cellStyle name="scenario" xfId="338" xr:uid="{00000000-0005-0000-0000-000001020000}"/>
    <cellStyle name="SECTION" xfId="339" xr:uid="{00000000-0005-0000-0000-000002020000}"/>
    <cellStyle name="Sheetmult" xfId="340" xr:uid="{00000000-0005-0000-0000-000003020000}"/>
    <cellStyle name="Shtmultx" xfId="341" xr:uid="{00000000-0005-0000-0000-000004020000}"/>
    <cellStyle name="Style 1" xfId="342" xr:uid="{00000000-0005-0000-0000-000005020000}"/>
    <cellStyle name="STYLE1" xfId="343" xr:uid="{00000000-0005-0000-0000-000006020000}"/>
    <cellStyle name="STYLE2" xfId="344" xr:uid="{00000000-0005-0000-0000-000007020000}"/>
    <cellStyle name="System Defined" xfId="345" xr:uid="{00000000-0005-0000-0000-000008020000}"/>
    <cellStyle name="TableHeading" xfId="346" xr:uid="{00000000-0005-0000-0000-000009020000}"/>
    <cellStyle name="tb" xfId="347" xr:uid="{00000000-0005-0000-0000-00000A020000}"/>
    <cellStyle name="Tickmark" xfId="348" xr:uid="{00000000-0005-0000-0000-00000B020000}"/>
    <cellStyle name="Title1" xfId="349" xr:uid="{00000000-0005-0000-0000-00000C020000}"/>
    <cellStyle name="top" xfId="350" xr:uid="{00000000-0005-0000-0000-00000D020000}"/>
    <cellStyle name="Total" xfId="351" builtinId="25" customBuiltin="1"/>
    <cellStyle name="w" xfId="352" xr:uid="{00000000-0005-0000-0000-00000F020000}"/>
    <cellStyle name="XComma" xfId="353" xr:uid="{00000000-0005-0000-0000-000010020000}"/>
    <cellStyle name="XComma 0.0" xfId="354" xr:uid="{00000000-0005-0000-0000-000011020000}"/>
    <cellStyle name="XComma 0.00" xfId="355" xr:uid="{00000000-0005-0000-0000-000012020000}"/>
    <cellStyle name="XComma 0.000" xfId="356" xr:uid="{00000000-0005-0000-0000-000013020000}"/>
    <cellStyle name="XCurrency" xfId="357" xr:uid="{00000000-0005-0000-0000-000014020000}"/>
    <cellStyle name="XCurrency 0.0" xfId="358" xr:uid="{00000000-0005-0000-0000-000015020000}"/>
    <cellStyle name="XCurrency 0.00" xfId="359" xr:uid="{00000000-0005-0000-0000-000016020000}"/>
    <cellStyle name="XCurrency 0.000" xfId="360" xr:uid="{00000000-0005-0000-0000-000017020000}"/>
    <cellStyle name="yra" xfId="361" xr:uid="{00000000-0005-0000-0000-000018020000}"/>
    <cellStyle name="yrActual" xfId="362" xr:uid="{00000000-0005-0000-0000-000019020000}"/>
    <cellStyle name="yre" xfId="363" xr:uid="{00000000-0005-0000-0000-00001A020000}"/>
    <cellStyle name="yrExpect" xfId="364" xr:uid="{00000000-0005-0000-0000-00001B020000}"/>
  </cellStyles>
  <dxfs count="0"/>
  <tableStyles count="0" defaultTableStyle="TableStyleMedium2" defaultPivotStyle="PivotStyleLight16"/>
  <colors>
    <mruColors>
      <color rgb="FFFFFF99"/>
      <color rgb="FFFF00FF"/>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Masterdata"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AWATER\WATER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NBNW301\VOL5\STAFF\jdm\misc\2001%202Q\MERGER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NBNW301\VOL5\STAFF\jdm\KMH\Merge\FERC%20Filing\FERC%20stmts2.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v_Req"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ATES/Revenue%20Policy/Transmission%20Formula%20Annual%20Updates/2019/Formula%20Data/Data%20Responses/Tax/2018%20Transmission%20Annual%20True%20Up%20-%20FERC%20Form%201%20ADI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ATES/Revenue%20Policy/2017%20Transmission%20Rate%20Case/Stipulation/Submitted%20Stipulation/Formula%20Rate%20Final%20Zeroed%204-26-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data"/>
      <sheetName val="PECO Capital Pivot DO NOT TOUCH"/>
      <sheetName val="PECO O&amp;M Pivot - DO NOT Touch"/>
      <sheetName val="Sheet1"/>
      <sheetName val="2014 IS Actual"/>
      <sheetName val="ChileanGaap"/>
      <sheetName val="Gastos"/>
      <sheetName val="Inversiones en Activo"/>
      <sheetName val="Inversiones en Empresas"/>
      <sheetName val="Otros_Prestamos"/>
      <sheetName val="Gastos_Personal"/>
      <sheetName val="Ingresos_Servicios"/>
      <sheetName val="USGaap_$"/>
      <sheetName val="USGaap_US$"/>
      <sheetName val="Ve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204"/>
      <sheetName val="222"/>
      <sheetName val="876"/>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nd qtr 2000"/>
      <sheetName val="Summary"/>
      <sheetName val="adjustments"/>
      <sheetName val="Fair Value"/>
      <sheetName val="merger related costs"/>
      <sheetName val="JE's"/>
      <sheetName val="Sheet1"/>
      <sheetName val="Nuc FV Dec"/>
      <sheetName val="Goodwill amort"/>
      <sheetName val="PECO Securit Adj"/>
      <sheetName val="chg in acctg prin"/>
      <sheetName val="don't use past here."/>
      <sheetName val="Goodwill"/>
      <sheetName val="PECO stock price"/>
      <sheetName val="UCM Share Repurchase"/>
      <sheetName val="Reg Asset Amort"/>
      <sheetName val="FERC 8K Recon"/>
      <sheetName val="Goodwill (2)"/>
      <sheetName val="MERGER2"/>
      <sheetName val="Oct-00"/>
      <sheetName val="CONSOLIDATING W ADJUSTMENTS"/>
      <sheetName val="mktprice"/>
      <sheetName val="Assumptions"/>
      <sheetName val="State ETR Calc"/>
      <sheetName val="LineItem Data"/>
      <sheetName val="SETUP-Review"/>
    </sheetNames>
    <sheetDataSet>
      <sheetData sheetId="0" refreshError="1">
        <row r="6">
          <cell r="A6" t="str">
            <v>UNAUDITED PROFORMA CONDENSED STATEMENT OF INCOME</v>
          </cell>
          <cell r="K6" t="str">
            <v>UNAUDITED PROFORMA CONDENSED STATEMENT OF INCOME</v>
          </cell>
          <cell r="V6" t="str">
            <v>UNAUDITED PRO FORMA COMBINED CONDENSED STATEMENT OF INCOME</v>
          </cell>
        </row>
        <row r="7">
          <cell r="A7" t="str">
            <v>(Millions Except Per Share Data)</v>
          </cell>
          <cell r="K7" t="str">
            <v>(Millions Except Per Share Data)</v>
          </cell>
          <cell r="V7" t="str">
            <v>(Millions Except Per Share Data)</v>
          </cell>
        </row>
        <row r="8">
          <cell r="A8" t="str">
            <v>FOR THE first six months ended June 30, 2000</v>
          </cell>
          <cell r="K8" t="str">
            <v>FOR THE first six months ended June 30, 2000</v>
          </cell>
          <cell r="V8" t="str">
            <v>FOR THE first six months ended June 30, 2000</v>
          </cell>
        </row>
        <row r="11">
          <cell r="I11" t="str">
            <v>PECO</v>
          </cell>
          <cell r="Y11" t="str">
            <v>PECO</v>
          </cell>
        </row>
        <row r="12">
          <cell r="D12" t="str">
            <v>PECO</v>
          </cell>
          <cell r="G12" t="str">
            <v>PECO Energy</v>
          </cell>
          <cell r="I12" t="str">
            <v>Energy</v>
          </cell>
          <cell r="P12" t="str">
            <v>UNICOM</v>
          </cell>
          <cell r="R12" t="str">
            <v>UNICOM</v>
          </cell>
          <cell r="T12" t="str">
            <v>UNICOM</v>
          </cell>
          <cell r="Y12" t="str">
            <v>Energy</v>
          </cell>
        </row>
        <row r="13">
          <cell r="D13" t="str">
            <v>Energy</v>
          </cell>
          <cell r="F13" t="str">
            <v xml:space="preserve">Chg in </v>
          </cell>
          <cell r="G13" t="str">
            <v>Transition Bond</v>
          </cell>
          <cell r="I13" t="str">
            <v>Prior to</v>
          </cell>
          <cell r="N13" t="str">
            <v>UNICOM</v>
          </cell>
          <cell r="P13" t="str">
            <v>Fossil Sale</v>
          </cell>
          <cell r="R13" t="str">
            <v>Share Buyback</v>
          </cell>
          <cell r="T13" t="str">
            <v>Prior to</v>
          </cell>
          <cell r="Y13" t="str">
            <v>Prior to</v>
          </cell>
          <cell r="AA13" t="str">
            <v>UNICOM</v>
          </cell>
          <cell r="AD13" t="str">
            <v>Merger</v>
          </cell>
          <cell r="AF13" t="str">
            <v>Merger</v>
          </cell>
        </row>
        <row r="14">
          <cell r="D14" t="str">
            <v>As</v>
          </cell>
          <cell r="F14" t="str">
            <v>Acct</v>
          </cell>
          <cell r="G14" t="str">
            <v>ProForma</v>
          </cell>
          <cell r="I14" t="str">
            <v>Merger</v>
          </cell>
          <cell r="N14" t="str">
            <v>As</v>
          </cell>
          <cell r="P14" t="str">
            <v>ProForma</v>
          </cell>
          <cell r="R14" t="str">
            <v>ProForma</v>
          </cell>
          <cell r="T14" t="str">
            <v>Merger</v>
          </cell>
          <cell r="Y14" t="str">
            <v>Merger</v>
          </cell>
          <cell r="AA14" t="str">
            <v>as</v>
          </cell>
          <cell r="AB14" t="str">
            <v>ComEd</v>
          </cell>
          <cell r="AD14" t="str">
            <v>Related</v>
          </cell>
          <cell r="AF14" t="str">
            <v>ProForma</v>
          </cell>
          <cell r="AH14" t="str">
            <v>Exelon</v>
          </cell>
        </row>
        <row r="15">
          <cell r="D15" t="str">
            <v>Filed</v>
          </cell>
          <cell r="E15" t="str">
            <v>Reclasses</v>
          </cell>
          <cell r="F15" t="str">
            <v>Princ</v>
          </cell>
          <cell r="G15" t="str">
            <v>Adjustments(1)</v>
          </cell>
          <cell r="I15" t="str">
            <v>ProForma</v>
          </cell>
          <cell r="N15" t="str">
            <v>Filed</v>
          </cell>
          <cell r="P15" t="str">
            <v>Adjustments(3)</v>
          </cell>
          <cell r="R15" t="str">
            <v>Adjustments(4)</v>
          </cell>
          <cell r="T15" t="str">
            <v>ProForma</v>
          </cell>
          <cell r="Y15" t="str">
            <v>ProForma</v>
          </cell>
          <cell r="AA15" t="str">
            <v>filed</v>
          </cell>
          <cell r="AB15" t="str">
            <v>Reclasses</v>
          </cell>
          <cell r="AD15" t="str">
            <v>Costs</v>
          </cell>
          <cell r="AF15" t="str">
            <v>Adjustments</v>
          </cell>
          <cell r="AH15" t="str">
            <v>ProForma</v>
          </cell>
        </row>
        <row r="16">
          <cell r="AD16" t="str">
            <v>UCM 25</v>
          </cell>
        </row>
        <row r="17">
          <cell r="A17" t="str">
            <v>Operating Revenues</v>
          </cell>
          <cell r="K17" t="str">
            <v>Operating Revenues</v>
          </cell>
          <cell r="V17" t="str">
            <v>Operating Revenues</v>
          </cell>
          <cell r="AD17" t="str">
            <v>PECO 20</v>
          </cell>
        </row>
        <row r="18">
          <cell r="B18" t="str">
            <v>Electric</v>
          </cell>
          <cell r="E18">
            <v>4</v>
          </cell>
          <cell r="F18">
            <v>0</v>
          </cell>
          <cell r="G18">
            <v>0</v>
          </cell>
          <cell r="I18">
            <v>4</v>
          </cell>
          <cell r="L18" t="str">
            <v>Electric</v>
          </cell>
          <cell r="N18">
            <v>3465</v>
          </cell>
          <cell r="P18">
            <v>0</v>
          </cell>
          <cell r="R18">
            <v>0</v>
          </cell>
          <cell r="T18">
            <v>3465</v>
          </cell>
          <cell r="W18" t="str">
            <v>Electric</v>
          </cell>
          <cell r="Y18">
            <v>4</v>
          </cell>
          <cell r="AA18">
            <v>3465</v>
          </cell>
          <cell r="AB18">
            <v>3</v>
          </cell>
          <cell r="AF18">
            <v>-14.047000000000001</v>
          </cell>
          <cell r="AH18">
            <v>3457.953</v>
          </cell>
        </row>
        <row r="19">
          <cell r="B19" t="str">
            <v>Gas</v>
          </cell>
          <cell r="D19">
            <v>2716</v>
          </cell>
          <cell r="E19">
            <v>6</v>
          </cell>
          <cell r="G19">
            <v>0</v>
          </cell>
          <cell r="I19">
            <v>2722</v>
          </cell>
          <cell r="L19" t="str">
            <v>Gas</v>
          </cell>
          <cell r="N19">
            <v>0</v>
          </cell>
          <cell r="P19">
            <v>0</v>
          </cell>
          <cell r="R19">
            <v>0</v>
          </cell>
          <cell r="T19">
            <v>0</v>
          </cell>
          <cell r="W19" t="str">
            <v>Gas</v>
          </cell>
          <cell r="Y19">
            <v>2722</v>
          </cell>
          <cell r="AA19">
            <v>0</v>
          </cell>
          <cell r="AB19">
            <v>0</v>
          </cell>
          <cell r="AD19">
            <v>0</v>
          </cell>
          <cell r="AF19">
            <v>0</v>
          </cell>
          <cell r="AH19">
            <v>2722</v>
          </cell>
        </row>
        <row r="20">
          <cell r="B20" t="str">
            <v xml:space="preserve">   Total Operating Revenues</v>
          </cell>
          <cell r="D20">
            <v>2716</v>
          </cell>
          <cell r="E20">
            <v>10</v>
          </cell>
          <cell r="F20">
            <v>0</v>
          </cell>
          <cell r="G20">
            <v>0</v>
          </cell>
          <cell r="I20">
            <v>2726</v>
          </cell>
          <cell r="L20" t="str">
            <v xml:space="preserve">   Total Operating Revenues</v>
          </cell>
          <cell r="N20">
            <v>3465</v>
          </cell>
          <cell r="P20">
            <v>0</v>
          </cell>
          <cell r="R20">
            <v>0</v>
          </cell>
          <cell r="T20">
            <v>3465</v>
          </cell>
          <cell r="W20" t="str">
            <v xml:space="preserve">   Total Operating Revenues</v>
          </cell>
          <cell r="Y20">
            <v>2726</v>
          </cell>
          <cell r="AA20">
            <v>3465</v>
          </cell>
          <cell r="AB20">
            <v>3</v>
          </cell>
          <cell r="AD20">
            <v>0</v>
          </cell>
          <cell r="AF20">
            <v>-14.047000000000001</v>
          </cell>
          <cell r="AH20">
            <v>6179.9529999999995</v>
          </cell>
        </row>
        <row r="22">
          <cell r="A22" t="str">
            <v>Operating Expenses</v>
          </cell>
          <cell r="K22" t="str">
            <v>Operating Expenses</v>
          </cell>
          <cell r="V22" t="str">
            <v>Operating Expenses</v>
          </cell>
        </row>
        <row r="23">
          <cell r="B23" t="str">
            <v>Fuel and Energy Interchange</v>
          </cell>
          <cell r="D23">
            <v>926</v>
          </cell>
          <cell r="E23">
            <v>6</v>
          </cell>
          <cell r="G23">
            <v>0</v>
          </cell>
          <cell r="I23">
            <v>932</v>
          </cell>
          <cell r="L23" t="str">
            <v>Fuel and Energy Interchange</v>
          </cell>
          <cell r="N23">
            <v>872</v>
          </cell>
          <cell r="P23">
            <v>0</v>
          </cell>
          <cell r="R23">
            <v>0</v>
          </cell>
          <cell r="T23">
            <v>872</v>
          </cell>
          <cell r="W23" t="str">
            <v>Fuel and Energy Interchange</v>
          </cell>
          <cell r="Y23">
            <v>932</v>
          </cell>
          <cell r="AA23">
            <v>872</v>
          </cell>
          <cell r="AF23">
            <v>-14.047000000000001</v>
          </cell>
          <cell r="AH23">
            <v>1789.953</v>
          </cell>
        </row>
        <row r="24">
          <cell r="B24" t="str">
            <v>Operation and Maintenance</v>
          </cell>
          <cell r="D24">
            <v>835</v>
          </cell>
          <cell r="E24">
            <v>10</v>
          </cell>
          <cell r="F24">
            <v>-5</v>
          </cell>
          <cell r="G24">
            <v>0</v>
          </cell>
          <cell r="I24">
            <v>840</v>
          </cell>
          <cell r="L24" t="str">
            <v>Operation and Maintenance</v>
          </cell>
          <cell r="N24">
            <v>1094</v>
          </cell>
          <cell r="P24">
            <v>0</v>
          </cell>
          <cell r="R24">
            <v>0</v>
          </cell>
          <cell r="T24">
            <v>1094</v>
          </cell>
          <cell r="W24" t="str">
            <v>Operation and Maintenance</v>
          </cell>
          <cell r="Y24">
            <v>840</v>
          </cell>
          <cell r="AA24">
            <v>1094</v>
          </cell>
          <cell r="AD24">
            <v>-45</v>
          </cell>
          <cell r="AF24">
            <v>22.9</v>
          </cell>
          <cell r="AH24">
            <v>1911.9</v>
          </cell>
        </row>
        <row r="25">
          <cell r="B25" t="str">
            <v>Depreciation and Amortization</v>
          </cell>
          <cell r="D25">
            <v>160</v>
          </cell>
          <cell r="E25">
            <v>0</v>
          </cell>
          <cell r="F25">
            <v>0</v>
          </cell>
          <cell r="G25">
            <v>0</v>
          </cell>
          <cell r="I25">
            <v>160</v>
          </cell>
          <cell r="L25" t="str">
            <v>Depreciation and Amortization</v>
          </cell>
          <cell r="N25">
            <v>601</v>
          </cell>
          <cell r="P25">
            <v>0</v>
          </cell>
          <cell r="R25">
            <v>0</v>
          </cell>
          <cell r="T25">
            <v>601</v>
          </cell>
          <cell r="W25" t="str">
            <v>Depreciation and Amortization</v>
          </cell>
          <cell r="Y25">
            <v>160</v>
          </cell>
          <cell r="AA25">
            <v>601</v>
          </cell>
          <cell r="AF25">
            <v>-110</v>
          </cell>
          <cell r="AH25">
            <v>651</v>
          </cell>
        </row>
        <row r="26">
          <cell r="B26" t="str">
            <v>Goodwill Amortization</v>
          </cell>
          <cell r="D26">
            <v>1</v>
          </cell>
          <cell r="E26">
            <v>0</v>
          </cell>
          <cell r="F26">
            <v>0</v>
          </cell>
          <cell r="G26">
            <v>0</v>
          </cell>
          <cell r="I26">
            <v>1</v>
          </cell>
          <cell r="L26" t="str">
            <v>Goodwill Amortization</v>
          </cell>
          <cell r="N26">
            <v>1</v>
          </cell>
          <cell r="P26">
            <v>0</v>
          </cell>
          <cell r="R26">
            <v>0</v>
          </cell>
          <cell r="T26">
            <v>1</v>
          </cell>
          <cell r="W26" t="str">
            <v>Goodwill Amortization</v>
          </cell>
          <cell r="Y26">
            <v>1</v>
          </cell>
          <cell r="AA26">
            <v>1</v>
          </cell>
          <cell r="AF26">
            <v>59.862498736856949</v>
          </cell>
          <cell r="AH26">
            <v>61.862498736856949</v>
          </cell>
        </row>
        <row r="27">
          <cell r="B27" t="str">
            <v>Taxes Other Than Income Taxes</v>
          </cell>
          <cell r="D27">
            <v>130</v>
          </cell>
          <cell r="E27">
            <v>0</v>
          </cell>
          <cell r="F27">
            <v>0</v>
          </cell>
          <cell r="G27">
            <v>0</v>
          </cell>
          <cell r="I27">
            <v>130</v>
          </cell>
          <cell r="L27" t="str">
            <v>Taxes Other Than Income Taxes</v>
          </cell>
          <cell r="N27">
            <v>268</v>
          </cell>
          <cell r="P27">
            <v>0</v>
          </cell>
          <cell r="R27">
            <v>0</v>
          </cell>
          <cell r="T27">
            <v>268</v>
          </cell>
          <cell r="W27" t="str">
            <v>Taxes Other Than Income Taxes</v>
          </cell>
          <cell r="Y27">
            <v>130</v>
          </cell>
          <cell r="AA27">
            <v>268</v>
          </cell>
          <cell r="AF27">
            <v>0</v>
          </cell>
          <cell r="AH27">
            <v>398</v>
          </cell>
        </row>
        <row r="28">
          <cell r="B28" t="str">
            <v xml:space="preserve">   Total Operating Expenses</v>
          </cell>
          <cell r="D28">
            <v>2052</v>
          </cell>
          <cell r="E28">
            <v>16</v>
          </cell>
          <cell r="F28">
            <v>-5</v>
          </cell>
          <cell r="G28">
            <v>0</v>
          </cell>
          <cell r="I28">
            <v>2063</v>
          </cell>
          <cell r="L28" t="str">
            <v xml:space="preserve">   Total Operating Expenses</v>
          </cell>
          <cell r="N28">
            <v>2836</v>
          </cell>
          <cell r="P28">
            <v>0</v>
          </cell>
          <cell r="R28">
            <v>0</v>
          </cell>
          <cell r="T28">
            <v>2836</v>
          </cell>
          <cell r="W28" t="str">
            <v xml:space="preserve">   Total Operating Expenses</v>
          </cell>
          <cell r="Y28">
            <v>2063</v>
          </cell>
          <cell r="AA28">
            <v>2836</v>
          </cell>
          <cell r="AB28">
            <v>0</v>
          </cell>
          <cell r="AD28">
            <v>-45</v>
          </cell>
          <cell r="AF28">
            <v>-41.284501263143056</v>
          </cell>
          <cell r="AH28">
            <v>4812.7154987368567</v>
          </cell>
        </row>
        <row r="29">
          <cell r="A29" t="str">
            <v xml:space="preserve">Operating Income </v>
          </cell>
          <cell r="D29">
            <v>664</v>
          </cell>
          <cell r="E29">
            <v>-6</v>
          </cell>
          <cell r="F29">
            <v>5</v>
          </cell>
          <cell r="G29">
            <v>0</v>
          </cell>
          <cell r="I29">
            <v>663</v>
          </cell>
          <cell r="K29" t="str">
            <v xml:space="preserve">Operating Income </v>
          </cell>
          <cell r="N29">
            <v>629</v>
          </cell>
          <cell r="P29">
            <v>0</v>
          </cell>
          <cell r="R29">
            <v>0</v>
          </cell>
          <cell r="T29">
            <v>629</v>
          </cell>
          <cell r="V29" t="str">
            <v xml:space="preserve">Operating Income </v>
          </cell>
          <cell r="Y29">
            <v>663</v>
          </cell>
          <cell r="AA29">
            <v>629</v>
          </cell>
          <cell r="AB29">
            <v>3</v>
          </cell>
          <cell r="AD29">
            <v>45</v>
          </cell>
          <cell r="AF29">
            <v>27.237501263143056</v>
          </cell>
          <cell r="AH29">
            <v>1367.2375012631428</v>
          </cell>
        </row>
        <row r="30">
          <cell r="A30" t="str">
            <v>Other Income and Deductions</v>
          </cell>
          <cell r="K30" t="str">
            <v>Other Income and Deductions</v>
          </cell>
          <cell r="V30" t="str">
            <v>Other Income and Deductions</v>
          </cell>
        </row>
        <row r="31">
          <cell r="B31" t="str">
            <v>Interest Expense</v>
          </cell>
          <cell r="D31">
            <v>-220</v>
          </cell>
          <cell r="G31">
            <v>-11.761926795666664</v>
          </cell>
          <cell r="I31">
            <v>-231.76192679566665</v>
          </cell>
          <cell r="L31" t="str">
            <v>Interest Expense</v>
          </cell>
          <cell r="N31">
            <v>-270</v>
          </cell>
          <cell r="P31">
            <v>0</v>
          </cell>
          <cell r="R31">
            <v>0</v>
          </cell>
          <cell r="T31">
            <v>-270</v>
          </cell>
          <cell r="W31" t="str">
            <v>Interest Expense</v>
          </cell>
          <cell r="Y31">
            <v>-231.76192679566665</v>
          </cell>
          <cell r="AA31">
            <v>-270</v>
          </cell>
          <cell r="AF31">
            <v>-11</v>
          </cell>
          <cell r="AH31">
            <v>-512.76192679566668</v>
          </cell>
        </row>
        <row r="32">
          <cell r="B32" t="str">
            <v>Pref Div</v>
          </cell>
          <cell r="D32">
            <v>-5</v>
          </cell>
          <cell r="E32">
            <v>0</v>
          </cell>
          <cell r="F32">
            <v>0</v>
          </cell>
          <cell r="G32">
            <v>0</v>
          </cell>
          <cell r="I32">
            <v>-5</v>
          </cell>
          <cell r="L32" t="str">
            <v>Pref Div</v>
          </cell>
          <cell r="N32">
            <v>-17</v>
          </cell>
          <cell r="P32">
            <v>0</v>
          </cell>
          <cell r="R32">
            <v>0</v>
          </cell>
          <cell r="T32">
            <v>-17</v>
          </cell>
          <cell r="W32" t="str">
            <v>Pref Div</v>
          </cell>
          <cell r="Y32">
            <v>-5</v>
          </cell>
          <cell r="AA32">
            <v>-17</v>
          </cell>
          <cell r="AF32">
            <v>-5</v>
          </cell>
          <cell r="AH32">
            <v>-27</v>
          </cell>
        </row>
        <row r="33">
          <cell r="B33" t="str">
            <v>Other, net</v>
          </cell>
          <cell r="D33">
            <v>24</v>
          </cell>
          <cell r="E33">
            <v>6</v>
          </cell>
          <cell r="I33">
            <v>30</v>
          </cell>
          <cell r="L33" t="str">
            <v>Other, net</v>
          </cell>
          <cell r="N33">
            <v>103</v>
          </cell>
          <cell r="P33">
            <v>0</v>
          </cell>
          <cell r="R33">
            <v>0</v>
          </cell>
          <cell r="T33">
            <v>103</v>
          </cell>
          <cell r="W33" t="str">
            <v>Other, net</v>
          </cell>
          <cell r="Y33">
            <v>30</v>
          </cell>
          <cell r="AA33">
            <v>103</v>
          </cell>
          <cell r="AB33">
            <v>-3</v>
          </cell>
          <cell r="AF33">
            <v>0</v>
          </cell>
          <cell r="AH33">
            <v>130</v>
          </cell>
        </row>
        <row r="34">
          <cell r="B34" t="str">
            <v xml:space="preserve">   Total Other Income and Deductions</v>
          </cell>
          <cell r="D34">
            <v>-201</v>
          </cell>
          <cell r="E34">
            <v>6</v>
          </cell>
          <cell r="F34">
            <v>0</v>
          </cell>
          <cell r="G34">
            <v>-11.761926795666664</v>
          </cell>
          <cell r="I34">
            <v>-206.76192679566665</v>
          </cell>
          <cell r="L34" t="str">
            <v xml:space="preserve">   Total Other Income and Deductions</v>
          </cell>
          <cell r="N34">
            <v>-184</v>
          </cell>
          <cell r="P34">
            <v>0</v>
          </cell>
          <cell r="R34">
            <v>0</v>
          </cell>
          <cell r="T34">
            <v>-184</v>
          </cell>
          <cell r="W34" t="str">
            <v xml:space="preserve">   Total Other Income and Deductions</v>
          </cell>
          <cell r="Y34">
            <v>-206.76192679566665</v>
          </cell>
          <cell r="AA34">
            <v>-184</v>
          </cell>
          <cell r="AB34">
            <v>-3</v>
          </cell>
          <cell r="AD34">
            <v>0</v>
          </cell>
          <cell r="AF34">
            <v>-16</v>
          </cell>
          <cell r="AH34">
            <v>-409.76192679566668</v>
          </cell>
        </row>
        <row r="36">
          <cell r="A36" t="str">
            <v>Income Before Income Taxes</v>
          </cell>
          <cell r="K36" t="str">
            <v>Income Before Income Taxes</v>
          </cell>
          <cell r="V36" t="str">
            <v>Income Before Income Taxes</v>
          </cell>
        </row>
        <row r="37">
          <cell r="A37" t="str">
            <v>and Extraordinary Item</v>
          </cell>
          <cell r="D37">
            <v>463</v>
          </cell>
          <cell r="E37">
            <v>0</v>
          </cell>
          <cell r="F37">
            <v>5</v>
          </cell>
          <cell r="G37">
            <v>-11.761926795666664</v>
          </cell>
          <cell r="I37">
            <v>456.23807320433332</v>
          </cell>
          <cell r="K37" t="str">
            <v>and Extraordinary Item</v>
          </cell>
          <cell r="N37">
            <v>445</v>
          </cell>
          <cell r="P37">
            <v>0</v>
          </cell>
          <cell r="R37">
            <v>0</v>
          </cell>
          <cell r="T37">
            <v>445</v>
          </cell>
          <cell r="V37" t="str">
            <v>and Extraordinary Item</v>
          </cell>
          <cell r="Y37">
            <v>456.23807320433332</v>
          </cell>
          <cell r="AA37">
            <v>445</v>
          </cell>
          <cell r="AB37">
            <v>0</v>
          </cell>
          <cell r="AD37">
            <v>45</v>
          </cell>
          <cell r="AF37">
            <v>11.237501263143056</v>
          </cell>
          <cell r="AH37">
            <v>957.47557446747612</v>
          </cell>
        </row>
        <row r="38">
          <cell r="A38" t="str">
            <v xml:space="preserve"> </v>
          </cell>
          <cell r="K38" t="str">
            <v xml:space="preserve"> </v>
          </cell>
          <cell r="V38" t="str">
            <v xml:space="preserve"> </v>
          </cell>
        </row>
        <row r="39">
          <cell r="A39" t="str">
            <v xml:space="preserve">Income Tax Expense </v>
          </cell>
          <cell r="D39">
            <v>174</v>
          </cell>
          <cell r="F39">
            <v>2</v>
          </cell>
          <cell r="G39">
            <v>-4.7047707182666656</v>
          </cell>
          <cell r="I39">
            <v>171.29522928173333</v>
          </cell>
          <cell r="K39" t="str">
            <v xml:space="preserve">Income Tax Expense </v>
          </cell>
          <cell r="N39">
            <v>102</v>
          </cell>
          <cell r="P39">
            <v>0</v>
          </cell>
          <cell r="R39">
            <v>0</v>
          </cell>
          <cell r="T39">
            <v>102</v>
          </cell>
          <cell r="V39" t="str">
            <v xml:space="preserve">Income Tax Expense </v>
          </cell>
          <cell r="Y39">
            <v>171.29522928173333</v>
          </cell>
          <cell r="AA39">
            <v>102</v>
          </cell>
          <cell r="AB39">
            <v>0</v>
          </cell>
          <cell r="AD39">
            <v>18</v>
          </cell>
          <cell r="AF39">
            <v>38.095820000000003</v>
          </cell>
          <cell r="AH39">
            <v>329.39104928173333</v>
          </cell>
        </row>
        <row r="40">
          <cell r="A40" t="str">
            <v>Income Before Extraordinary Item</v>
          </cell>
          <cell r="D40">
            <v>289</v>
          </cell>
          <cell r="E40">
            <v>0</v>
          </cell>
          <cell r="F40">
            <v>3</v>
          </cell>
          <cell r="G40">
            <v>-7.0571560773999984</v>
          </cell>
          <cell r="I40">
            <v>284.94284392259999</v>
          </cell>
          <cell r="K40" t="str">
            <v>Income Before Extraordinary Item</v>
          </cell>
          <cell r="N40">
            <v>343</v>
          </cell>
          <cell r="P40">
            <v>0</v>
          </cell>
          <cell r="R40">
            <v>0</v>
          </cell>
          <cell r="T40">
            <v>343</v>
          </cell>
          <cell r="V40" t="str">
            <v>Income Before Extraordinary Item</v>
          </cell>
          <cell r="Y40">
            <v>284.94284392259999</v>
          </cell>
          <cell r="AA40">
            <v>343</v>
          </cell>
          <cell r="AB40">
            <v>0</v>
          </cell>
          <cell r="AD40">
            <v>27</v>
          </cell>
          <cell r="AF40">
            <v>-26.858318736856948</v>
          </cell>
          <cell r="AH40">
            <v>628.08452518574279</v>
          </cell>
        </row>
        <row r="41">
          <cell r="B41" t="str">
            <v>Extraordinary</v>
          </cell>
          <cell r="D41">
            <v>-3</v>
          </cell>
          <cell r="I41">
            <v>-3</v>
          </cell>
          <cell r="W41" t="str">
            <v>PECO Extraordinary</v>
          </cell>
          <cell r="Y41">
            <v>-3</v>
          </cell>
          <cell r="AH41">
            <v>-3</v>
          </cell>
        </row>
        <row r="42">
          <cell r="W42" t="str">
            <v>PECO chg in acct prin ($22 million pre tax)( not needed for proforma purposes)</v>
          </cell>
        </row>
        <row r="43">
          <cell r="L43" t="str">
            <v>Extraordinary</v>
          </cell>
          <cell r="N43">
            <v>-4</v>
          </cell>
          <cell r="W43" t="str">
            <v>ComEd Extraordinary</v>
          </cell>
          <cell r="AA43">
            <v>-4</v>
          </cell>
          <cell r="AH43">
            <v>-4</v>
          </cell>
        </row>
        <row r="44">
          <cell r="W44" t="str">
            <v>Net Income</v>
          </cell>
          <cell r="Y44">
            <v>281.94284392259999</v>
          </cell>
          <cell r="AA44">
            <v>339</v>
          </cell>
          <cell r="AB44">
            <v>0</v>
          </cell>
          <cell r="AD44">
            <v>27</v>
          </cell>
          <cell r="AF44">
            <v>-26.858318736856948</v>
          </cell>
          <cell r="AH44">
            <v>621.08452518574279</v>
          </cell>
        </row>
        <row r="45">
          <cell r="A45" t="str">
            <v>Preferred Stock Dividend</v>
          </cell>
          <cell r="D45">
            <v>5</v>
          </cell>
          <cell r="I45">
            <v>5</v>
          </cell>
          <cell r="V45" t="str">
            <v>Pref Dividend</v>
          </cell>
          <cell r="Y45">
            <v>5</v>
          </cell>
          <cell r="AF45">
            <v>-5</v>
          </cell>
          <cell r="AH45">
            <v>0</v>
          </cell>
        </row>
        <row r="46">
          <cell r="B46" t="str">
            <v>Net Income on Common</v>
          </cell>
          <cell r="D46">
            <v>281</v>
          </cell>
          <cell r="W46" t="str">
            <v>Net Income on Common</v>
          </cell>
          <cell r="Y46">
            <v>276.94284392259999</v>
          </cell>
          <cell r="AA46">
            <v>339</v>
          </cell>
          <cell r="AB46">
            <v>0</v>
          </cell>
          <cell r="AD46">
            <v>27</v>
          </cell>
          <cell r="AF46">
            <v>-21.858318736856948</v>
          </cell>
          <cell r="AH46">
            <v>621.08452518574279</v>
          </cell>
        </row>
        <row r="48">
          <cell r="V48" t="str">
            <v>Income Before Extraordinary</v>
          </cell>
        </row>
        <row r="49">
          <cell r="A49" t="str">
            <v>Income Before Extraordinary</v>
          </cell>
          <cell r="K49" t="str">
            <v>Income Before Extraordinary</v>
          </cell>
          <cell r="T49" t="str">
            <v>info only</v>
          </cell>
          <cell r="V49" t="str">
            <v xml:space="preserve">   Item per Share</v>
          </cell>
          <cell r="AH49">
            <v>1.9469734331841466</v>
          </cell>
        </row>
        <row r="50">
          <cell r="A50" t="str">
            <v xml:space="preserve">   Item per Share</v>
          </cell>
          <cell r="D50" t="e">
            <v>#DIV/0!</v>
          </cell>
          <cell r="K50" t="str">
            <v xml:space="preserve">   Item per Share</v>
          </cell>
          <cell r="N50">
            <v>1.578462954440865</v>
          </cell>
          <cell r="T50">
            <v>1.7929952953476214</v>
          </cell>
        </row>
        <row r="51">
          <cell r="V51" t="str">
            <v>Income Before Extraordinary</v>
          </cell>
        </row>
        <row r="52">
          <cell r="A52" t="str">
            <v>Income Before Extraordinary</v>
          </cell>
          <cell r="K52" t="str">
            <v>Income Before Extraordinary</v>
          </cell>
          <cell r="V52" t="str">
            <v xml:space="preserve">   Item per Share - Diluted</v>
          </cell>
          <cell r="AH52">
            <v>1.9348427575879839</v>
          </cell>
        </row>
        <row r="53">
          <cell r="A53" t="str">
            <v xml:space="preserve">   Item per Share - Diluted</v>
          </cell>
          <cell r="D53" t="e">
            <v>#DIV/0!</v>
          </cell>
          <cell r="K53" t="str">
            <v xml:space="preserve">   Item per Share - Diluted</v>
          </cell>
          <cell r="N53">
            <v>1.5729615702100339</v>
          </cell>
        </row>
        <row r="54">
          <cell r="V54" t="str">
            <v>Average Basic Shares Outstanding</v>
          </cell>
          <cell r="AH54">
            <v>319</v>
          </cell>
        </row>
        <row r="55">
          <cell r="A55" t="str">
            <v>Average Basic Shares Outstanding</v>
          </cell>
          <cell r="K55" t="str">
            <v>Average Basic Shares Outstanding</v>
          </cell>
          <cell r="N55">
            <v>217.3</v>
          </cell>
          <cell r="T55">
            <v>191.3</v>
          </cell>
        </row>
        <row r="56">
          <cell r="V56" t="str">
            <v>Average Diluted Shares Outstanding</v>
          </cell>
          <cell r="AH56">
            <v>321</v>
          </cell>
        </row>
        <row r="57">
          <cell r="A57" t="str">
            <v>Average Diluted Shares Outstanding</v>
          </cell>
          <cell r="K57" t="str">
            <v>Average Diluted Shares Outstanding</v>
          </cell>
          <cell r="N57">
            <v>218.06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FI use"/>
      <sheetName val="FERC Stmts"/>
      <sheetName val="UCM Share Repurchase"/>
      <sheetName val="Goodwill"/>
      <sheetName val="available fossil proceeds"/>
      <sheetName val="Div Declared"/>
      <sheetName val="Sheet1"/>
      <sheetName val="SETUP - Review"/>
      <sheetName val="Table of Contents"/>
      <sheetName val="1-IncStmt-MTH"/>
      <sheetName val="1a-IncStmt-MTD Adj"/>
      <sheetName val="2-IncStmt-QTR"/>
      <sheetName val="2b-IncStmt-QTD Adj"/>
      <sheetName val="3-IncStmt-YTD"/>
      <sheetName val="3a-IncStmt-YTD Adj"/>
      <sheetName val="4-Capital Structure"/>
      <sheetName val="5-Balance Sheet"/>
      <sheetName val="5b - Detail of BS Close Entries"/>
      <sheetName val="6-5% Test"/>
      <sheetName val="6a-5% Test Detail"/>
      <sheetName val="7 - Cash Flows Consolidated"/>
      <sheetName val="7a - Cash Flow Summary"/>
      <sheetName val="7b - Cash Flows - ComEd"/>
      <sheetName val="7c - Cash Flows - PECO"/>
      <sheetName val="7d - Cash Flows - Genco"/>
      <sheetName val="7e - Cash Flows - Enterprises"/>
      <sheetName val="7f - Corp BSC"/>
      <sheetName val="8 - PPE"/>
      <sheetName val="9 - Investments"/>
      <sheetName val="10-LTD"/>
      <sheetName val="11-GW Amort and Other Assets"/>
      <sheetName val="12-Equity Rollforward"/>
      <sheetName val="12a- OCI Qtr"/>
      <sheetName val="12b - OCI ytd"/>
      <sheetName val="13 - Footnote disclosures "/>
      <sheetName val="14-Schedule II - Valuations"/>
      <sheetName val="15-Statistics -QTR"/>
      <sheetName val="16-Statistics - YTD"/>
      <sheetName val="17-Add'l Info"/>
      <sheetName val="21-Revised 12.04 BS"/>
      <sheetName val="22 - Revised PY BS"/>
      <sheetName val="23-QTD 2005 DO Summary"/>
      <sheetName val="23a-QTD 2005 DO Detail"/>
      <sheetName val="24-YTD 2005 DO Summary"/>
      <sheetName val="24a-YTD 2005 DO Detail"/>
      <sheetName val="25-QTD 2004 DO Summary"/>
      <sheetName val="25a-QTD 2004 DO Detail"/>
      <sheetName val="26-YTD 2004 DO Summary"/>
      <sheetName val="26a-YTD 2004 DO Detail"/>
      <sheetName val="PETT 1999 A-2 3-1-03"/>
      <sheetName val="PETT 2000 C-1 3-1-10"/>
      <sheetName val="PETT 1999 A-3 3-1-04 Libor"/>
      <sheetName val="PETT 1999 A-4 3-1-05"/>
      <sheetName val="PETT 1999 A-5 9-1-07 Libor"/>
      <sheetName val="PETT 1999 A-6 3-1-07"/>
      <sheetName val="PETT 1999 A-7  9-1-08"/>
      <sheetName val="PETT 2000 B-2 9-1-02"/>
      <sheetName val="PETT 2000 B-3 3-1-09"/>
      <sheetName val="PETT 2000 B-4 9-1-09"/>
      <sheetName val="Wolf Hollow"/>
      <sheetName val="Major Maintenance_without Hud 2"/>
    </sheetNames>
    <sheetDataSet>
      <sheetData sheetId="0" refreshError="1">
        <row r="1">
          <cell r="I1" t="str">
            <v>Inc/(dec)</v>
          </cell>
          <cell r="J1" t="str">
            <v>Inc/(dec)</v>
          </cell>
          <cell r="L1" t="str">
            <v>Premium/</v>
          </cell>
        </row>
        <row r="2">
          <cell r="C2" t="str">
            <v>Shares</v>
          </cell>
          <cell r="D2" t="str">
            <v>Principal</v>
          </cell>
          <cell r="I2" t="str">
            <v>in Interest</v>
          </cell>
          <cell r="J2" t="str">
            <v>in Div's</v>
          </cell>
          <cell r="L2" t="str">
            <v>Fees</v>
          </cell>
          <cell r="N2" t="str">
            <v>Cash</v>
          </cell>
          <cell r="O2" t="str">
            <v>Interest</v>
          </cell>
        </row>
        <row r="3">
          <cell r="B3" t="str">
            <v>Issue</v>
          </cell>
          <cell r="C3" t="str">
            <v>in millions</v>
          </cell>
          <cell r="D3" t="str">
            <v>in millions</v>
          </cell>
          <cell r="I3" t="str">
            <v>in millions</v>
          </cell>
          <cell r="J3" t="str">
            <v>in millions</v>
          </cell>
          <cell r="L3" t="str">
            <v>in millions</v>
          </cell>
          <cell r="N3" t="str">
            <v>Balance</v>
          </cell>
          <cell r="O3" t="str">
            <v>Income</v>
          </cell>
        </row>
        <row r="4">
          <cell r="B4" t="str">
            <v>Initial Proceeds</v>
          </cell>
          <cell r="D4">
            <v>3400</v>
          </cell>
          <cell r="F4">
            <v>5.5800000000000002E-2</v>
          </cell>
          <cell r="I4">
            <v>189.72</v>
          </cell>
          <cell r="L4">
            <v>-40</v>
          </cell>
          <cell r="N4">
            <v>3360</v>
          </cell>
        </row>
        <row r="5">
          <cell r="I5">
            <v>0</v>
          </cell>
        </row>
        <row r="6">
          <cell r="B6" t="str">
            <v>CP</v>
          </cell>
          <cell r="D6">
            <v>-272</v>
          </cell>
          <cell r="F6">
            <v>5.1999999999999998E-2</v>
          </cell>
          <cell r="I6">
            <v>-14.144</v>
          </cell>
          <cell r="K6" t="str">
            <v>$43 was originally used in the 8-K</v>
          </cell>
          <cell r="N6">
            <v>3088</v>
          </cell>
        </row>
        <row r="7">
          <cell r="A7" t="str">
            <v>6M shares</v>
          </cell>
          <cell r="B7" t="str">
            <v>Common(1)</v>
          </cell>
          <cell r="D7">
            <v>-230</v>
          </cell>
          <cell r="I7">
            <v>0</v>
          </cell>
          <cell r="K7" t="str">
            <v xml:space="preserve">the amount calc's to $66.5.  What </v>
          </cell>
          <cell r="N7">
            <v>2858</v>
          </cell>
        </row>
        <row r="8">
          <cell r="B8" t="str">
            <v>CP</v>
          </cell>
          <cell r="D8">
            <v>-106.4</v>
          </cell>
          <cell r="F8">
            <v>5.6500000000000002E-2</v>
          </cell>
          <cell r="I8">
            <v>-6.0116000000000005</v>
          </cell>
          <cell r="K8" t="str">
            <v>is the difference?</v>
          </cell>
          <cell r="N8">
            <v>2751.6</v>
          </cell>
        </row>
        <row r="9">
          <cell r="B9" t="str">
            <v>CP</v>
          </cell>
          <cell r="D9">
            <v>-47.3</v>
          </cell>
          <cell r="F9">
            <v>6.2199999999999998E-2</v>
          </cell>
          <cell r="I9">
            <v>-2.9420599999999997</v>
          </cell>
          <cell r="N9">
            <v>2704.2999999999997</v>
          </cell>
        </row>
        <row r="10">
          <cell r="B10" t="str">
            <v>Pref</v>
          </cell>
          <cell r="C10">
            <v>11.519894000000001</v>
          </cell>
          <cell r="D10">
            <v>-534.20000000000005</v>
          </cell>
          <cell r="G10">
            <v>5.78</v>
          </cell>
          <cell r="I10">
            <v>0</v>
          </cell>
          <cell r="J10">
            <v>-43</v>
          </cell>
          <cell r="L10">
            <v>-5.9</v>
          </cell>
          <cell r="N10">
            <v>2164.1999999999994</v>
          </cell>
        </row>
        <row r="11">
          <cell r="B11" t="str">
            <v>LTD</v>
          </cell>
          <cell r="D11">
            <v>-730</v>
          </cell>
          <cell r="F11">
            <v>8.2199999999999995E-2</v>
          </cell>
          <cell r="I11">
            <v>-60.005999999999993</v>
          </cell>
          <cell r="L11">
            <v>-18.5</v>
          </cell>
          <cell r="N11">
            <v>1415.6999999999994</v>
          </cell>
        </row>
        <row r="12">
          <cell r="B12" t="str">
            <v>LTD</v>
          </cell>
          <cell r="D12">
            <v>-30.3</v>
          </cell>
          <cell r="F12">
            <v>9.3799999999999994E-2</v>
          </cell>
          <cell r="I12">
            <v>-2.8421400000000001</v>
          </cell>
          <cell r="L12">
            <v>-1.4</v>
          </cell>
          <cell r="N12">
            <v>1383.9999999999993</v>
          </cell>
        </row>
        <row r="13">
          <cell r="A13">
            <v>36187</v>
          </cell>
          <cell r="B13" t="str">
            <v>Common</v>
          </cell>
          <cell r="D13">
            <v>-6.8</v>
          </cell>
          <cell r="I13">
            <v>0</v>
          </cell>
          <cell r="N13">
            <v>1377.1999999999994</v>
          </cell>
        </row>
        <row r="14">
          <cell r="A14" t="str">
            <v>Forward</v>
          </cell>
          <cell r="B14" t="str">
            <v>Common</v>
          </cell>
          <cell r="D14">
            <v>-495</v>
          </cell>
          <cell r="I14">
            <v>0</v>
          </cell>
          <cell r="N14">
            <v>882.19999999999936</v>
          </cell>
        </row>
        <row r="15">
          <cell r="B15" t="str">
            <v>LTD</v>
          </cell>
          <cell r="D15">
            <v>-198.9</v>
          </cell>
          <cell r="F15">
            <v>9.6500000000000002E-2</v>
          </cell>
          <cell r="I15">
            <v>-19.193850000000001</v>
          </cell>
          <cell r="L15">
            <v>-15</v>
          </cell>
          <cell r="N15">
            <v>668.29999999999939</v>
          </cell>
        </row>
        <row r="16">
          <cell r="B16" t="str">
            <v>CP</v>
          </cell>
          <cell r="D16">
            <v>-65</v>
          </cell>
          <cell r="F16">
            <v>6.2E-2</v>
          </cell>
          <cell r="I16">
            <v>-4.03</v>
          </cell>
          <cell r="N16">
            <v>603.29999999999939</v>
          </cell>
        </row>
        <row r="17">
          <cell r="B17" t="str">
            <v>LTD</v>
          </cell>
          <cell r="D17">
            <v>-58</v>
          </cell>
          <cell r="F17">
            <v>7.6300000000000007E-2</v>
          </cell>
          <cell r="I17">
            <v>-4.4254000000000007</v>
          </cell>
          <cell r="L17">
            <v>-0.06</v>
          </cell>
          <cell r="N17">
            <v>545.23999999999944</v>
          </cell>
        </row>
        <row r="18">
          <cell r="B18" t="str">
            <v>CP</v>
          </cell>
          <cell r="D18">
            <v>-9.3000000000000007</v>
          </cell>
          <cell r="F18">
            <v>6.13E-2</v>
          </cell>
          <cell r="I18">
            <v>-0.5700900000000001</v>
          </cell>
          <cell r="N18">
            <v>535.93999999999949</v>
          </cell>
        </row>
        <row r="19">
          <cell r="A19" t="str">
            <v>March</v>
          </cell>
          <cell r="B19" t="str">
            <v>Common</v>
          </cell>
          <cell r="D19">
            <v>-186.90000000000003</v>
          </cell>
          <cell r="I19">
            <v>0</v>
          </cell>
          <cell r="N19">
            <v>349.03999999999945</v>
          </cell>
        </row>
        <row r="20">
          <cell r="B20" t="str">
            <v>LTD</v>
          </cell>
          <cell r="D20">
            <v>-0.1</v>
          </cell>
          <cell r="F20">
            <v>9.4100000000000003E-2</v>
          </cell>
          <cell r="I20">
            <v>-9.4100000000000017E-3</v>
          </cell>
          <cell r="L20">
            <v>-4.0999999999999996</v>
          </cell>
          <cell r="N20">
            <v>344.83999999999941</v>
          </cell>
        </row>
        <row r="21">
          <cell r="B21" t="str">
            <v>Pref</v>
          </cell>
          <cell r="C21">
            <v>3</v>
          </cell>
          <cell r="D21">
            <v>-75</v>
          </cell>
          <cell r="G21">
            <v>2.4300000000000002</v>
          </cell>
          <cell r="I21">
            <v>0</v>
          </cell>
          <cell r="J21">
            <v>-7.2900000000000009</v>
          </cell>
          <cell r="L21">
            <v>-2.2999999999999998</v>
          </cell>
          <cell r="N21">
            <v>267.5399999999994</v>
          </cell>
        </row>
        <row r="22">
          <cell r="N22">
            <v>267.5399999999994</v>
          </cell>
        </row>
        <row r="23">
          <cell r="B23" t="str">
            <v>Seaway Loan</v>
          </cell>
          <cell r="D23">
            <v>-3.6</v>
          </cell>
          <cell r="F23">
            <v>-0.08</v>
          </cell>
          <cell r="I23">
            <v>0.28800000000000003</v>
          </cell>
          <cell r="N23">
            <v>263.93999999999937</v>
          </cell>
        </row>
        <row r="24">
          <cell r="B24" t="str">
            <v>MTN</v>
          </cell>
          <cell r="D24">
            <v>-140</v>
          </cell>
          <cell r="F24">
            <v>9.0423214285714273E-2</v>
          </cell>
          <cell r="I24">
            <v>-12.659249999999998</v>
          </cell>
          <cell r="L24">
            <v>0</v>
          </cell>
          <cell r="N24">
            <v>123.93999999999937</v>
          </cell>
        </row>
        <row r="25">
          <cell r="O25">
            <v>4.4999999999999998E-2</v>
          </cell>
        </row>
        <row r="26">
          <cell r="B26" t="str">
            <v>Balance</v>
          </cell>
          <cell r="D26">
            <v>211.19999999999953</v>
          </cell>
          <cell r="I26">
            <v>63.174200000000013</v>
          </cell>
          <cell r="J26">
            <v>-50.29</v>
          </cell>
          <cell r="L26">
            <v>-87.26</v>
          </cell>
          <cell r="O26">
            <v>5.5772999999999717</v>
          </cell>
        </row>
        <row r="28">
          <cell r="B28" t="str">
            <v>Fees</v>
          </cell>
          <cell r="D28">
            <v>-87.26</v>
          </cell>
        </row>
        <row r="29">
          <cell r="D29">
            <v>123.93999999999953</v>
          </cell>
        </row>
        <row r="31">
          <cell r="B31" t="str">
            <v>Addback items which</v>
          </cell>
        </row>
        <row r="32">
          <cell r="B32" t="str">
            <v xml:space="preserve">have not happen through </v>
          </cell>
        </row>
        <row r="33">
          <cell r="B33" t="str">
            <v>September 30, 1999</v>
          </cell>
        </row>
        <row r="34">
          <cell r="B34" t="str">
            <v>Common(1)</v>
          </cell>
          <cell r="D34">
            <v>230</v>
          </cell>
        </row>
        <row r="35">
          <cell r="B35" t="str">
            <v>MTN</v>
          </cell>
          <cell r="D35">
            <v>140</v>
          </cell>
        </row>
        <row r="36">
          <cell r="D36">
            <v>493.93999999999954</v>
          </cell>
          <cell r="E36" t="str">
            <v>Ana, I believe this should be the $496M we discussed on the phone.</v>
          </cell>
        </row>
        <row r="37">
          <cell r="E37" t="str">
            <v>Do you know what the difference is?</v>
          </cell>
        </row>
        <row r="39">
          <cell r="A39" t="str">
            <v>"(1)  represents estimate of additional shares to be repurchases due to merger other than the $750M.</v>
          </cell>
        </row>
        <row r="43">
          <cell r="A43" t="str">
            <v>PER INFORMATION ABOVE</v>
          </cell>
        </row>
        <row r="44">
          <cell r="A44" t="str">
            <v>Income Statement Impact</v>
          </cell>
          <cell r="D44" t="str">
            <v>Int Exp/Inc</v>
          </cell>
          <cell r="F44" t="str">
            <v>Fees</v>
          </cell>
          <cell r="H44" t="str">
            <v>Total</v>
          </cell>
        </row>
        <row r="45">
          <cell r="A45" t="str">
            <v>Fees and Premiums</v>
          </cell>
          <cell r="F45">
            <v>39.06</v>
          </cell>
          <cell r="H45">
            <v>39.06</v>
          </cell>
        </row>
        <row r="46">
          <cell r="A46" t="str">
            <v>Increased Interest Expense</v>
          </cell>
          <cell r="D46">
            <v>63.174200000000013</v>
          </cell>
          <cell r="H46">
            <v>63.174200000000013</v>
          </cell>
        </row>
        <row r="47">
          <cell r="A47" t="str">
            <v>Increase Interest Income</v>
          </cell>
          <cell r="D47">
            <v>5.5772999999999717</v>
          </cell>
          <cell r="H47">
            <v>5.5772999999999717</v>
          </cell>
        </row>
        <row r="48">
          <cell r="A48" t="str">
            <v>Change to Taxable Income</v>
          </cell>
          <cell r="D48">
            <v>-57.596900000000041</v>
          </cell>
          <cell r="F48">
            <v>-39.06</v>
          </cell>
          <cell r="H48">
            <v>-96.656900000000036</v>
          </cell>
        </row>
        <row r="49">
          <cell r="A49" t="str">
            <v>Change to income taxes(fed)</v>
          </cell>
          <cell r="D49">
            <v>18.742031260000015</v>
          </cell>
          <cell r="E49">
            <v>0.32540000000000002</v>
          </cell>
          <cell r="F49">
            <v>12.710124000000002</v>
          </cell>
          <cell r="H49">
            <v>31.452155260000019</v>
          </cell>
        </row>
        <row r="50">
          <cell r="A50" t="str">
            <v>Change to income taxes(State)</v>
          </cell>
          <cell r="D50">
            <v>4.0433023800000027</v>
          </cell>
          <cell r="E50">
            <v>7.0199999999999999E-2</v>
          </cell>
          <cell r="F50">
            <v>2.7420119999999999</v>
          </cell>
          <cell r="H50">
            <v>6.7853143800000026</v>
          </cell>
        </row>
        <row r="51">
          <cell r="A51" t="str">
            <v>Incr/(decr) to income</v>
          </cell>
          <cell r="D51">
            <v>-34.811566360000029</v>
          </cell>
          <cell r="F51">
            <v>-23.607864000000003</v>
          </cell>
          <cell r="H51">
            <v>-58.419430360000035</v>
          </cell>
        </row>
        <row r="52">
          <cell r="A52" t="str">
            <v>Decrease Pref Div</v>
          </cell>
          <cell r="D52">
            <v>50.29</v>
          </cell>
          <cell r="F52">
            <v>-8.1999999999999993</v>
          </cell>
          <cell r="H52">
            <v>42.09</v>
          </cell>
        </row>
        <row r="53">
          <cell r="A53" t="str">
            <v xml:space="preserve">Incr/(decr) to inc to common </v>
          </cell>
          <cell r="D53">
            <v>15.47843363999997</v>
          </cell>
          <cell r="H53">
            <v>-16.329430360000032</v>
          </cell>
        </row>
        <row r="55">
          <cell r="A55" t="str">
            <v xml:space="preserve">USE FOR PRESENTATION PURPOSES </v>
          </cell>
        </row>
        <row r="56">
          <cell r="A56" t="str">
            <v>Income Statement Impact</v>
          </cell>
          <cell r="D56" t="str">
            <v>Int Exp/Inc</v>
          </cell>
          <cell r="F56" t="str">
            <v>Fees</v>
          </cell>
          <cell r="H56" t="str">
            <v>Total</v>
          </cell>
        </row>
        <row r="57">
          <cell r="A57" t="str">
            <v>Fees and Premiums</v>
          </cell>
          <cell r="F57">
            <v>45.6</v>
          </cell>
          <cell r="G57" t="str">
            <v>(1)</v>
          </cell>
          <cell r="H57">
            <v>45.6</v>
          </cell>
          <cell r="J57" t="str">
            <v>(1)  use per trial balance extraordinary item, for FERc reporting use account 426</v>
          </cell>
        </row>
        <row r="58">
          <cell r="A58" t="str">
            <v>Increased Interest Expense</v>
          </cell>
          <cell r="D58">
            <v>63.174200000000013</v>
          </cell>
          <cell r="H58">
            <v>63.174200000000013</v>
          </cell>
        </row>
        <row r="59">
          <cell r="A59" t="str">
            <v>Increase Interest Income</v>
          </cell>
          <cell r="D59">
            <v>5.5772999999999717</v>
          </cell>
          <cell r="H59">
            <v>5.5772999999999717</v>
          </cell>
          <cell r="J59" t="str">
            <v>Note: the format for FERC Form 1 reporting does not include provision</v>
          </cell>
        </row>
        <row r="60">
          <cell r="A60" t="str">
            <v>Change to Taxable Income</v>
          </cell>
          <cell r="D60">
            <v>-57.596900000000041</v>
          </cell>
          <cell r="F60">
            <v>-45.6</v>
          </cell>
          <cell r="H60">
            <v>-103.19690000000004</v>
          </cell>
          <cell r="J60" t="str">
            <v>for pref dividends.  Any item affecting the provision is not reflected</v>
          </cell>
        </row>
        <row r="61">
          <cell r="A61" t="str">
            <v>Change to income taxes(fed)</v>
          </cell>
          <cell r="D61">
            <v>18.742031260000015</v>
          </cell>
          <cell r="E61">
            <v>0.32540000000000002</v>
          </cell>
          <cell r="F61">
            <v>14.838240000000001</v>
          </cell>
          <cell r="H61">
            <v>33.580271260000018</v>
          </cell>
          <cell r="J61" t="str">
            <v>in the incomestatement for this filing.</v>
          </cell>
        </row>
        <row r="62">
          <cell r="A62" t="str">
            <v>Change to income taxes(State)</v>
          </cell>
          <cell r="D62">
            <v>4.0433023800000027</v>
          </cell>
          <cell r="E62">
            <v>7.0199999999999999E-2</v>
          </cell>
          <cell r="F62">
            <v>3.20112</v>
          </cell>
          <cell r="H62">
            <v>7.2444223800000032</v>
          </cell>
        </row>
        <row r="63">
          <cell r="A63" t="str">
            <v>Incr/(decr) to income</v>
          </cell>
          <cell r="D63">
            <v>-34.811566360000029</v>
          </cell>
          <cell r="F63">
            <v>-27.560640000000003</v>
          </cell>
          <cell r="H63">
            <v>-62.372206360000035</v>
          </cell>
        </row>
        <row r="64">
          <cell r="A64" t="str">
            <v>Decrease Pref Div</v>
          </cell>
          <cell r="D64">
            <v>50.29</v>
          </cell>
          <cell r="F64">
            <v>-12.3</v>
          </cell>
          <cell r="G64" t="str">
            <v>(2)</v>
          </cell>
          <cell r="H64">
            <v>37.989999999999995</v>
          </cell>
          <cell r="J64" t="str">
            <v>(2)  per Trial balance account 216051</v>
          </cell>
        </row>
        <row r="65">
          <cell r="A65" t="str">
            <v xml:space="preserve">Incr/(decr) to inc to common </v>
          </cell>
          <cell r="D65">
            <v>15.47843363999997</v>
          </cell>
          <cell r="H65">
            <v>-24.38220636000004</v>
          </cell>
        </row>
        <row r="68">
          <cell r="D68" t="str">
            <v>Total from above</v>
          </cell>
          <cell r="H68" t="str">
            <v>Actually Used in 1998</v>
          </cell>
          <cell r="L68" t="str">
            <v>Proceeds used after 1998</v>
          </cell>
          <cell r="O68" t="str">
            <v>Use these #'s for presentation purposes</v>
          </cell>
        </row>
        <row r="69">
          <cell r="C69" t="str">
            <v>Principal</v>
          </cell>
          <cell r="D69" t="str">
            <v>Fees</v>
          </cell>
          <cell r="E69" t="str">
            <v>Total</v>
          </cell>
          <cell r="G69" t="str">
            <v>Principal</v>
          </cell>
          <cell r="H69" t="str">
            <v>Fees</v>
          </cell>
          <cell r="I69" t="str">
            <v>Total</v>
          </cell>
          <cell r="K69" t="str">
            <v>Principal</v>
          </cell>
          <cell r="L69" t="str">
            <v>Fees</v>
          </cell>
          <cell r="M69" t="str">
            <v>Total</v>
          </cell>
          <cell r="O69" t="str">
            <v>Principal</v>
          </cell>
          <cell r="Q69" t="str">
            <v>Fees</v>
          </cell>
          <cell r="R69" t="str">
            <v>Total</v>
          </cell>
        </row>
        <row r="70">
          <cell r="A70" t="str">
            <v>CP</v>
          </cell>
          <cell r="C70">
            <v>-500</v>
          </cell>
          <cell r="D70">
            <v>0</v>
          </cell>
          <cell r="E70">
            <v>-500</v>
          </cell>
          <cell r="G70">
            <v>-332</v>
          </cell>
          <cell r="I70">
            <v>-332</v>
          </cell>
          <cell r="K70">
            <v>-168</v>
          </cell>
          <cell r="L70">
            <v>0</v>
          </cell>
          <cell r="M70">
            <v>-168</v>
          </cell>
          <cell r="O70">
            <v>-168</v>
          </cell>
          <cell r="Q70">
            <v>0</v>
          </cell>
          <cell r="R70">
            <v>-168</v>
          </cell>
        </row>
        <row r="71">
          <cell r="A71" t="str">
            <v>Common</v>
          </cell>
          <cell r="C71">
            <v>-918.7</v>
          </cell>
          <cell r="D71">
            <v>0</v>
          </cell>
          <cell r="E71">
            <v>-918.7</v>
          </cell>
          <cell r="G71">
            <v>0</v>
          </cell>
          <cell r="H71">
            <v>0</v>
          </cell>
          <cell r="I71">
            <v>0</v>
          </cell>
          <cell r="K71">
            <v>-918.7</v>
          </cell>
          <cell r="L71">
            <v>0</v>
          </cell>
          <cell r="M71">
            <v>-918.7</v>
          </cell>
          <cell r="O71">
            <v>-1020.973024</v>
          </cell>
          <cell r="P71" t="str">
            <v xml:space="preserve">(3)  </v>
          </cell>
          <cell r="Q71">
            <v>0</v>
          </cell>
          <cell r="R71">
            <v>-1021</v>
          </cell>
        </row>
        <row r="72">
          <cell r="A72" t="str">
            <v>LTD</v>
          </cell>
          <cell r="C72">
            <v>-1160.9000000000001</v>
          </cell>
          <cell r="D72">
            <v>-39.06</v>
          </cell>
          <cell r="E72">
            <v>-1199.96</v>
          </cell>
          <cell r="G72">
            <v>0</v>
          </cell>
          <cell r="I72">
            <v>0</v>
          </cell>
          <cell r="K72">
            <v>-1160.9000000000001</v>
          </cell>
          <cell r="L72">
            <v>-39.06</v>
          </cell>
          <cell r="M72">
            <v>-1199.96</v>
          </cell>
          <cell r="O72">
            <v>-1160.9000000000001</v>
          </cell>
          <cell r="Q72">
            <v>-45.6</v>
          </cell>
          <cell r="R72">
            <v>-1206.5</v>
          </cell>
        </row>
        <row r="73">
          <cell r="A73" t="str">
            <v>Pref</v>
          </cell>
          <cell r="C73">
            <v>-609.20000000000005</v>
          </cell>
          <cell r="D73">
            <v>-8.1999999999999993</v>
          </cell>
          <cell r="E73">
            <v>-617.40000000000009</v>
          </cell>
          <cell r="G73">
            <v>0</v>
          </cell>
          <cell r="H73">
            <v>0</v>
          </cell>
          <cell r="I73">
            <v>0</v>
          </cell>
          <cell r="K73">
            <v>-609.20000000000005</v>
          </cell>
          <cell r="L73">
            <v>-8.1999999999999993</v>
          </cell>
          <cell r="M73">
            <v>-617.40000000000009</v>
          </cell>
          <cell r="O73">
            <v>-609.20000000000005</v>
          </cell>
          <cell r="Q73">
            <v>12.3</v>
          </cell>
          <cell r="R73">
            <v>-596.9</v>
          </cell>
        </row>
        <row r="74">
          <cell r="C74">
            <v>-3188.8</v>
          </cell>
          <cell r="D74">
            <v>-47.260000000000005</v>
          </cell>
          <cell r="E74">
            <v>-3236.06</v>
          </cell>
          <cell r="G74">
            <v>-332</v>
          </cell>
          <cell r="H74">
            <v>0</v>
          </cell>
          <cell r="I74">
            <v>-332</v>
          </cell>
          <cell r="K74">
            <v>-2856.8</v>
          </cell>
          <cell r="L74">
            <v>-47.260000000000005</v>
          </cell>
          <cell r="M74">
            <v>-2904.06</v>
          </cell>
          <cell r="O74">
            <v>-2959.0730240000003</v>
          </cell>
          <cell r="Q74">
            <v>-33.299999999999997</v>
          </cell>
          <cell r="R74">
            <v>-2992.4</v>
          </cell>
        </row>
        <row r="75">
          <cell r="A75" t="str">
            <v>Other uses</v>
          </cell>
        </row>
        <row r="76">
          <cell r="A76" t="str">
            <v>Initail Fees</v>
          </cell>
          <cell r="E76">
            <v>-40</v>
          </cell>
          <cell r="I76">
            <v>-40</v>
          </cell>
          <cell r="M76">
            <v>0</v>
          </cell>
          <cell r="O76">
            <v>0</v>
          </cell>
          <cell r="R76">
            <v>0</v>
          </cell>
        </row>
        <row r="77">
          <cell r="E77">
            <v>-3276.06</v>
          </cell>
          <cell r="I77">
            <v>-372</v>
          </cell>
          <cell r="M77">
            <v>-2904.06</v>
          </cell>
          <cell r="O77">
            <v>-2959.0730240000003</v>
          </cell>
          <cell r="R77">
            <v>-2992.4</v>
          </cell>
        </row>
        <row r="78">
          <cell r="A78" t="str">
            <v>Initail Proceeds</v>
          </cell>
          <cell r="E78">
            <v>3400</v>
          </cell>
        </row>
        <row r="79">
          <cell r="A79" t="str">
            <v>Remaining proceeds</v>
          </cell>
          <cell r="E79">
            <v>123.94000000000005</v>
          </cell>
        </row>
        <row r="81">
          <cell r="O81" t="str">
            <v>(3)    See UCM Share Repurchase tab.    This is</v>
          </cell>
        </row>
        <row r="82">
          <cell r="A82" t="str">
            <v>F:\STAFF\jdm\KMH\Merge\FERC Filing\[FERC stmts2.XLS]TFI use</v>
          </cell>
          <cell r="O82" t="str">
            <v xml:space="preserve">         the same amount that was use in the 8-K </v>
          </cell>
        </row>
        <row r="83">
          <cell r="O83" t="str">
            <v xml:space="preserve">          filing for the merger.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_Req"/>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Form 1 and 56060 Checks"/>
      <sheetName val="2017 ADIT EOY"/>
      <sheetName val="ADIT BOY"/>
      <sheetName val="ADIT EOY 2018"/>
      <sheetName val="Report 257 LOB"/>
      <sheetName val="ADIT- Forecast"/>
      <sheetName val="Forecast 282 Support"/>
      <sheetName val="Forecast All"/>
      <sheetName val="56060 - 190"/>
      <sheetName val="56060 - 283"/>
      <sheetName val="56060 LOB"/>
      <sheetName val="56060 Total"/>
      <sheetName val="282 Support 56060_Prov 2018"/>
      <sheetName val="Other Current Reg Asset"/>
    </sheetNames>
    <sheetDataSet>
      <sheetData sheetId="0"/>
      <sheetData sheetId="1"/>
      <sheetData sheetId="2"/>
      <sheetData sheetId="3">
        <row r="24">
          <cell r="B24" t="str">
            <v>ACCRUED BENEFITS</v>
          </cell>
        </row>
        <row r="113">
          <cell r="B113" t="str">
            <v>Less FASB 109 Above if not separately removed</v>
          </cell>
        </row>
        <row r="114">
          <cell r="B114" t="str">
            <v>Less FASB 109 - TCJA</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 H-7"/>
      <sheetName val="1-Project Rev Req"/>
      <sheetName val="2-Incentive ROE"/>
      <sheetName val="3-Project True-up"/>
      <sheetName val="4- Rate Base"/>
      <sheetName val="4A - ADIT Summary"/>
      <sheetName val="4B - ADIT BOY"/>
      <sheetName val="4C - ADIT EOY"/>
      <sheetName val="4D - Intangible Pnt"/>
      <sheetName val="4E COA"/>
      <sheetName val="5-P3 Support"/>
      <sheetName val="5A - Revenue Credits"/>
      <sheetName val="5B - A&amp;G"/>
      <sheetName val="6-True-Up Interest"/>
      <sheetName val="7 - PBOP"/>
      <sheetName val="8 - Depreciation Rates"/>
    </sheetNames>
    <sheetDataSet>
      <sheetData sheetId="0">
        <row r="171">
          <cell r="D171" t="str">
            <v>PECO Energy Company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
  <sheetViews>
    <sheetView view="pageBreakPreview" zoomScaleNormal="100" zoomScaleSheetLayoutView="100" workbookViewId="0"/>
  </sheetViews>
  <sheetFormatPr defaultRowHeight="15"/>
  <sheetData>
    <row r="1" spans="1:4" ht="21">
      <c r="A1" s="860" t="s">
        <v>1305</v>
      </c>
    </row>
    <row r="2" spans="1:4" ht="21">
      <c r="A2" s="860" t="s">
        <v>1306</v>
      </c>
    </row>
    <row r="4" spans="1:4">
      <c r="D4" s="861" t="s">
        <v>1307</v>
      </c>
    </row>
    <row r="5" spans="1:4">
      <c r="D5" s="861" t="s">
        <v>1308</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107"/>
  <sheetViews>
    <sheetView zoomScale="50" zoomScaleNormal="50" workbookViewId="0"/>
  </sheetViews>
  <sheetFormatPr defaultColWidth="8.90625" defaultRowHeight="13.8"/>
  <cols>
    <col min="1" max="1" width="4.81640625" style="593" customWidth="1"/>
    <col min="2" max="2" width="45.6328125" style="593" customWidth="1"/>
    <col min="3" max="3" width="17.6328125" style="593" bestFit="1" customWidth="1"/>
    <col min="4" max="5" width="11.1796875" style="593" customWidth="1"/>
    <col min="6" max="6" width="15.08984375" style="593" customWidth="1"/>
    <col min="7" max="15" width="11.1796875" style="593" bestFit="1" customWidth="1"/>
    <col min="16" max="16" width="12.1796875" style="593" customWidth="1"/>
    <col min="17" max="17" width="10.453125" style="593" bestFit="1" customWidth="1"/>
    <col min="18" max="18" width="10.81640625" style="593" bestFit="1" customWidth="1"/>
    <col min="19" max="19" width="13.453125" style="593" bestFit="1" customWidth="1"/>
    <col min="20" max="20" width="12" style="593" bestFit="1" customWidth="1"/>
    <col min="21" max="16384" width="8.90625" style="593"/>
  </cols>
  <sheetData>
    <row r="1" spans="1:20">
      <c r="B1" s="1028" t="str">
        <f>+'Attachment H-7'!D171</f>
        <v>PECO Energy Company</v>
      </c>
      <c r="C1" s="1028"/>
      <c r="D1" s="1028"/>
      <c r="E1" s="1028"/>
      <c r="F1" s="1028"/>
      <c r="G1" s="1028"/>
    </row>
    <row r="2" spans="1:20">
      <c r="B2" s="1030"/>
      <c r="C2" s="1030"/>
      <c r="D2" s="1030"/>
      <c r="E2" s="1030"/>
      <c r="F2" s="1030"/>
      <c r="G2" s="1030"/>
      <c r="H2" s="1030"/>
      <c r="T2" s="593" t="s">
        <v>457</v>
      </c>
    </row>
    <row r="3" spans="1:20">
      <c r="B3" s="1029" t="s">
        <v>692</v>
      </c>
      <c r="C3" s="1029"/>
      <c r="D3" s="1029"/>
      <c r="E3" s="1029"/>
      <c r="F3" s="1029"/>
      <c r="G3" s="1029"/>
    </row>
    <row r="4" spans="1:20">
      <c r="A4" s="754"/>
      <c r="B4" s="754"/>
    </row>
    <row r="5" spans="1:20">
      <c r="B5" s="594" t="s">
        <v>732</v>
      </c>
      <c r="C5" s="594"/>
      <c r="D5" s="594"/>
      <c r="E5" s="594"/>
      <c r="F5" s="594"/>
      <c r="G5" s="594"/>
    </row>
    <row r="6" spans="1:20">
      <c r="B6" s="589" t="s">
        <v>205</v>
      </c>
      <c r="C6" s="589" t="s">
        <v>206</v>
      </c>
      <c r="D6" s="589" t="s">
        <v>207</v>
      </c>
      <c r="E6" s="589" t="s">
        <v>208</v>
      </c>
      <c r="F6" s="589" t="s">
        <v>210</v>
      </c>
      <c r="G6" s="589" t="s">
        <v>209</v>
      </c>
      <c r="H6" s="589" t="s">
        <v>211</v>
      </c>
      <c r="I6" s="589" t="s">
        <v>212</v>
      </c>
      <c r="J6" s="589" t="s">
        <v>213</v>
      </c>
      <c r="K6" s="589" t="s">
        <v>255</v>
      </c>
      <c r="L6" s="589" t="s">
        <v>259</v>
      </c>
      <c r="M6" s="589" t="s">
        <v>492</v>
      </c>
      <c r="N6" s="589" t="s">
        <v>865</v>
      </c>
      <c r="O6" s="589" t="s">
        <v>866</v>
      </c>
      <c r="P6" s="589" t="s">
        <v>867</v>
      </c>
      <c r="Q6" s="589" t="s">
        <v>868</v>
      </c>
      <c r="R6" s="589" t="s">
        <v>869</v>
      </c>
      <c r="S6" s="589" t="s">
        <v>870</v>
      </c>
      <c r="T6" s="589" t="s">
        <v>873</v>
      </c>
    </row>
    <row r="7" spans="1:20">
      <c r="B7" s="591" t="s">
        <v>860</v>
      </c>
      <c r="C7" s="595" t="s">
        <v>202</v>
      </c>
      <c r="D7" s="589" t="s">
        <v>88</v>
      </c>
      <c r="E7" s="589" t="s">
        <v>87</v>
      </c>
      <c r="F7" s="589" t="s">
        <v>86</v>
      </c>
      <c r="G7" s="589" t="s">
        <v>78</v>
      </c>
      <c r="H7" s="589" t="s">
        <v>77</v>
      </c>
      <c r="I7" s="589" t="s">
        <v>97</v>
      </c>
      <c r="J7" s="589" t="s">
        <v>85</v>
      </c>
      <c r="K7" s="589" t="s">
        <v>84</v>
      </c>
      <c r="L7" s="589" t="s">
        <v>83</v>
      </c>
      <c r="M7" s="589" t="s">
        <v>89</v>
      </c>
      <c r="N7" s="589" t="s">
        <v>82</v>
      </c>
      <c r="O7" s="589" t="s">
        <v>81</v>
      </c>
      <c r="P7" s="589" t="s">
        <v>520</v>
      </c>
      <c r="Q7" s="593" t="s">
        <v>17</v>
      </c>
      <c r="R7" s="593" t="s">
        <v>864</v>
      </c>
      <c r="S7" s="593" t="s">
        <v>733</v>
      </c>
      <c r="T7" s="601" t="s">
        <v>13</v>
      </c>
    </row>
    <row r="8" spans="1:20">
      <c r="B8" s="591"/>
      <c r="C8" s="595"/>
      <c r="D8" s="589"/>
      <c r="E8" s="589"/>
      <c r="F8" s="589"/>
      <c r="G8" s="589"/>
      <c r="H8" s="589"/>
      <c r="I8" s="589"/>
      <c r="J8" s="589"/>
      <c r="K8" s="589"/>
      <c r="L8" s="589"/>
      <c r="M8" s="589"/>
      <c r="N8" s="589"/>
      <c r="O8" s="589"/>
      <c r="P8" s="602" t="s">
        <v>874</v>
      </c>
      <c r="T8" s="603" t="s">
        <v>1282</v>
      </c>
    </row>
    <row r="9" spans="1:20">
      <c r="A9" s="596">
        <v>1</v>
      </c>
      <c r="B9" s="945" t="s">
        <v>863</v>
      </c>
      <c r="C9" s="946">
        <v>14332649.539999999</v>
      </c>
      <c r="D9" s="946">
        <v>14136583.069999998</v>
      </c>
      <c r="E9" s="946">
        <v>14801489.879999999</v>
      </c>
      <c r="F9" s="946">
        <v>14869821.17</v>
      </c>
      <c r="G9" s="946">
        <v>14943857.58</v>
      </c>
      <c r="H9" s="946">
        <v>14970483.68</v>
      </c>
      <c r="I9" s="946">
        <v>14978733.039999999</v>
      </c>
      <c r="J9" s="946">
        <v>20578022.240000002</v>
      </c>
      <c r="K9" s="946">
        <v>15197537.01</v>
      </c>
      <c r="L9" s="946">
        <v>15262142.409999998</v>
      </c>
      <c r="M9" s="946">
        <v>15660304.959999999</v>
      </c>
      <c r="N9" s="946">
        <v>17439742.640000001</v>
      </c>
      <c r="O9" s="946">
        <v>18519044.990000002</v>
      </c>
      <c r="P9" s="597">
        <f>AVERAGE(C9:O9)</f>
        <v>15822339.40076923</v>
      </c>
      <c r="Q9" s="597"/>
      <c r="R9" s="597"/>
      <c r="S9" s="597">
        <f>P9</f>
        <v>15822339.40076923</v>
      </c>
      <c r="T9" s="597">
        <f>SUM(Q9:S9)</f>
        <v>15822339.40076923</v>
      </c>
    </row>
    <row r="10" spans="1:20">
      <c r="A10" s="596">
        <f>A9+1</f>
        <v>2</v>
      </c>
      <c r="B10" s="945" t="s">
        <v>861</v>
      </c>
      <c r="C10" s="947">
        <v>11298010.720000001</v>
      </c>
      <c r="D10" s="947">
        <v>11294488.75</v>
      </c>
      <c r="E10" s="947">
        <v>11289319.82</v>
      </c>
      <c r="F10" s="947">
        <v>11296201.620000001</v>
      </c>
      <c r="G10" s="947">
        <v>11536479.870000001</v>
      </c>
      <c r="H10" s="947">
        <v>11542795.18</v>
      </c>
      <c r="I10" s="947">
        <v>11558968.669999998</v>
      </c>
      <c r="J10" s="947">
        <v>11561526.949999999</v>
      </c>
      <c r="K10" s="947">
        <v>11578318.039999999</v>
      </c>
      <c r="L10" s="947">
        <v>11588653.42</v>
      </c>
      <c r="M10" s="947">
        <v>11593636.82</v>
      </c>
      <c r="N10" s="947">
        <v>11596262.390000001</v>
      </c>
      <c r="O10" s="947">
        <v>11596262.390000001</v>
      </c>
      <c r="P10" s="597">
        <f t="shared" ref="P10:P16" si="0">AVERAGE(C10:O10)</f>
        <v>11486994.203076921</v>
      </c>
      <c r="Q10" s="597">
        <f>P10</f>
        <v>11486994.203076921</v>
      </c>
      <c r="R10" s="597"/>
      <c r="S10" s="597"/>
      <c r="T10" s="597">
        <f t="shared" ref="T10:T27" si="1">SUM(Q10:S10)</f>
        <v>11486994.203076921</v>
      </c>
    </row>
    <row r="11" spans="1:20">
      <c r="A11" s="596">
        <f t="shared" ref="A11:A29" si="2">A10+1</f>
        <v>3</v>
      </c>
      <c r="B11" s="945" t="s">
        <v>862</v>
      </c>
      <c r="C11" s="947">
        <v>2042316.52</v>
      </c>
      <c r="D11" s="947">
        <v>2051798.1900000002</v>
      </c>
      <c r="E11" s="947">
        <v>2046629.25</v>
      </c>
      <c r="F11" s="947">
        <v>2053511.04</v>
      </c>
      <c r="G11" s="947">
        <v>2083100.78</v>
      </c>
      <c r="H11" s="947">
        <v>2086542.6700000002</v>
      </c>
      <c r="I11" s="947">
        <v>2249188.91</v>
      </c>
      <c r="J11" s="947">
        <v>2274330.9500000002</v>
      </c>
      <c r="K11" s="947">
        <v>2299649.64</v>
      </c>
      <c r="L11" s="947">
        <v>2321298.35</v>
      </c>
      <c r="M11" s="947">
        <v>2329656.1</v>
      </c>
      <c r="N11" s="947">
        <v>2369414.71</v>
      </c>
      <c r="O11" s="947">
        <v>2369414.71</v>
      </c>
      <c r="P11" s="597">
        <f t="shared" si="0"/>
        <v>2198219.3707692311</v>
      </c>
      <c r="Q11" s="597"/>
      <c r="R11" s="597">
        <f>P11</f>
        <v>2198219.3707692311</v>
      </c>
      <c r="S11" s="597"/>
      <c r="T11" s="597">
        <f t="shared" si="1"/>
        <v>2198219.3707692311</v>
      </c>
    </row>
    <row r="12" spans="1:20">
      <c r="A12" s="596">
        <f t="shared" si="2"/>
        <v>4</v>
      </c>
      <c r="B12" s="945" t="s">
        <v>875</v>
      </c>
      <c r="C12" s="947">
        <v>2231384.04</v>
      </c>
      <c r="D12" s="947">
        <v>2231384.04</v>
      </c>
      <c r="E12" s="947">
        <v>2255382.83</v>
      </c>
      <c r="F12" s="947">
        <v>2262908.7000000002</v>
      </c>
      <c r="G12" s="947">
        <v>2231384.04</v>
      </c>
      <c r="H12" s="947">
        <v>2231384.04</v>
      </c>
      <c r="I12" s="947">
        <v>2231384.04</v>
      </c>
      <c r="J12" s="947">
        <v>2231384.04</v>
      </c>
      <c r="K12" s="947">
        <v>2231384.04</v>
      </c>
      <c r="L12" s="947">
        <v>2231384.04</v>
      </c>
      <c r="M12" s="947">
        <v>2231384.04</v>
      </c>
      <c r="N12" s="947">
        <v>2231384.04</v>
      </c>
      <c r="O12" s="947">
        <v>2872703</v>
      </c>
      <c r="P12" s="597">
        <f t="shared" si="0"/>
        <v>2284987.3023076919</v>
      </c>
      <c r="Q12" s="597"/>
      <c r="R12" s="597">
        <f>P12</f>
        <v>2284987.3023076919</v>
      </c>
      <c r="S12" s="597"/>
      <c r="T12" s="597">
        <f t="shared" si="1"/>
        <v>2284987.3023076919</v>
      </c>
    </row>
    <row r="13" spans="1:20">
      <c r="A13" s="596">
        <f t="shared" si="2"/>
        <v>5</v>
      </c>
      <c r="B13" s="945" t="s">
        <v>1228</v>
      </c>
      <c r="C13" s="947">
        <v>16094656</v>
      </c>
      <c r="D13" s="947">
        <v>16318757</v>
      </c>
      <c r="E13" s="947">
        <v>16318757</v>
      </c>
      <c r="F13" s="947">
        <v>16318757</v>
      </c>
      <c r="G13" s="947">
        <v>16318757</v>
      </c>
      <c r="H13" s="947">
        <v>16318757</v>
      </c>
      <c r="I13" s="947">
        <v>16318757</v>
      </c>
      <c r="J13" s="947">
        <v>16318757</v>
      </c>
      <c r="K13" s="947">
        <v>16318757</v>
      </c>
      <c r="L13" s="947">
        <v>16318757</v>
      </c>
      <c r="M13" s="947">
        <v>16318757</v>
      </c>
      <c r="N13" s="947">
        <v>16318757</v>
      </c>
      <c r="O13" s="947">
        <v>16318757</v>
      </c>
      <c r="P13" s="597">
        <f t="shared" si="0"/>
        <v>16301518.461538462</v>
      </c>
      <c r="Q13" s="597"/>
      <c r="R13" s="597">
        <f>P13</f>
        <v>16301518.461538462</v>
      </c>
      <c r="S13" s="597"/>
      <c r="T13" s="597">
        <f t="shared" si="1"/>
        <v>16301518.461538462</v>
      </c>
    </row>
    <row r="14" spans="1:20">
      <c r="A14" s="596">
        <f t="shared" si="2"/>
        <v>6</v>
      </c>
      <c r="B14" s="948" t="s">
        <v>907</v>
      </c>
      <c r="C14" s="947">
        <v>19638253.740000006</v>
      </c>
      <c r="D14" s="947">
        <v>19638253.740000006</v>
      </c>
      <c r="E14" s="947">
        <v>19638253.740000006</v>
      </c>
      <c r="F14" s="947">
        <v>19638253.740000006</v>
      </c>
      <c r="G14" s="947">
        <v>19638253.740000006</v>
      </c>
      <c r="H14" s="947">
        <v>19638253.740000006</v>
      </c>
      <c r="I14" s="947">
        <v>19638253.740000006</v>
      </c>
      <c r="J14" s="947">
        <v>19638253.740000006</v>
      </c>
      <c r="K14" s="947">
        <v>19638253.740000006</v>
      </c>
      <c r="L14" s="947">
        <v>19638253.740000006</v>
      </c>
      <c r="M14" s="947">
        <v>19638253.740000006</v>
      </c>
      <c r="N14" s="947">
        <v>19638253.740000006</v>
      </c>
      <c r="O14" s="947">
        <v>19607928.760000002</v>
      </c>
      <c r="P14" s="597">
        <f t="shared" si="0"/>
        <v>19635921.049230777</v>
      </c>
      <c r="Q14" s="597"/>
      <c r="R14" s="597">
        <f>P14</f>
        <v>19635921.049230777</v>
      </c>
      <c r="S14" s="597"/>
      <c r="T14" s="597">
        <f t="shared" si="1"/>
        <v>19635921.049230777</v>
      </c>
    </row>
    <row r="15" spans="1:20">
      <c r="A15" s="596">
        <f t="shared" si="2"/>
        <v>7</v>
      </c>
      <c r="B15" s="945" t="s">
        <v>876</v>
      </c>
      <c r="C15" s="947">
        <v>86110083.590000004</v>
      </c>
      <c r="D15" s="947">
        <v>86110083.590000004</v>
      </c>
      <c r="E15" s="947">
        <v>86110083.590000004</v>
      </c>
      <c r="F15" s="947">
        <v>86110083.590000004</v>
      </c>
      <c r="G15" s="947">
        <v>86110083.590000004</v>
      </c>
      <c r="H15" s="947">
        <v>86110083.590000004</v>
      </c>
      <c r="I15" s="947">
        <v>86110083.590000004</v>
      </c>
      <c r="J15" s="947">
        <v>86110083.590000004</v>
      </c>
      <c r="K15" s="947">
        <v>86110083.590000004</v>
      </c>
      <c r="L15" s="947">
        <v>86110083.590000004</v>
      </c>
      <c r="M15" s="947">
        <v>86110083.590000004</v>
      </c>
      <c r="N15" s="947">
        <v>86110083.590000004</v>
      </c>
      <c r="O15" s="947">
        <v>86110083.590000004</v>
      </c>
      <c r="P15" s="597">
        <f t="shared" si="0"/>
        <v>86110083.590000018</v>
      </c>
      <c r="Q15" s="597"/>
      <c r="R15" s="597">
        <f>P15</f>
        <v>86110083.590000018</v>
      </c>
      <c r="S15" s="597"/>
      <c r="T15" s="597">
        <f t="shared" si="1"/>
        <v>86110083.590000018</v>
      </c>
    </row>
    <row r="16" spans="1:20">
      <c r="A16" s="596">
        <f t="shared" si="2"/>
        <v>8</v>
      </c>
      <c r="B16" s="945" t="s">
        <v>1384</v>
      </c>
      <c r="C16" s="947">
        <v>0</v>
      </c>
      <c r="D16" s="947">
        <v>0</v>
      </c>
      <c r="E16" s="947">
        <v>0</v>
      </c>
      <c r="F16" s="947">
        <v>0</v>
      </c>
      <c r="G16" s="947">
        <v>0</v>
      </c>
      <c r="H16" s="947">
        <v>0</v>
      </c>
      <c r="I16" s="947">
        <v>0</v>
      </c>
      <c r="J16" s="947">
        <v>0</v>
      </c>
      <c r="K16" s="947">
        <v>5552297.3600000003</v>
      </c>
      <c r="L16" s="947">
        <v>5552297.3600000003</v>
      </c>
      <c r="M16" s="947">
        <v>5552297.3600000003</v>
      </c>
      <c r="N16" s="947">
        <v>5552297.3600000003</v>
      </c>
      <c r="O16" s="947">
        <v>5552297.3600000003</v>
      </c>
      <c r="P16" s="755">
        <f t="shared" si="0"/>
        <v>2135498.9846153846</v>
      </c>
      <c r="Q16" s="597">
        <f>P16</f>
        <v>2135498.9846153846</v>
      </c>
      <c r="R16" s="597"/>
      <c r="S16" s="597"/>
      <c r="T16" s="597">
        <f t="shared" si="1"/>
        <v>2135498.9846153846</v>
      </c>
    </row>
    <row r="17" spans="1:20">
      <c r="A17" s="596">
        <f t="shared" si="2"/>
        <v>9</v>
      </c>
      <c r="B17" s="949"/>
      <c r="C17" s="949"/>
      <c r="D17" s="949"/>
      <c r="E17" s="949"/>
      <c r="F17" s="949"/>
      <c r="G17" s="949"/>
      <c r="H17" s="949"/>
      <c r="I17" s="948"/>
      <c r="J17" s="948"/>
      <c r="K17" s="948"/>
      <c r="L17" s="948"/>
      <c r="M17" s="948"/>
      <c r="N17" s="948"/>
      <c r="O17" s="948"/>
      <c r="P17" s="597"/>
      <c r="Q17" s="597"/>
      <c r="R17" s="597"/>
      <c r="S17" s="597"/>
      <c r="T17" s="597">
        <f t="shared" si="1"/>
        <v>0</v>
      </c>
    </row>
    <row r="18" spans="1:20">
      <c r="A18" s="596">
        <f t="shared" si="2"/>
        <v>10</v>
      </c>
      <c r="B18" s="949"/>
      <c r="C18" s="949"/>
      <c r="D18" s="949"/>
      <c r="E18" s="949"/>
      <c r="F18" s="949"/>
      <c r="G18" s="949"/>
      <c r="H18" s="949"/>
      <c r="I18" s="948"/>
      <c r="J18" s="948"/>
      <c r="K18" s="948"/>
      <c r="L18" s="948"/>
      <c r="M18" s="948"/>
      <c r="N18" s="948"/>
      <c r="O18" s="948"/>
      <c r="P18" s="597"/>
      <c r="Q18" s="597"/>
      <c r="R18" s="597"/>
      <c r="S18" s="597"/>
      <c r="T18" s="597">
        <f t="shared" si="1"/>
        <v>0</v>
      </c>
    </row>
    <row r="19" spans="1:20">
      <c r="A19" s="596">
        <f t="shared" si="2"/>
        <v>11</v>
      </c>
      <c r="B19" s="949"/>
      <c r="C19" s="949"/>
      <c r="D19" s="949"/>
      <c r="E19" s="949"/>
      <c r="F19" s="949"/>
      <c r="G19" s="949"/>
      <c r="H19" s="949"/>
      <c r="I19" s="948"/>
      <c r="J19" s="948"/>
      <c r="K19" s="948"/>
      <c r="L19" s="948"/>
      <c r="M19" s="948"/>
      <c r="N19" s="948"/>
      <c r="O19" s="948"/>
      <c r="P19" s="597"/>
      <c r="Q19" s="597"/>
      <c r="R19" s="597"/>
      <c r="S19" s="597"/>
      <c r="T19" s="597">
        <f t="shared" si="1"/>
        <v>0</v>
      </c>
    </row>
    <row r="20" spans="1:20">
      <c r="A20" s="596">
        <f t="shared" si="2"/>
        <v>12</v>
      </c>
      <c r="B20" s="949"/>
      <c r="C20" s="949"/>
      <c r="D20" s="949"/>
      <c r="E20" s="949"/>
      <c r="F20" s="949"/>
      <c r="G20" s="949"/>
      <c r="H20" s="949"/>
      <c r="I20" s="948"/>
      <c r="J20" s="948"/>
      <c r="K20" s="948"/>
      <c r="L20" s="948"/>
      <c r="M20" s="948"/>
      <c r="N20" s="948"/>
      <c r="O20" s="948"/>
      <c r="P20" s="597"/>
      <c r="Q20" s="597"/>
      <c r="R20" s="597"/>
      <c r="S20" s="597"/>
      <c r="T20" s="597">
        <f t="shared" si="1"/>
        <v>0</v>
      </c>
    </row>
    <row r="21" spans="1:20">
      <c r="A21" s="596">
        <f t="shared" si="2"/>
        <v>13</v>
      </c>
      <c r="B21" s="949"/>
      <c r="C21" s="949"/>
      <c r="D21" s="949"/>
      <c r="E21" s="949"/>
      <c r="F21" s="949"/>
      <c r="G21" s="949"/>
      <c r="H21" s="949"/>
      <c r="I21" s="948"/>
      <c r="J21" s="948"/>
      <c r="K21" s="948"/>
      <c r="L21" s="948"/>
      <c r="M21" s="948"/>
      <c r="N21" s="948"/>
      <c r="O21" s="948"/>
      <c r="P21" s="597"/>
      <c r="Q21" s="597"/>
      <c r="R21" s="597"/>
      <c r="S21" s="597"/>
      <c r="T21" s="597">
        <f t="shared" si="1"/>
        <v>0</v>
      </c>
    </row>
    <row r="22" spans="1:20">
      <c r="A22" s="596">
        <f t="shared" si="2"/>
        <v>14</v>
      </c>
      <c r="B22" s="948"/>
      <c r="C22" s="948"/>
      <c r="D22" s="948"/>
      <c r="E22" s="948"/>
      <c r="F22" s="948"/>
      <c r="G22" s="948"/>
      <c r="H22" s="948"/>
      <c r="I22" s="948"/>
      <c r="J22" s="948"/>
      <c r="K22" s="948"/>
      <c r="L22" s="948"/>
      <c r="M22" s="948"/>
      <c r="N22" s="948"/>
      <c r="O22" s="948"/>
      <c r="Q22" s="597"/>
      <c r="R22" s="597"/>
      <c r="S22" s="597"/>
      <c r="T22" s="597">
        <f t="shared" si="1"/>
        <v>0</v>
      </c>
    </row>
    <row r="23" spans="1:20">
      <c r="A23" s="596">
        <f t="shared" si="2"/>
        <v>15</v>
      </c>
      <c r="B23" s="949"/>
      <c r="C23" s="949"/>
      <c r="D23" s="949"/>
      <c r="E23" s="949"/>
      <c r="F23" s="949"/>
      <c r="G23" s="949"/>
      <c r="H23" s="949"/>
      <c r="I23" s="948"/>
      <c r="J23" s="948"/>
      <c r="K23" s="948"/>
      <c r="L23" s="948"/>
      <c r="M23" s="948"/>
      <c r="N23" s="948"/>
      <c r="O23" s="948"/>
      <c r="Q23" s="597"/>
      <c r="R23" s="597"/>
      <c r="S23" s="597"/>
      <c r="T23" s="597">
        <f t="shared" si="1"/>
        <v>0</v>
      </c>
    </row>
    <row r="24" spans="1:20">
      <c r="A24" s="596">
        <f t="shared" si="2"/>
        <v>16</v>
      </c>
      <c r="B24" s="948"/>
      <c r="C24" s="948"/>
      <c r="D24" s="948"/>
      <c r="E24" s="948"/>
      <c r="F24" s="948"/>
      <c r="G24" s="948"/>
      <c r="H24" s="948"/>
      <c r="I24" s="948"/>
      <c r="J24" s="948"/>
      <c r="K24" s="948"/>
      <c r="L24" s="948"/>
      <c r="M24" s="948"/>
      <c r="N24" s="948"/>
      <c r="O24" s="948"/>
      <c r="Q24" s="597"/>
      <c r="R24" s="597"/>
      <c r="S24" s="597"/>
      <c r="T24" s="597">
        <f t="shared" si="1"/>
        <v>0</v>
      </c>
    </row>
    <row r="25" spans="1:20">
      <c r="A25" s="596">
        <f t="shared" si="2"/>
        <v>17</v>
      </c>
      <c r="B25" s="948"/>
      <c r="C25" s="948"/>
      <c r="D25" s="948"/>
      <c r="E25" s="948"/>
      <c r="F25" s="948"/>
      <c r="G25" s="948"/>
      <c r="H25" s="948"/>
      <c r="I25" s="948"/>
      <c r="J25" s="948"/>
      <c r="K25" s="948"/>
      <c r="L25" s="948"/>
      <c r="M25" s="948"/>
      <c r="N25" s="948"/>
      <c r="O25" s="948"/>
      <c r="Q25" s="597"/>
      <c r="R25" s="597"/>
      <c r="S25" s="597"/>
      <c r="T25" s="597">
        <f t="shared" si="1"/>
        <v>0</v>
      </c>
    </row>
    <row r="26" spans="1:20">
      <c r="A26" s="596">
        <f t="shared" si="2"/>
        <v>18</v>
      </c>
      <c r="B26" s="948"/>
      <c r="C26" s="948"/>
      <c r="D26" s="948"/>
      <c r="E26" s="948"/>
      <c r="F26" s="948"/>
      <c r="G26" s="948"/>
      <c r="H26" s="948"/>
      <c r="I26" s="948"/>
      <c r="J26" s="948"/>
      <c r="K26" s="948"/>
      <c r="L26" s="948"/>
      <c r="M26" s="948"/>
      <c r="N26" s="948"/>
      <c r="O26" s="948"/>
      <c r="Q26" s="597"/>
      <c r="R26" s="597"/>
      <c r="S26" s="597"/>
      <c r="T26" s="597">
        <f t="shared" si="1"/>
        <v>0</v>
      </c>
    </row>
    <row r="27" spans="1:20">
      <c r="A27" s="596">
        <f t="shared" si="2"/>
        <v>19</v>
      </c>
      <c r="B27" s="589" t="s">
        <v>13</v>
      </c>
      <c r="C27" s="597">
        <f>SUM(C9:C26)</f>
        <v>151747354.15000001</v>
      </c>
      <c r="D27" s="597">
        <f t="shared" ref="D27:O27" si="3">SUM(D9:D26)</f>
        <v>151781348.38</v>
      </c>
      <c r="E27" s="597">
        <f t="shared" si="3"/>
        <v>152459916.11000001</v>
      </c>
      <c r="F27" s="597">
        <f t="shared" si="3"/>
        <v>152549536.86000001</v>
      </c>
      <c r="G27" s="597">
        <f t="shared" si="3"/>
        <v>152861916.60000002</v>
      </c>
      <c r="H27" s="597">
        <f t="shared" si="3"/>
        <v>152898299.90000001</v>
      </c>
      <c r="I27" s="597">
        <f t="shared" si="3"/>
        <v>153085368.99000001</v>
      </c>
      <c r="J27" s="597">
        <f t="shared" si="3"/>
        <v>158712358.50999999</v>
      </c>
      <c r="K27" s="597">
        <f t="shared" si="3"/>
        <v>158926280.42000002</v>
      </c>
      <c r="L27" s="597">
        <f t="shared" si="3"/>
        <v>159022869.91000003</v>
      </c>
      <c r="M27" s="597">
        <f t="shared" si="3"/>
        <v>159434373.61000001</v>
      </c>
      <c r="N27" s="597">
        <f t="shared" si="3"/>
        <v>161256195.47000003</v>
      </c>
      <c r="O27" s="597">
        <f t="shared" si="3"/>
        <v>162946491.80000001</v>
      </c>
      <c r="P27" s="597">
        <f>AVERAGE(C27:O27)</f>
        <v>155975562.3623077</v>
      </c>
      <c r="Q27" s="597">
        <f>SUM(Q9:Q26)</f>
        <v>13622493.187692307</v>
      </c>
      <c r="R27" s="597">
        <f>SUM(R9:R26)</f>
        <v>126530729.77384618</v>
      </c>
      <c r="S27" s="597">
        <f>SUM(S9:S26)</f>
        <v>15822339.40076923</v>
      </c>
      <c r="T27" s="597">
        <f t="shared" si="1"/>
        <v>155975562.36230773</v>
      </c>
    </row>
    <row r="28" spans="1:20">
      <c r="A28" s="596">
        <f t="shared" si="2"/>
        <v>20</v>
      </c>
      <c r="B28" s="589"/>
      <c r="C28" s="597"/>
      <c r="D28" s="597"/>
      <c r="E28" s="597"/>
      <c r="F28" s="597"/>
      <c r="G28" s="597"/>
      <c r="H28" s="597"/>
      <c r="I28" s="597"/>
      <c r="J28" s="597"/>
      <c r="K28" s="597"/>
      <c r="L28" s="597"/>
      <c r="M28" s="597"/>
      <c r="N28" s="597"/>
      <c r="O28" s="597"/>
      <c r="P28" s="600" t="s">
        <v>747</v>
      </c>
      <c r="Q28" s="757">
        <v>1</v>
      </c>
      <c r="R28" s="757">
        <v>0</v>
      </c>
      <c r="S28" s="599">
        <f>'Attachment H-7'!I191</f>
        <v>9.880621410235467E-2</v>
      </c>
      <c r="T28" s="597"/>
    </row>
    <row r="29" spans="1:20">
      <c r="A29" s="596">
        <f t="shared" si="2"/>
        <v>21</v>
      </c>
      <c r="B29" s="589"/>
      <c r="C29" s="597"/>
      <c r="D29" s="597"/>
      <c r="E29" s="597"/>
      <c r="F29" s="597"/>
      <c r="G29" s="597"/>
      <c r="H29" s="597"/>
      <c r="I29" s="597"/>
      <c r="J29" s="597"/>
      <c r="K29" s="597"/>
      <c r="L29" s="597"/>
      <c r="M29" s="597"/>
      <c r="N29" s="597"/>
      <c r="O29" s="597"/>
      <c r="P29" s="600" t="s">
        <v>872</v>
      </c>
      <c r="Q29" s="597">
        <f>Q27*Q28</f>
        <v>13622493.187692307</v>
      </c>
      <c r="R29" s="597">
        <f t="shared" ref="R29:S29" si="4">R27*R28</f>
        <v>0</v>
      </c>
      <c r="S29" s="597">
        <f t="shared" si="4"/>
        <v>1563345.4544325266</v>
      </c>
      <c r="T29" s="597">
        <f>SUM(Q29:S29)</f>
        <v>15185838.642124834</v>
      </c>
    </row>
    <row r="30" spans="1:20">
      <c r="A30" s="596"/>
    </row>
    <row r="31" spans="1:20">
      <c r="B31" s="589" t="s">
        <v>205</v>
      </c>
      <c r="C31" s="589" t="s">
        <v>206</v>
      </c>
      <c r="D31" s="589" t="s">
        <v>207</v>
      </c>
      <c r="E31" s="589" t="s">
        <v>208</v>
      </c>
      <c r="F31" s="589" t="s">
        <v>210</v>
      </c>
      <c r="G31" s="589" t="s">
        <v>209</v>
      </c>
      <c r="H31" s="589" t="s">
        <v>211</v>
      </c>
      <c r="I31" s="589" t="s">
        <v>212</v>
      </c>
      <c r="J31" s="589" t="s">
        <v>213</v>
      </c>
      <c r="K31" s="589" t="s">
        <v>255</v>
      </c>
      <c r="L31" s="589" t="s">
        <v>259</v>
      </c>
      <c r="M31" s="589" t="s">
        <v>492</v>
      </c>
      <c r="N31" s="589" t="s">
        <v>865</v>
      </c>
      <c r="O31" s="589" t="s">
        <v>866</v>
      </c>
      <c r="P31" s="589" t="s">
        <v>867</v>
      </c>
      <c r="Q31" s="589" t="s">
        <v>868</v>
      </c>
      <c r="R31" s="589" t="s">
        <v>869</v>
      </c>
      <c r="S31" s="589" t="s">
        <v>870</v>
      </c>
      <c r="T31" s="589" t="s">
        <v>873</v>
      </c>
    </row>
    <row r="32" spans="1:20">
      <c r="B32" s="591" t="s">
        <v>215</v>
      </c>
      <c r="C32" s="595" t="s">
        <v>202</v>
      </c>
      <c r="D32" s="589" t="s">
        <v>88</v>
      </c>
      <c r="E32" s="589" t="s">
        <v>87</v>
      </c>
      <c r="F32" s="589" t="s">
        <v>86</v>
      </c>
      <c r="G32" s="589" t="s">
        <v>78</v>
      </c>
      <c r="H32" s="589" t="s">
        <v>77</v>
      </c>
      <c r="I32" s="589" t="s">
        <v>97</v>
      </c>
      <c r="J32" s="589" t="s">
        <v>85</v>
      </c>
      <c r="K32" s="589" t="s">
        <v>84</v>
      </c>
      <c r="L32" s="589" t="s">
        <v>83</v>
      </c>
      <c r="M32" s="589" t="s">
        <v>89</v>
      </c>
      <c r="N32" s="589" t="s">
        <v>82</v>
      </c>
      <c r="O32" s="589" t="s">
        <v>81</v>
      </c>
      <c r="P32" s="589" t="s">
        <v>520</v>
      </c>
      <c r="Q32" s="593" t="s">
        <v>17</v>
      </c>
      <c r="R32" s="593" t="s">
        <v>864</v>
      </c>
      <c r="S32" s="593" t="s">
        <v>733</v>
      </c>
      <c r="T32" s="601" t="s">
        <v>13</v>
      </c>
    </row>
    <row r="33" spans="1:20">
      <c r="B33" s="591"/>
      <c r="C33" s="595"/>
      <c r="D33" s="589"/>
      <c r="E33" s="589"/>
      <c r="F33" s="589"/>
      <c r="G33" s="589"/>
      <c r="H33" s="589"/>
      <c r="I33" s="589"/>
      <c r="J33" s="589"/>
      <c r="K33" s="589"/>
      <c r="L33" s="589"/>
      <c r="M33" s="589"/>
      <c r="N33" s="589"/>
      <c r="O33" s="589"/>
      <c r="P33" s="602" t="s">
        <v>874</v>
      </c>
      <c r="T33" s="603" t="s">
        <v>1282</v>
      </c>
    </row>
    <row r="34" spans="1:20">
      <c r="A34" s="596">
        <f>A29+1</f>
        <v>22</v>
      </c>
      <c r="B34" s="945" t="s">
        <v>863</v>
      </c>
      <c r="C34" s="946">
        <v>4923131.72</v>
      </c>
      <c r="D34" s="946">
        <v>5132602.78</v>
      </c>
      <c r="E34" s="946">
        <v>5345563.42</v>
      </c>
      <c r="F34" s="946">
        <v>5587710.25</v>
      </c>
      <c r="G34" s="946">
        <v>5807851.2300000004</v>
      </c>
      <c r="H34" s="946">
        <v>6028078.2300000004</v>
      </c>
      <c r="I34" s="946">
        <v>6248564.3099999996</v>
      </c>
      <c r="J34" s="946">
        <v>6510788.2999999998</v>
      </c>
      <c r="K34" s="946">
        <v>6774640.3499999996</v>
      </c>
      <c r="L34" s="946">
        <v>6998926.3099999996</v>
      </c>
      <c r="M34" s="946">
        <v>7226656.6500000004</v>
      </c>
      <c r="N34" s="946">
        <v>7470594.8700000001</v>
      </c>
      <c r="O34" s="946">
        <v>7733452.1500000004</v>
      </c>
      <c r="P34" s="597">
        <f>AVERAGE(C34:O34)</f>
        <v>6291427.7361538466</v>
      </c>
      <c r="Q34" s="597"/>
      <c r="R34" s="597"/>
      <c r="S34" s="597">
        <f>P34</f>
        <v>6291427.7361538466</v>
      </c>
      <c r="T34" s="597">
        <f>SUM(Q34:S34)</f>
        <v>6291427.7361538466</v>
      </c>
    </row>
    <row r="35" spans="1:20">
      <c r="A35" s="596">
        <f>A34+1</f>
        <v>23</v>
      </c>
      <c r="B35" s="945" t="s">
        <v>861</v>
      </c>
      <c r="C35" s="950">
        <v>4031407.5</v>
      </c>
      <c r="D35" s="950">
        <v>4219674.8100000005</v>
      </c>
      <c r="E35" s="950">
        <v>4407875.3099999996</v>
      </c>
      <c r="F35" s="950">
        <v>4596092.76</v>
      </c>
      <c r="G35" s="950">
        <v>4786379.6800000006</v>
      </c>
      <c r="H35" s="950">
        <v>4978742.5600000005</v>
      </c>
      <c r="I35" s="950">
        <v>5171299.0399999991</v>
      </c>
      <c r="J35" s="950">
        <v>5364010.5900000008</v>
      </c>
      <c r="K35" s="950">
        <v>5556885.2300000004</v>
      </c>
      <c r="L35" s="950">
        <v>5749989.1600000001</v>
      </c>
      <c r="M35" s="950">
        <v>5943229.370000001</v>
      </c>
      <c r="N35" s="950">
        <v>6136667.6699999999</v>
      </c>
      <c r="O35" s="950">
        <v>6329992.7299999995</v>
      </c>
      <c r="P35" s="597">
        <f t="shared" ref="P35:P39" si="5">AVERAGE(C35:O35)</f>
        <v>5174788.1853846163</v>
      </c>
      <c r="Q35" s="597">
        <f>P35</f>
        <v>5174788.1853846163</v>
      </c>
      <c r="R35" s="597"/>
      <c r="S35" s="597"/>
      <c r="T35" s="597">
        <f t="shared" ref="T35:T52" si="6">SUM(Q35:S35)</f>
        <v>5174788.1853846163</v>
      </c>
    </row>
    <row r="36" spans="1:20">
      <c r="A36" s="596">
        <f t="shared" ref="A36:A54" si="7">A35+1</f>
        <v>24</v>
      </c>
      <c r="B36" s="945" t="s">
        <v>862</v>
      </c>
      <c r="C36" s="950">
        <v>586794.72</v>
      </c>
      <c r="D36" s="950">
        <v>621372.6</v>
      </c>
      <c r="E36" s="950">
        <v>655996.71</v>
      </c>
      <c r="F36" s="950">
        <v>690637.81</v>
      </c>
      <c r="G36" s="950">
        <v>725598.71999999997</v>
      </c>
      <c r="H36" s="950">
        <v>760849.51</v>
      </c>
      <c r="I36" s="950">
        <v>797489.83000000007</v>
      </c>
      <c r="J36" s="950">
        <v>835695.47</v>
      </c>
      <c r="K36" s="950">
        <v>874332.35</v>
      </c>
      <c r="L36" s="950">
        <v>913377.17999999993</v>
      </c>
      <c r="M36" s="950">
        <v>952691.19</v>
      </c>
      <c r="N36" s="950">
        <v>992453.01</v>
      </c>
      <c r="O36" s="950">
        <v>1032560.5</v>
      </c>
      <c r="P36" s="597">
        <f t="shared" si="5"/>
        <v>803065.35384615371</v>
      </c>
      <c r="Q36" s="597"/>
      <c r="R36" s="597">
        <f>P36</f>
        <v>803065.35384615371</v>
      </c>
      <c r="S36" s="597"/>
      <c r="T36" s="597">
        <f t="shared" si="6"/>
        <v>803065.35384615371</v>
      </c>
    </row>
    <row r="37" spans="1:20">
      <c r="A37" s="596">
        <f t="shared" si="7"/>
        <v>25</v>
      </c>
      <c r="B37" s="945" t="s">
        <v>875</v>
      </c>
      <c r="C37" s="950">
        <v>1961800.6099999999</v>
      </c>
      <c r="D37" s="950">
        <v>1994878.51</v>
      </c>
      <c r="E37" s="950">
        <v>2028156.4100000001</v>
      </c>
      <c r="F37" s="950">
        <v>2061697.54</v>
      </c>
      <c r="G37" s="950">
        <v>2094112.24</v>
      </c>
      <c r="H37" s="950">
        <v>2126172.11</v>
      </c>
      <c r="I37" s="950">
        <v>2157213.91</v>
      </c>
      <c r="J37" s="950">
        <v>2188255.73</v>
      </c>
      <c r="K37" s="950">
        <v>2205310.38</v>
      </c>
      <c r="L37" s="950">
        <v>2208377.8600000003</v>
      </c>
      <c r="M37" s="950">
        <v>2211445.3600000003</v>
      </c>
      <c r="N37" s="950">
        <v>2214512.84</v>
      </c>
      <c r="O37" s="950">
        <v>2222924.67</v>
      </c>
      <c r="P37" s="597">
        <f t="shared" si="5"/>
        <v>2128835.2438461538</v>
      </c>
      <c r="Q37" s="597"/>
      <c r="R37" s="597">
        <f>P37</f>
        <v>2128835.2438461538</v>
      </c>
      <c r="S37" s="597"/>
      <c r="T37" s="597">
        <f t="shared" si="6"/>
        <v>2128835.2438461538</v>
      </c>
    </row>
    <row r="38" spans="1:20">
      <c r="A38" s="596">
        <f t="shared" si="7"/>
        <v>26</v>
      </c>
      <c r="B38" s="945" t="s">
        <v>1228</v>
      </c>
      <c r="C38" s="950">
        <v>1493219.8699999999</v>
      </c>
      <c r="D38" s="950">
        <v>1694774.48</v>
      </c>
      <c r="E38" s="950">
        <v>1897885.3499999999</v>
      </c>
      <c r="F38" s="950">
        <v>2100996.2200000002</v>
      </c>
      <c r="G38" s="950">
        <v>2304107.09</v>
      </c>
      <c r="H38" s="950">
        <v>2507217.96</v>
      </c>
      <c r="I38" s="950">
        <v>2710328.83</v>
      </c>
      <c r="J38" s="950">
        <v>2913439.7</v>
      </c>
      <c r="K38" s="950">
        <v>3116550.57</v>
      </c>
      <c r="L38" s="950">
        <v>3319661.44</v>
      </c>
      <c r="M38" s="950">
        <v>3522772.3100000005</v>
      </c>
      <c r="N38" s="950">
        <v>3725883.1799999997</v>
      </c>
      <c r="O38" s="950">
        <v>3928994.05</v>
      </c>
      <c r="P38" s="597">
        <f t="shared" si="5"/>
        <v>2710448.5423076921</v>
      </c>
      <c r="Q38" s="597"/>
      <c r="R38" s="597">
        <f>P38</f>
        <v>2710448.5423076921</v>
      </c>
      <c r="S38" s="597"/>
      <c r="T38" s="597">
        <f t="shared" si="6"/>
        <v>2710448.5423076921</v>
      </c>
    </row>
    <row r="39" spans="1:20">
      <c r="A39" s="596">
        <f t="shared" si="7"/>
        <v>27</v>
      </c>
      <c r="B39" s="945" t="s">
        <v>907</v>
      </c>
      <c r="C39" s="950">
        <v>15209325.700000001</v>
      </c>
      <c r="D39" s="950">
        <v>15346556.76</v>
      </c>
      <c r="E39" s="950">
        <v>15483787.819999998</v>
      </c>
      <c r="F39" s="950">
        <v>15621018.890000001</v>
      </c>
      <c r="G39" s="950">
        <v>15758249.949999999</v>
      </c>
      <c r="H39" s="950">
        <v>15895481.01</v>
      </c>
      <c r="I39" s="950">
        <v>16032712.060000001</v>
      </c>
      <c r="J39" s="950">
        <v>16169943.129999999</v>
      </c>
      <c r="K39" s="950">
        <v>16307174.190000001</v>
      </c>
      <c r="L39" s="950">
        <v>16444405.24</v>
      </c>
      <c r="M39" s="950">
        <v>16581636.299999999</v>
      </c>
      <c r="N39" s="950">
        <v>16718867.360000001</v>
      </c>
      <c r="O39" s="950">
        <v>16855601.300000001</v>
      </c>
      <c r="P39" s="597">
        <f t="shared" si="5"/>
        <v>16032673.82384616</v>
      </c>
      <c r="Q39" s="597"/>
      <c r="R39" s="597">
        <f>P39</f>
        <v>16032673.82384616</v>
      </c>
      <c r="S39" s="597"/>
      <c r="T39" s="597">
        <f t="shared" si="6"/>
        <v>16032673.82384616</v>
      </c>
    </row>
    <row r="40" spans="1:20">
      <c r="A40" s="596">
        <f t="shared" si="7"/>
        <v>28</v>
      </c>
      <c r="B40" s="945" t="s">
        <v>876</v>
      </c>
      <c r="C40" s="950">
        <v>65618582.220000014</v>
      </c>
      <c r="D40" s="950">
        <v>66529344.689999998</v>
      </c>
      <c r="E40" s="950">
        <v>67440107.239999995</v>
      </c>
      <c r="F40" s="950">
        <v>68155995.25</v>
      </c>
      <c r="G40" s="950">
        <v>68569769.879999995</v>
      </c>
      <c r="H40" s="950">
        <v>68983544.540000007</v>
      </c>
      <c r="I40" s="950">
        <v>69397319.180000007</v>
      </c>
      <c r="J40" s="950">
        <v>69811093.870000005</v>
      </c>
      <c r="K40" s="950">
        <v>70224868.520000011</v>
      </c>
      <c r="L40" s="950">
        <v>70633907.689999983</v>
      </c>
      <c r="M40" s="950">
        <v>71030254.519999996</v>
      </c>
      <c r="N40" s="950">
        <v>71418644.639999986</v>
      </c>
      <c r="O40" s="950">
        <v>71779517.519999996</v>
      </c>
      <c r="P40" s="597">
        <f t="shared" ref="P40:P41" si="8">AVERAGE(C40:O40)</f>
        <v>69199457.673846141</v>
      </c>
      <c r="Q40" s="597"/>
      <c r="R40" s="597">
        <f>P40</f>
        <v>69199457.673846141</v>
      </c>
      <c r="S40" s="597"/>
      <c r="T40" s="597">
        <f t="shared" si="6"/>
        <v>69199457.673846141</v>
      </c>
    </row>
    <row r="41" spans="1:20">
      <c r="A41" s="596">
        <f t="shared" si="7"/>
        <v>29</v>
      </c>
      <c r="B41" s="945" t="s">
        <v>1384</v>
      </c>
      <c r="C41" s="950">
        <v>0</v>
      </c>
      <c r="D41" s="950">
        <v>0</v>
      </c>
      <c r="E41" s="950">
        <v>0</v>
      </c>
      <c r="F41" s="950">
        <v>0</v>
      </c>
      <c r="G41" s="950">
        <v>0</v>
      </c>
      <c r="H41" s="950">
        <v>0</v>
      </c>
      <c r="I41" s="950">
        <v>0</v>
      </c>
      <c r="J41" s="950">
        <v>0</v>
      </c>
      <c r="K41" s="950">
        <v>113602.4</v>
      </c>
      <c r="L41" s="950">
        <v>360815.81</v>
      </c>
      <c r="M41" s="950">
        <v>608029.22</v>
      </c>
      <c r="N41" s="950">
        <v>855242.63</v>
      </c>
      <c r="O41" s="950">
        <v>1102456.04</v>
      </c>
      <c r="P41" s="755">
        <f t="shared" si="8"/>
        <v>233857.39230769232</v>
      </c>
      <c r="Q41" s="597">
        <f>P41</f>
        <v>233857.39230769232</v>
      </c>
      <c r="R41" s="597"/>
      <c r="S41" s="597"/>
      <c r="T41" s="597">
        <f t="shared" si="6"/>
        <v>233857.39230769232</v>
      </c>
    </row>
    <row r="42" spans="1:20">
      <c r="A42" s="596">
        <f t="shared" si="7"/>
        <v>30</v>
      </c>
      <c r="B42" s="949"/>
      <c r="C42" s="949"/>
      <c r="D42" s="949"/>
      <c r="E42" s="949"/>
      <c r="F42" s="949"/>
      <c r="G42" s="949"/>
      <c r="H42" s="949"/>
      <c r="I42" s="948"/>
      <c r="J42" s="948"/>
      <c r="K42" s="948"/>
      <c r="L42" s="948"/>
      <c r="M42" s="948"/>
      <c r="N42" s="948"/>
      <c r="O42" s="948"/>
      <c r="P42" s="597"/>
      <c r="Q42" s="597"/>
      <c r="R42" s="597"/>
      <c r="S42" s="597"/>
      <c r="T42" s="597">
        <f t="shared" si="6"/>
        <v>0</v>
      </c>
    </row>
    <row r="43" spans="1:20">
      <c r="A43" s="596">
        <f t="shared" si="7"/>
        <v>31</v>
      </c>
      <c r="B43" s="949"/>
      <c r="C43" s="949"/>
      <c r="D43" s="949"/>
      <c r="E43" s="949"/>
      <c r="F43" s="949"/>
      <c r="G43" s="949"/>
      <c r="H43" s="949"/>
      <c r="I43" s="948"/>
      <c r="J43" s="948"/>
      <c r="K43" s="948"/>
      <c r="L43" s="948"/>
      <c r="M43" s="948"/>
      <c r="N43" s="948"/>
      <c r="O43" s="948"/>
      <c r="P43" s="597"/>
      <c r="Q43" s="597"/>
      <c r="R43" s="597"/>
      <c r="S43" s="597"/>
      <c r="T43" s="597">
        <f t="shared" si="6"/>
        <v>0</v>
      </c>
    </row>
    <row r="44" spans="1:20">
      <c r="A44" s="596">
        <f t="shared" si="7"/>
        <v>32</v>
      </c>
      <c r="B44" s="949"/>
      <c r="C44" s="949"/>
      <c r="D44" s="949"/>
      <c r="E44" s="949"/>
      <c r="F44" s="949"/>
      <c r="G44" s="949"/>
      <c r="H44" s="949"/>
      <c r="I44" s="948"/>
      <c r="J44" s="948"/>
      <c r="K44" s="948"/>
      <c r="L44" s="948"/>
      <c r="M44" s="948"/>
      <c r="N44" s="948"/>
      <c r="O44" s="948"/>
      <c r="P44" s="597"/>
      <c r="Q44" s="597"/>
      <c r="R44" s="597"/>
      <c r="S44" s="597"/>
      <c r="T44" s="597">
        <f t="shared" si="6"/>
        <v>0</v>
      </c>
    </row>
    <row r="45" spans="1:20">
      <c r="A45" s="596">
        <f t="shared" si="7"/>
        <v>33</v>
      </c>
      <c r="B45" s="949"/>
      <c r="C45" s="949"/>
      <c r="D45" s="949"/>
      <c r="E45" s="949"/>
      <c r="F45" s="949"/>
      <c r="G45" s="949"/>
      <c r="H45" s="949"/>
      <c r="I45" s="948"/>
      <c r="J45" s="948"/>
      <c r="K45" s="948"/>
      <c r="L45" s="948"/>
      <c r="M45" s="948"/>
      <c r="N45" s="948"/>
      <c r="O45" s="948"/>
      <c r="P45" s="597"/>
      <c r="Q45" s="597"/>
      <c r="R45" s="597"/>
      <c r="S45" s="597"/>
      <c r="T45" s="597">
        <f t="shared" si="6"/>
        <v>0</v>
      </c>
    </row>
    <row r="46" spans="1:20">
      <c r="A46" s="596">
        <f t="shared" si="7"/>
        <v>34</v>
      </c>
      <c r="B46" s="949"/>
      <c r="C46" s="949"/>
      <c r="D46" s="949"/>
      <c r="E46" s="949"/>
      <c r="F46" s="949"/>
      <c r="G46" s="949"/>
      <c r="H46" s="949"/>
      <c r="I46" s="948"/>
      <c r="J46" s="948"/>
      <c r="K46" s="948"/>
      <c r="L46" s="948"/>
      <c r="M46" s="948"/>
      <c r="N46" s="948"/>
      <c r="O46" s="948"/>
      <c r="P46" s="597"/>
      <c r="Q46" s="597"/>
      <c r="R46" s="597"/>
      <c r="S46" s="597"/>
      <c r="T46" s="597">
        <f t="shared" si="6"/>
        <v>0</v>
      </c>
    </row>
    <row r="47" spans="1:20">
      <c r="A47" s="596">
        <f t="shared" si="7"/>
        <v>35</v>
      </c>
      <c r="B47" s="948"/>
      <c r="C47" s="948"/>
      <c r="D47" s="948"/>
      <c r="E47" s="948"/>
      <c r="F47" s="948"/>
      <c r="G47" s="948"/>
      <c r="H47" s="948"/>
      <c r="I47" s="948"/>
      <c r="J47" s="948"/>
      <c r="K47" s="948"/>
      <c r="L47" s="948"/>
      <c r="M47" s="948"/>
      <c r="N47" s="948"/>
      <c r="O47" s="948"/>
      <c r="Q47" s="597"/>
      <c r="R47" s="597"/>
      <c r="S47" s="597"/>
      <c r="T47" s="597">
        <f t="shared" si="6"/>
        <v>0</v>
      </c>
    </row>
    <row r="48" spans="1:20">
      <c r="A48" s="596">
        <f t="shared" si="7"/>
        <v>36</v>
      </c>
      <c r="B48" s="949"/>
      <c r="C48" s="949"/>
      <c r="D48" s="949"/>
      <c r="E48" s="949"/>
      <c r="F48" s="949"/>
      <c r="G48" s="949"/>
      <c r="H48" s="949"/>
      <c r="I48" s="948"/>
      <c r="J48" s="948"/>
      <c r="K48" s="948"/>
      <c r="L48" s="948"/>
      <c r="M48" s="948"/>
      <c r="N48" s="948"/>
      <c r="O48" s="948"/>
      <c r="Q48" s="597"/>
      <c r="R48" s="597"/>
      <c r="S48" s="597"/>
      <c r="T48" s="597">
        <f t="shared" si="6"/>
        <v>0</v>
      </c>
    </row>
    <row r="49" spans="1:20">
      <c r="A49" s="596">
        <f t="shared" si="7"/>
        <v>37</v>
      </c>
      <c r="B49" s="948"/>
      <c r="C49" s="948"/>
      <c r="D49" s="948"/>
      <c r="E49" s="948"/>
      <c r="F49" s="948"/>
      <c r="G49" s="948"/>
      <c r="H49" s="948"/>
      <c r="I49" s="948"/>
      <c r="J49" s="948"/>
      <c r="K49" s="948"/>
      <c r="L49" s="948"/>
      <c r="M49" s="948"/>
      <c r="N49" s="948"/>
      <c r="O49" s="948"/>
      <c r="Q49" s="597"/>
      <c r="R49" s="597"/>
      <c r="S49" s="597"/>
      <c r="T49" s="597">
        <f t="shared" si="6"/>
        <v>0</v>
      </c>
    </row>
    <row r="50" spans="1:20">
      <c r="A50" s="596">
        <f t="shared" si="7"/>
        <v>38</v>
      </c>
      <c r="B50" s="948"/>
      <c r="C50" s="948"/>
      <c r="D50" s="948"/>
      <c r="E50" s="948"/>
      <c r="F50" s="948"/>
      <c r="G50" s="948"/>
      <c r="H50" s="948"/>
      <c r="I50" s="948"/>
      <c r="J50" s="948"/>
      <c r="K50" s="948"/>
      <c r="L50" s="948"/>
      <c r="M50" s="948"/>
      <c r="N50" s="948"/>
      <c r="O50" s="948"/>
      <c r="Q50" s="597"/>
      <c r="R50" s="597"/>
      <c r="S50" s="597"/>
      <c r="T50" s="597">
        <f t="shared" si="6"/>
        <v>0</v>
      </c>
    </row>
    <row r="51" spans="1:20">
      <c r="A51" s="596">
        <f t="shared" si="7"/>
        <v>39</v>
      </c>
      <c r="B51" s="948"/>
      <c r="C51" s="948"/>
      <c r="D51" s="948"/>
      <c r="E51" s="948"/>
      <c r="F51" s="948"/>
      <c r="G51" s="948"/>
      <c r="H51" s="948"/>
      <c r="I51" s="948"/>
      <c r="J51" s="948"/>
      <c r="K51" s="948"/>
      <c r="L51" s="948"/>
      <c r="M51" s="948"/>
      <c r="N51" s="948"/>
      <c r="O51" s="948"/>
      <c r="Q51" s="597"/>
      <c r="R51" s="597"/>
      <c r="S51" s="597"/>
      <c r="T51" s="597">
        <f t="shared" si="6"/>
        <v>0</v>
      </c>
    </row>
    <row r="52" spans="1:20">
      <c r="A52" s="596">
        <f t="shared" si="7"/>
        <v>40</v>
      </c>
      <c r="B52" s="589" t="s">
        <v>13</v>
      </c>
      <c r="C52" s="597">
        <f>SUM(C34:C51)</f>
        <v>93824262.340000004</v>
      </c>
      <c r="D52" s="597">
        <f t="shared" ref="D52" si="9">SUM(D34:D51)</f>
        <v>95539204.629999995</v>
      </c>
      <c r="E52" s="597">
        <f t="shared" ref="E52" si="10">SUM(E34:E51)</f>
        <v>97259372.25999999</v>
      </c>
      <c r="F52" s="597">
        <f t="shared" ref="F52" si="11">SUM(F34:F51)</f>
        <v>98814148.719999999</v>
      </c>
      <c r="G52" s="597">
        <f t="shared" ref="G52" si="12">SUM(G34:G51)</f>
        <v>100046068.78999999</v>
      </c>
      <c r="H52" s="597">
        <f t="shared" ref="H52" si="13">SUM(H34:H51)</f>
        <v>101280085.92000002</v>
      </c>
      <c r="I52" s="597">
        <f t="shared" ref="I52" si="14">SUM(I34:I51)</f>
        <v>102514927.16</v>
      </c>
      <c r="J52" s="597">
        <f t="shared" ref="J52" si="15">SUM(J34:J51)</f>
        <v>103793226.79000001</v>
      </c>
      <c r="K52" s="597">
        <f t="shared" ref="K52" si="16">SUM(K34:K51)</f>
        <v>105173363.99000001</v>
      </c>
      <c r="L52" s="597">
        <f t="shared" ref="L52" si="17">SUM(L34:L51)</f>
        <v>106629460.68999998</v>
      </c>
      <c r="M52" s="597">
        <f t="shared" ref="M52" si="18">SUM(M34:M51)</f>
        <v>108076714.91999999</v>
      </c>
      <c r="N52" s="597">
        <f t="shared" ref="N52" si="19">SUM(N34:N51)</f>
        <v>109532866.19999999</v>
      </c>
      <c r="O52" s="597">
        <f t="shared" ref="O52" si="20">SUM(O34:O51)</f>
        <v>110985498.95999999</v>
      </c>
      <c r="P52" s="597">
        <f>AVERAGE(C52:O52)</f>
        <v>102574553.95153847</v>
      </c>
      <c r="Q52" s="597">
        <f>SUM(Q34:Q51)</f>
        <v>5408645.5776923085</v>
      </c>
      <c r="R52" s="597">
        <f>SUM(R34:R51)</f>
        <v>90874480.637692302</v>
      </c>
      <c r="S52" s="597">
        <f>SUM(S34:S51)</f>
        <v>6291427.7361538466</v>
      </c>
      <c r="T52" s="597">
        <f t="shared" si="6"/>
        <v>102574553.95153846</v>
      </c>
    </row>
    <row r="53" spans="1:20">
      <c r="A53" s="596">
        <f t="shared" si="7"/>
        <v>41</v>
      </c>
      <c r="B53" s="589"/>
      <c r="C53" s="597"/>
      <c r="D53" s="597"/>
      <c r="E53" s="597"/>
      <c r="F53" s="597"/>
      <c r="G53" s="597"/>
      <c r="H53" s="597"/>
      <c r="I53" s="597"/>
      <c r="J53" s="597"/>
      <c r="K53" s="597"/>
      <c r="L53" s="597"/>
      <c r="M53" s="597"/>
      <c r="N53" s="597"/>
      <c r="O53" s="597"/>
      <c r="P53" s="600" t="s">
        <v>747</v>
      </c>
      <c r="Q53" s="599">
        <f>Q28</f>
        <v>1</v>
      </c>
      <c r="R53" s="599">
        <f t="shared" ref="R53:S53" si="21">R28</f>
        <v>0</v>
      </c>
      <c r="S53" s="599">
        <f t="shared" si="21"/>
        <v>9.880621410235467E-2</v>
      </c>
      <c r="T53" s="597"/>
    </row>
    <row r="54" spans="1:20">
      <c r="A54" s="596">
        <f t="shared" si="7"/>
        <v>42</v>
      </c>
      <c r="B54" s="589"/>
      <c r="C54" s="597"/>
      <c r="D54" s="597"/>
      <c r="E54" s="597"/>
      <c r="F54" s="597"/>
      <c r="G54" s="597"/>
      <c r="H54" s="597"/>
      <c r="I54" s="597"/>
      <c r="J54" s="597"/>
      <c r="K54" s="597"/>
      <c r="L54" s="597"/>
      <c r="M54" s="597"/>
      <c r="N54" s="597"/>
      <c r="O54" s="597"/>
      <c r="P54" s="600" t="s">
        <v>872</v>
      </c>
      <c r="Q54" s="597">
        <f>Q52*Q53</f>
        <v>5408645.5776923085</v>
      </c>
      <c r="R54" s="597">
        <f t="shared" ref="R54" si="22">R52*R53</f>
        <v>0</v>
      </c>
      <c r="S54" s="597">
        <f t="shared" ref="S54" si="23">S52*S53</f>
        <v>621632.1559079095</v>
      </c>
      <c r="T54" s="597">
        <f>SUM(Q54:S54)</f>
        <v>6030277.7336002178</v>
      </c>
    </row>
    <row r="55" spans="1:20">
      <c r="C55" s="594" t="str">
        <f>B1</f>
        <v>PECO Energy Company</v>
      </c>
    </row>
    <row r="56" spans="1:20">
      <c r="B56" s="1030"/>
      <c r="C56" s="1030"/>
      <c r="D56" s="1030"/>
      <c r="E56" s="1030"/>
      <c r="F56" s="1030"/>
      <c r="G56" s="1030"/>
      <c r="H56" s="1030"/>
      <c r="T56" s="593" t="s">
        <v>160</v>
      </c>
    </row>
    <row r="57" spans="1:20">
      <c r="B57" s="1029" t="s">
        <v>692</v>
      </c>
      <c r="C57" s="1029"/>
      <c r="D57" s="1029"/>
      <c r="E57" s="1029"/>
      <c r="F57" s="1029"/>
      <c r="G57" s="1029"/>
    </row>
    <row r="58" spans="1:20">
      <c r="A58" s="754"/>
      <c r="B58" s="754"/>
    </row>
    <row r="59" spans="1:20">
      <c r="B59" s="589" t="s">
        <v>205</v>
      </c>
      <c r="C59" s="589" t="s">
        <v>206</v>
      </c>
      <c r="D59" s="589" t="s">
        <v>207</v>
      </c>
      <c r="E59" s="589" t="s">
        <v>208</v>
      </c>
      <c r="F59" s="589" t="s">
        <v>210</v>
      </c>
      <c r="G59" s="589" t="s">
        <v>209</v>
      </c>
      <c r="H59" s="589" t="s">
        <v>211</v>
      </c>
      <c r="I59" s="589" t="s">
        <v>212</v>
      </c>
      <c r="J59" s="589" t="s">
        <v>213</v>
      </c>
      <c r="K59" s="589" t="s">
        <v>255</v>
      </c>
      <c r="L59" s="589" t="s">
        <v>259</v>
      </c>
      <c r="M59" s="589" t="s">
        <v>492</v>
      </c>
      <c r="N59" s="589" t="s">
        <v>865</v>
      </c>
      <c r="O59" s="589" t="s">
        <v>866</v>
      </c>
      <c r="P59" s="589" t="s">
        <v>867</v>
      </c>
      <c r="Q59" s="589" t="s">
        <v>868</v>
      </c>
      <c r="R59" s="589" t="s">
        <v>869</v>
      </c>
      <c r="S59" s="589" t="s">
        <v>870</v>
      </c>
      <c r="T59" s="589" t="s">
        <v>873</v>
      </c>
    </row>
    <row r="60" spans="1:20">
      <c r="B60" s="591" t="s">
        <v>871</v>
      </c>
      <c r="C60" s="595" t="s">
        <v>202</v>
      </c>
      <c r="D60" s="589" t="s">
        <v>88</v>
      </c>
      <c r="E60" s="589" t="s">
        <v>87</v>
      </c>
      <c r="F60" s="589" t="s">
        <v>86</v>
      </c>
      <c r="G60" s="589" t="s">
        <v>78</v>
      </c>
      <c r="H60" s="589" t="s">
        <v>77</v>
      </c>
      <c r="I60" s="589" t="s">
        <v>97</v>
      </c>
      <c r="J60" s="589" t="s">
        <v>85</v>
      </c>
      <c r="K60" s="589" t="s">
        <v>84</v>
      </c>
      <c r="L60" s="589" t="s">
        <v>83</v>
      </c>
      <c r="M60" s="589" t="s">
        <v>89</v>
      </c>
      <c r="N60" s="589" t="s">
        <v>82</v>
      </c>
      <c r="O60" s="589" t="s">
        <v>81</v>
      </c>
      <c r="P60" s="589" t="s">
        <v>520</v>
      </c>
      <c r="Q60" s="593" t="s">
        <v>17</v>
      </c>
      <c r="R60" s="593" t="s">
        <v>864</v>
      </c>
      <c r="S60" s="593" t="s">
        <v>733</v>
      </c>
      <c r="T60" s="601" t="s">
        <v>13</v>
      </c>
    </row>
    <row r="61" spans="1:20">
      <c r="B61" s="591" t="str">
        <f>B7&amp;" Minus "&amp;B32</f>
        <v>Gross Plant Minus Accumulated Depreciation</v>
      </c>
      <c r="C61" s="595"/>
      <c r="D61" s="589"/>
      <c r="E61" s="589"/>
      <c r="F61" s="589"/>
      <c r="G61" s="589"/>
      <c r="H61" s="589"/>
      <c r="I61" s="589"/>
      <c r="J61" s="589"/>
      <c r="K61" s="589"/>
      <c r="L61" s="589"/>
      <c r="M61" s="589"/>
      <c r="N61" s="589"/>
      <c r="O61" s="589"/>
      <c r="P61" s="602" t="s">
        <v>874</v>
      </c>
      <c r="T61" s="603" t="s">
        <v>1282</v>
      </c>
    </row>
    <row r="62" spans="1:20">
      <c r="A62" s="596">
        <f>A54+1</f>
        <v>43</v>
      </c>
      <c r="B62" s="853" t="str">
        <f t="shared" ref="B62:B69" si="24">B34</f>
        <v>Intangible - General</v>
      </c>
      <c r="C62" s="590">
        <f t="shared" ref="C62:C79" si="25">C9-C34</f>
        <v>9409517.8200000003</v>
      </c>
      <c r="D62" s="590">
        <f t="shared" ref="D62:O62" si="26">D9-D34</f>
        <v>9003980.2899999991</v>
      </c>
      <c r="E62" s="590">
        <f t="shared" si="26"/>
        <v>9455926.459999999</v>
      </c>
      <c r="F62" s="590">
        <f t="shared" si="26"/>
        <v>9282110.9199999999</v>
      </c>
      <c r="G62" s="590">
        <f t="shared" si="26"/>
        <v>9136006.3499999996</v>
      </c>
      <c r="H62" s="590">
        <f t="shared" si="26"/>
        <v>8942405.4499999993</v>
      </c>
      <c r="I62" s="590">
        <f t="shared" si="26"/>
        <v>8730168.7300000004</v>
      </c>
      <c r="J62" s="590">
        <f t="shared" si="26"/>
        <v>14067233.940000001</v>
      </c>
      <c r="K62" s="590">
        <f t="shared" si="26"/>
        <v>8422896.6600000001</v>
      </c>
      <c r="L62" s="590">
        <f t="shared" si="26"/>
        <v>8263216.0999999987</v>
      </c>
      <c r="M62" s="590">
        <f t="shared" si="26"/>
        <v>8433648.3099999987</v>
      </c>
      <c r="N62" s="590">
        <f t="shared" si="26"/>
        <v>9969147.7699999996</v>
      </c>
      <c r="O62" s="590">
        <f t="shared" si="26"/>
        <v>10785592.840000002</v>
      </c>
      <c r="P62" s="597">
        <f>AVERAGE(C62:O62)</f>
        <v>9530911.6646153852</v>
      </c>
      <c r="Q62" s="597"/>
      <c r="R62" s="597"/>
      <c r="S62" s="597">
        <f>P62</f>
        <v>9530911.6646153852</v>
      </c>
      <c r="T62" s="597">
        <f>SUM(Q62:S62)</f>
        <v>9530911.6646153852</v>
      </c>
    </row>
    <row r="63" spans="1:20">
      <c r="A63" s="596">
        <f>A62+1</f>
        <v>44</v>
      </c>
      <c r="B63" s="853" t="str">
        <f t="shared" si="24"/>
        <v>IT NERC CIP - Transmission</v>
      </c>
      <c r="C63" s="590">
        <f t="shared" si="25"/>
        <v>7266603.2200000007</v>
      </c>
      <c r="D63" s="590">
        <f t="shared" ref="D63:O63" si="27">D10-D35</f>
        <v>7074813.9399999995</v>
      </c>
      <c r="E63" s="590">
        <f t="shared" si="27"/>
        <v>6881444.5100000007</v>
      </c>
      <c r="F63" s="590">
        <f t="shared" si="27"/>
        <v>6700108.8600000013</v>
      </c>
      <c r="G63" s="590">
        <f t="shared" si="27"/>
        <v>6750100.1900000004</v>
      </c>
      <c r="H63" s="590">
        <f t="shared" si="27"/>
        <v>6564052.6199999992</v>
      </c>
      <c r="I63" s="590">
        <f t="shared" si="27"/>
        <v>6387669.629999999</v>
      </c>
      <c r="J63" s="590">
        <f t="shared" si="27"/>
        <v>6197516.3599999985</v>
      </c>
      <c r="K63" s="590">
        <f t="shared" si="27"/>
        <v>6021432.8099999987</v>
      </c>
      <c r="L63" s="590">
        <f t="shared" si="27"/>
        <v>5838664.2599999998</v>
      </c>
      <c r="M63" s="590">
        <f t="shared" si="27"/>
        <v>5650407.4499999993</v>
      </c>
      <c r="N63" s="590">
        <f t="shared" si="27"/>
        <v>5459594.7200000007</v>
      </c>
      <c r="O63" s="590">
        <f t="shared" si="27"/>
        <v>5266269.6600000011</v>
      </c>
      <c r="P63" s="597">
        <f t="shared" ref="P63:P69" si="28">AVERAGE(C63:O63)</f>
        <v>6312206.017692307</v>
      </c>
      <c r="Q63" s="597">
        <f>P63</f>
        <v>6312206.017692307</v>
      </c>
      <c r="R63" s="597"/>
      <c r="S63" s="597"/>
      <c r="T63" s="597">
        <f t="shared" ref="T63:T79" si="29">SUM(Q63:S63)</f>
        <v>6312206.017692307</v>
      </c>
    </row>
    <row r="64" spans="1:20">
      <c r="A64" s="596">
        <f t="shared" ref="A64:A82" si="30">A63+1</f>
        <v>45</v>
      </c>
      <c r="B64" s="853" t="str">
        <f t="shared" si="24"/>
        <v>IT NERC CIP - Distribution</v>
      </c>
      <c r="C64" s="590">
        <f t="shared" si="25"/>
        <v>1455521.8</v>
      </c>
      <c r="D64" s="590">
        <f t="shared" ref="D64:O64" si="31">D11-D36</f>
        <v>1430425.5900000003</v>
      </c>
      <c r="E64" s="590">
        <f t="shared" si="31"/>
        <v>1390632.54</v>
      </c>
      <c r="F64" s="590">
        <f t="shared" si="31"/>
        <v>1362873.23</v>
      </c>
      <c r="G64" s="590">
        <f t="shared" si="31"/>
        <v>1357502.06</v>
      </c>
      <c r="H64" s="590">
        <f t="shared" si="31"/>
        <v>1325693.1600000001</v>
      </c>
      <c r="I64" s="590">
        <f t="shared" si="31"/>
        <v>1451699.08</v>
      </c>
      <c r="J64" s="590">
        <f t="shared" si="31"/>
        <v>1438635.4800000002</v>
      </c>
      <c r="K64" s="590">
        <f t="shared" si="31"/>
        <v>1425317.29</v>
      </c>
      <c r="L64" s="590">
        <f t="shared" si="31"/>
        <v>1407921.1700000002</v>
      </c>
      <c r="M64" s="590">
        <f t="shared" si="31"/>
        <v>1376964.9100000001</v>
      </c>
      <c r="N64" s="590">
        <f t="shared" si="31"/>
        <v>1376961.7</v>
      </c>
      <c r="O64" s="590">
        <f t="shared" si="31"/>
        <v>1336854.21</v>
      </c>
      <c r="P64" s="597">
        <f t="shared" si="28"/>
        <v>1395154.0169230772</v>
      </c>
      <c r="Q64" s="597"/>
      <c r="R64" s="597">
        <f>P64</f>
        <v>1395154.0169230772</v>
      </c>
      <c r="S64" s="597"/>
      <c r="T64" s="597">
        <f t="shared" si="29"/>
        <v>1395154.0169230772</v>
      </c>
    </row>
    <row r="65" spans="1:20">
      <c r="A65" s="596">
        <f t="shared" si="30"/>
        <v>46</v>
      </c>
      <c r="B65" s="853" t="str">
        <f t="shared" si="24"/>
        <v>IT DSP - Distribution</v>
      </c>
      <c r="C65" s="590">
        <f t="shared" si="25"/>
        <v>269583.43000000017</v>
      </c>
      <c r="D65" s="590">
        <f t="shared" ref="D65:O65" si="32">D12-D37</f>
        <v>236505.53000000003</v>
      </c>
      <c r="E65" s="590">
        <f t="shared" si="32"/>
        <v>227226.41999999993</v>
      </c>
      <c r="F65" s="590">
        <f t="shared" si="32"/>
        <v>201211.16000000015</v>
      </c>
      <c r="G65" s="590">
        <f t="shared" si="32"/>
        <v>137271.80000000005</v>
      </c>
      <c r="H65" s="590">
        <f t="shared" si="32"/>
        <v>105211.93000000017</v>
      </c>
      <c r="I65" s="590">
        <f t="shared" si="32"/>
        <v>74170.129999999888</v>
      </c>
      <c r="J65" s="590">
        <f t="shared" si="32"/>
        <v>43128.310000000056</v>
      </c>
      <c r="K65" s="590">
        <f t="shared" si="32"/>
        <v>26073.660000000149</v>
      </c>
      <c r="L65" s="590">
        <f t="shared" si="32"/>
        <v>23006.179999999702</v>
      </c>
      <c r="M65" s="590">
        <f t="shared" si="32"/>
        <v>19938.679999999702</v>
      </c>
      <c r="N65" s="590">
        <f t="shared" si="32"/>
        <v>16871.200000000186</v>
      </c>
      <c r="O65" s="590">
        <f t="shared" si="32"/>
        <v>649778.33000000007</v>
      </c>
      <c r="P65" s="597">
        <f t="shared" si="28"/>
        <v>156152.05846153849</v>
      </c>
      <c r="Q65" s="597"/>
      <c r="R65" s="597">
        <f>P65</f>
        <v>156152.05846153849</v>
      </c>
      <c r="S65" s="597"/>
      <c r="T65" s="597">
        <f t="shared" si="29"/>
        <v>156152.05846153849</v>
      </c>
    </row>
    <row r="66" spans="1:20">
      <c r="A66" s="596">
        <f t="shared" si="30"/>
        <v>47</v>
      </c>
      <c r="B66" s="853" t="str">
        <f t="shared" si="24"/>
        <v>IT Business Intelligence Data Analysis - Distribution</v>
      </c>
      <c r="C66" s="590">
        <f t="shared" si="25"/>
        <v>14601436.130000001</v>
      </c>
      <c r="D66" s="590">
        <f t="shared" ref="D66:O66" si="33">D13-D38</f>
        <v>14623982.52</v>
      </c>
      <c r="E66" s="590">
        <f t="shared" si="33"/>
        <v>14420871.65</v>
      </c>
      <c r="F66" s="590">
        <f t="shared" si="33"/>
        <v>14217760.779999999</v>
      </c>
      <c r="G66" s="590">
        <f t="shared" si="33"/>
        <v>14014649.91</v>
      </c>
      <c r="H66" s="590">
        <f t="shared" si="33"/>
        <v>13811539.039999999</v>
      </c>
      <c r="I66" s="590">
        <f t="shared" si="33"/>
        <v>13608428.17</v>
      </c>
      <c r="J66" s="590">
        <f t="shared" si="33"/>
        <v>13405317.300000001</v>
      </c>
      <c r="K66" s="590">
        <f t="shared" si="33"/>
        <v>13202206.43</v>
      </c>
      <c r="L66" s="590">
        <f t="shared" si="33"/>
        <v>12999095.560000001</v>
      </c>
      <c r="M66" s="590">
        <f t="shared" si="33"/>
        <v>12795984.689999999</v>
      </c>
      <c r="N66" s="590">
        <f t="shared" si="33"/>
        <v>12592873.82</v>
      </c>
      <c r="O66" s="590">
        <f t="shared" si="33"/>
        <v>12389762.949999999</v>
      </c>
      <c r="P66" s="597">
        <f t="shared" si="28"/>
        <v>13591069.919230768</v>
      </c>
      <c r="Q66" s="597"/>
      <c r="R66" s="597">
        <f>P66</f>
        <v>13591069.919230768</v>
      </c>
      <c r="S66" s="597"/>
      <c r="T66" s="597">
        <f t="shared" si="29"/>
        <v>13591069.919230768</v>
      </c>
    </row>
    <row r="67" spans="1:20">
      <c r="A67" s="596">
        <f t="shared" si="30"/>
        <v>48</v>
      </c>
      <c r="B67" s="853" t="str">
        <f t="shared" si="24"/>
        <v>IT Post 2010 and Other - Distribution</v>
      </c>
      <c r="C67" s="590">
        <f t="shared" si="25"/>
        <v>4428928.0400000047</v>
      </c>
      <c r="D67" s="590">
        <f t="shared" ref="D67:O67" si="34">D14-D39</f>
        <v>4291696.980000006</v>
      </c>
      <c r="E67" s="590">
        <f t="shared" si="34"/>
        <v>4154465.9200000074</v>
      </c>
      <c r="F67" s="590">
        <f t="shared" si="34"/>
        <v>4017234.8500000052</v>
      </c>
      <c r="G67" s="590">
        <f t="shared" si="34"/>
        <v>3880003.7900000066</v>
      </c>
      <c r="H67" s="590">
        <f t="shared" si="34"/>
        <v>3742772.730000006</v>
      </c>
      <c r="I67" s="590">
        <f t="shared" si="34"/>
        <v>3605541.6800000053</v>
      </c>
      <c r="J67" s="590">
        <f t="shared" si="34"/>
        <v>3468310.6100000069</v>
      </c>
      <c r="K67" s="590">
        <f t="shared" si="34"/>
        <v>3331079.5500000045</v>
      </c>
      <c r="L67" s="590">
        <f t="shared" si="34"/>
        <v>3193848.5000000056</v>
      </c>
      <c r="M67" s="590">
        <f t="shared" si="34"/>
        <v>3056617.4400000069</v>
      </c>
      <c r="N67" s="590">
        <f t="shared" si="34"/>
        <v>2919386.3800000045</v>
      </c>
      <c r="O67" s="590">
        <f t="shared" si="34"/>
        <v>2752327.4600000009</v>
      </c>
      <c r="P67" s="597">
        <f t="shared" si="28"/>
        <v>3603247.2253846205</v>
      </c>
      <c r="Q67" s="597"/>
      <c r="R67" s="597">
        <f>P67</f>
        <v>3603247.2253846205</v>
      </c>
      <c r="S67" s="597"/>
      <c r="T67" s="597">
        <f t="shared" si="29"/>
        <v>3603247.2253846205</v>
      </c>
    </row>
    <row r="68" spans="1:20">
      <c r="A68" s="596">
        <f t="shared" si="30"/>
        <v>49</v>
      </c>
      <c r="B68" s="853" t="str">
        <f t="shared" si="24"/>
        <v>IT Smart Meter - Distribution</v>
      </c>
      <c r="C68" s="590">
        <f t="shared" si="25"/>
        <v>20491501.36999999</v>
      </c>
      <c r="D68" s="590">
        <f t="shared" ref="D68:O68" si="35">D15-D40</f>
        <v>19580738.900000006</v>
      </c>
      <c r="E68" s="590">
        <f t="shared" si="35"/>
        <v>18669976.350000009</v>
      </c>
      <c r="F68" s="590">
        <f t="shared" si="35"/>
        <v>17954088.340000004</v>
      </c>
      <c r="G68" s="590">
        <f t="shared" si="35"/>
        <v>17540313.710000008</v>
      </c>
      <c r="H68" s="590">
        <f t="shared" si="35"/>
        <v>17126539.049999997</v>
      </c>
      <c r="I68" s="590">
        <f t="shared" si="35"/>
        <v>16712764.409999996</v>
      </c>
      <c r="J68" s="590">
        <f t="shared" si="35"/>
        <v>16298989.719999999</v>
      </c>
      <c r="K68" s="590">
        <f t="shared" si="35"/>
        <v>15885215.069999993</v>
      </c>
      <c r="L68" s="590">
        <f t="shared" si="35"/>
        <v>15476175.900000021</v>
      </c>
      <c r="M68" s="590">
        <f t="shared" si="35"/>
        <v>15079829.070000008</v>
      </c>
      <c r="N68" s="590">
        <f t="shared" si="35"/>
        <v>14691438.950000018</v>
      </c>
      <c r="O68" s="590">
        <f t="shared" si="35"/>
        <v>14330566.070000008</v>
      </c>
      <c r="P68" s="597">
        <f t="shared" si="28"/>
        <v>16910625.916153852</v>
      </c>
      <c r="Q68" s="597"/>
      <c r="R68" s="597">
        <f>P68</f>
        <v>16910625.916153852</v>
      </c>
      <c r="S68" s="597"/>
      <c r="T68" s="597">
        <f t="shared" si="29"/>
        <v>16910625.916153852</v>
      </c>
    </row>
    <row r="69" spans="1:20">
      <c r="A69" s="596">
        <f t="shared" si="30"/>
        <v>50</v>
      </c>
      <c r="B69" s="853" t="str">
        <f t="shared" si="24"/>
        <v>IT Other - Transmission</v>
      </c>
      <c r="C69" s="590">
        <f t="shared" si="25"/>
        <v>0</v>
      </c>
      <c r="D69" s="590">
        <f t="shared" ref="D69:O69" si="36">D16-D41</f>
        <v>0</v>
      </c>
      <c r="E69" s="590">
        <f t="shared" si="36"/>
        <v>0</v>
      </c>
      <c r="F69" s="590">
        <f t="shared" si="36"/>
        <v>0</v>
      </c>
      <c r="G69" s="590">
        <f t="shared" si="36"/>
        <v>0</v>
      </c>
      <c r="H69" s="590">
        <f t="shared" si="36"/>
        <v>0</v>
      </c>
      <c r="I69" s="590">
        <f t="shared" si="36"/>
        <v>0</v>
      </c>
      <c r="J69" s="590">
        <f t="shared" si="36"/>
        <v>0</v>
      </c>
      <c r="K69" s="590">
        <f t="shared" si="36"/>
        <v>5438694.96</v>
      </c>
      <c r="L69" s="590">
        <f t="shared" si="36"/>
        <v>5191481.5500000007</v>
      </c>
      <c r="M69" s="590">
        <f t="shared" si="36"/>
        <v>4944268.1400000006</v>
      </c>
      <c r="N69" s="590">
        <f t="shared" si="36"/>
        <v>4697054.7300000004</v>
      </c>
      <c r="O69" s="590">
        <f t="shared" si="36"/>
        <v>4449841.32</v>
      </c>
      <c r="P69" s="755">
        <f t="shared" si="28"/>
        <v>1901641.5923076926</v>
      </c>
      <c r="Q69" s="755">
        <f>P69</f>
        <v>1901641.5923076926</v>
      </c>
      <c r="R69" s="597"/>
      <c r="S69" s="597"/>
      <c r="T69" s="597">
        <f>SUM(Q69:S69)</f>
        <v>1901641.5923076926</v>
      </c>
    </row>
    <row r="70" spans="1:20">
      <c r="A70" s="596">
        <f t="shared" si="30"/>
        <v>51</v>
      </c>
      <c r="B70" s="592"/>
      <c r="C70" s="590">
        <f t="shared" si="25"/>
        <v>0</v>
      </c>
      <c r="D70" s="590">
        <f t="shared" ref="D70:O70" si="37">D17-D42</f>
        <v>0</v>
      </c>
      <c r="E70" s="590">
        <f t="shared" si="37"/>
        <v>0</v>
      </c>
      <c r="F70" s="590">
        <f t="shared" si="37"/>
        <v>0</v>
      </c>
      <c r="G70" s="590">
        <f t="shared" si="37"/>
        <v>0</v>
      </c>
      <c r="H70" s="590">
        <f t="shared" si="37"/>
        <v>0</v>
      </c>
      <c r="I70" s="590">
        <f t="shared" si="37"/>
        <v>0</v>
      </c>
      <c r="J70" s="590">
        <f t="shared" si="37"/>
        <v>0</v>
      </c>
      <c r="K70" s="590">
        <f t="shared" si="37"/>
        <v>0</v>
      </c>
      <c r="L70" s="590">
        <f t="shared" si="37"/>
        <v>0</v>
      </c>
      <c r="M70" s="590">
        <f t="shared" si="37"/>
        <v>0</v>
      </c>
      <c r="N70" s="590">
        <f t="shared" si="37"/>
        <v>0</v>
      </c>
      <c r="O70" s="590">
        <f t="shared" si="37"/>
        <v>0</v>
      </c>
      <c r="P70" s="597"/>
      <c r="Q70" s="597"/>
      <c r="R70" s="597"/>
      <c r="S70" s="597"/>
      <c r="T70" s="597">
        <f t="shared" si="29"/>
        <v>0</v>
      </c>
    </row>
    <row r="71" spans="1:20">
      <c r="A71" s="596">
        <f t="shared" si="30"/>
        <v>52</v>
      </c>
      <c r="B71" s="592"/>
      <c r="C71" s="590">
        <f t="shared" si="25"/>
        <v>0</v>
      </c>
      <c r="D71" s="590">
        <f t="shared" ref="D71:O71" si="38">D18-D43</f>
        <v>0</v>
      </c>
      <c r="E71" s="590">
        <f t="shared" si="38"/>
        <v>0</v>
      </c>
      <c r="F71" s="590">
        <f t="shared" si="38"/>
        <v>0</v>
      </c>
      <c r="G71" s="590">
        <f t="shared" si="38"/>
        <v>0</v>
      </c>
      <c r="H71" s="590">
        <f t="shared" si="38"/>
        <v>0</v>
      </c>
      <c r="I71" s="590">
        <f t="shared" si="38"/>
        <v>0</v>
      </c>
      <c r="J71" s="590">
        <f t="shared" si="38"/>
        <v>0</v>
      </c>
      <c r="K71" s="590">
        <f t="shared" si="38"/>
        <v>0</v>
      </c>
      <c r="L71" s="590">
        <f t="shared" si="38"/>
        <v>0</v>
      </c>
      <c r="M71" s="590">
        <f t="shared" si="38"/>
        <v>0</v>
      </c>
      <c r="N71" s="590">
        <f t="shared" si="38"/>
        <v>0</v>
      </c>
      <c r="O71" s="590">
        <f t="shared" si="38"/>
        <v>0</v>
      </c>
      <c r="P71" s="597"/>
      <c r="Q71" s="597"/>
      <c r="R71" s="597"/>
      <c r="S71" s="597"/>
      <c r="T71" s="597">
        <f t="shared" si="29"/>
        <v>0</v>
      </c>
    </row>
    <row r="72" spans="1:20">
      <c r="A72" s="596">
        <f t="shared" si="30"/>
        <v>53</v>
      </c>
      <c r="B72" s="592"/>
      <c r="C72" s="590">
        <f t="shared" si="25"/>
        <v>0</v>
      </c>
      <c r="D72" s="590">
        <f t="shared" ref="D72:O72" si="39">D19-D44</f>
        <v>0</v>
      </c>
      <c r="E72" s="590">
        <f t="shared" si="39"/>
        <v>0</v>
      </c>
      <c r="F72" s="590">
        <f t="shared" si="39"/>
        <v>0</v>
      </c>
      <c r="G72" s="590">
        <f t="shared" si="39"/>
        <v>0</v>
      </c>
      <c r="H72" s="590">
        <f t="shared" si="39"/>
        <v>0</v>
      </c>
      <c r="I72" s="590">
        <f t="shared" si="39"/>
        <v>0</v>
      </c>
      <c r="J72" s="590">
        <f t="shared" si="39"/>
        <v>0</v>
      </c>
      <c r="K72" s="590">
        <f t="shared" si="39"/>
        <v>0</v>
      </c>
      <c r="L72" s="590">
        <f t="shared" si="39"/>
        <v>0</v>
      </c>
      <c r="M72" s="590">
        <f t="shared" si="39"/>
        <v>0</v>
      </c>
      <c r="N72" s="590">
        <f t="shared" si="39"/>
        <v>0</v>
      </c>
      <c r="O72" s="590">
        <f t="shared" si="39"/>
        <v>0</v>
      </c>
      <c r="P72" s="597"/>
      <c r="Q72" s="597"/>
      <c r="R72" s="597"/>
      <c r="S72" s="597"/>
      <c r="T72" s="597">
        <f t="shared" si="29"/>
        <v>0</v>
      </c>
    </row>
    <row r="73" spans="1:20">
      <c r="A73" s="596">
        <f t="shared" si="30"/>
        <v>54</v>
      </c>
      <c r="B73" s="592"/>
      <c r="C73" s="590">
        <f t="shared" si="25"/>
        <v>0</v>
      </c>
      <c r="D73" s="590">
        <f t="shared" ref="D73:O73" si="40">D20-D45</f>
        <v>0</v>
      </c>
      <c r="E73" s="590">
        <f t="shared" si="40"/>
        <v>0</v>
      </c>
      <c r="F73" s="590">
        <f t="shared" si="40"/>
        <v>0</v>
      </c>
      <c r="G73" s="590">
        <f t="shared" si="40"/>
        <v>0</v>
      </c>
      <c r="H73" s="590">
        <f t="shared" si="40"/>
        <v>0</v>
      </c>
      <c r="I73" s="590">
        <f t="shared" si="40"/>
        <v>0</v>
      </c>
      <c r="J73" s="590">
        <f t="shared" si="40"/>
        <v>0</v>
      </c>
      <c r="K73" s="590">
        <f t="shared" si="40"/>
        <v>0</v>
      </c>
      <c r="L73" s="590">
        <f t="shared" si="40"/>
        <v>0</v>
      </c>
      <c r="M73" s="590">
        <f t="shared" si="40"/>
        <v>0</v>
      </c>
      <c r="N73" s="590">
        <f t="shared" si="40"/>
        <v>0</v>
      </c>
      <c r="O73" s="590">
        <f t="shared" si="40"/>
        <v>0</v>
      </c>
      <c r="P73" s="597"/>
      <c r="Q73" s="597"/>
      <c r="R73" s="597"/>
      <c r="S73" s="597"/>
      <c r="T73" s="597">
        <f t="shared" si="29"/>
        <v>0</v>
      </c>
    </row>
    <row r="74" spans="1:20">
      <c r="A74" s="596">
        <f t="shared" si="30"/>
        <v>55</v>
      </c>
      <c r="B74" s="592"/>
      <c r="C74" s="590">
        <f t="shared" si="25"/>
        <v>0</v>
      </c>
      <c r="D74" s="590">
        <f t="shared" ref="D74:O74" si="41">D21-D46</f>
        <v>0</v>
      </c>
      <c r="E74" s="590">
        <f t="shared" si="41"/>
        <v>0</v>
      </c>
      <c r="F74" s="590">
        <f t="shared" si="41"/>
        <v>0</v>
      </c>
      <c r="G74" s="590">
        <f t="shared" si="41"/>
        <v>0</v>
      </c>
      <c r="H74" s="590">
        <f t="shared" si="41"/>
        <v>0</v>
      </c>
      <c r="I74" s="590">
        <f t="shared" si="41"/>
        <v>0</v>
      </c>
      <c r="J74" s="590">
        <f t="shared" si="41"/>
        <v>0</v>
      </c>
      <c r="K74" s="590">
        <f t="shared" si="41"/>
        <v>0</v>
      </c>
      <c r="L74" s="590">
        <f t="shared" si="41"/>
        <v>0</v>
      </c>
      <c r="M74" s="590">
        <f t="shared" si="41"/>
        <v>0</v>
      </c>
      <c r="N74" s="590">
        <f t="shared" si="41"/>
        <v>0</v>
      </c>
      <c r="O74" s="590">
        <f t="shared" si="41"/>
        <v>0</v>
      </c>
      <c r="P74" s="597"/>
      <c r="Q74" s="597"/>
      <c r="R74" s="597"/>
      <c r="S74" s="597"/>
      <c r="T74" s="597">
        <f t="shared" si="29"/>
        <v>0</v>
      </c>
    </row>
    <row r="75" spans="1:20">
      <c r="A75" s="596">
        <f t="shared" si="30"/>
        <v>56</v>
      </c>
      <c r="B75" s="598"/>
      <c r="C75" s="590">
        <f t="shared" si="25"/>
        <v>0</v>
      </c>
      <c r="D75" s="590">
        <f t="shared" ref="D75:O75" si="42">D22-D47</f>
        <v>0</v>
      </c>
      <c r="E75" s="590">
        <f t="shared" si="42"/>
        <v>0</v>
      </c>
      <c r="F75" s="590">
        <f t="shared" si="42"/>
        <v>0</v>
      </c>
      <c r="G75" s="590">
        <f t="shared" si="42"/>
        <v>0</v>
      </c>
      <c r="H75" s="590">
        <f t="shared" si="42"/>
        <v>0</v>
      </c>
      <c r="I75" s="590">
        <f t="shared" si="42"/>
        <v>0</v>
      </c>
      <c r="J75" s="590">
        <f t="shared" si="42"/>
        <v>0</v>
      </c>
      <c r="K75" s="590">
        <f t="shared" si="42"/>
        <v>0</v>
      </c>
      <c r="L75" s="590">
        <f t="shared" si="42"/>
        <v>0</v>
      </c>
      <c r="M75" s="590">
        <f t="shared" si="42"/>
        <v>0</v>
      </c>
      <c r="N75" s="590">
        <f t="shared" si="42"/>
        <v>0</v>
      </c>
      <c r="O75" s="590">
        <f t="shared" si="42"/>
        <v>0</v>
      </c>
      <c r="Q75" s="597"/>
      <c r="R75" s="597"/>
      <c r="S75" s="597"/>
      <c r="T75" s="597">
        <f t="shared" si="29"/>
        <v>0</v>
      </c>
    </row>
    <row r="76" spans="1:20">
      <c r="A76" s="596">
        <f t="shared" si="30"/>
        <v>57</v>
      </c>
      <c r="B76" s="592"/>
      <c r="C76" s="590">
        <f t="shared" si="25"/>
        <v>0</v>
      </c>
      <c r="D76" s="590">
        <f t="shared" ref="D76:O76" si="43">D23-D48</f>
        <v>0</v>
      </c>
      <c r="E76" s="590">
        <f t="shared" si="43"/>
        <v>0</v>
      </c>
      <c r="F76" s="590">
        <f t="shared" si="43"/>
        <v>0</v>
      </c>
      <c r="G76" s="590">
        <f t="shared" si="43"/>
        <v>0</v>
      </c>
      <c r="H76" s="590">
        <f t="shared" si="43"/>
        <v>0</v>
      </c>
      <c r="I76" s="590">
        <f t="shared" si="43"/>
        <v>0</v>
      </c>
      <c r="J76" s="590">
        <f t="shared" si="43"/>
        <v>0</v>
      </c>
      <c r="K76" s="590">
        <f t="shared" si="43"/>
        <v>0</v>
      </c>
      <c r="L76" s="590">
        <f t="shared" si="43"/>
        <v>0</v>
      </c>
      <c r="M76" s="590">
        <f t="shared" si="43"/>
        <v>0</v>
      </c>
      <c r="N76" s="590">
        <f t="shared" si="43"/>
        <v>0</v>
      </c>
      <c r="O76" s="590">
        <f t="shared" si="43"/>
        <v>0</v>
      </c>
      <c r="Q76" s="597"/>
      <c r="R76" s="597"/>
      <c r="S76" s="597"/>
      <c r="T76" s="597">
        <f t="shared" si="29"/>
        <v>0</v>
      </c>
    </row>
    <row r="77" spans="1:20">
      <c r="A77" s="596">
        <f t="shared" si="30"/>
        <v>58</v>
      </c>
      <c r="B77" s="598"/>
      <c r="C77" s="590">
        <f t="shared" si="25"/>
        <v>0</v>
      </c>
      <c r="D77" s="590">
        <f t="shared" ref="D77:O77" si="44">D24-D49</f>
        <v>0</v>
      </c>
      <c r="E77" s="590">
        <f t="shared" si="44"/>
        <v>0</v>
      </c>
      <c r="F77" s="590">
        <f t="shared" si="44"/>
        <v>0</v>
      </c>
      <c r="G77" s="590">
        <f t="shared" si="44"/>
        <v>0</v>
      </c>
      <c r="H77" s="590">
        <f t="shared" si="44"/>
        <v>0</v>
      </c>
      <c r="I77" s="590">
        <f t="shared" si="44"/>
        <v>0</v>
      </c>
      <c r="J77" s="590">
        <f t="shared" si="44"/>
        <v>0</v>
      </c>
      <c r="K77" s="590">
        <f t="shared" si="44"/>
        <v>0</v>
      </c>
      <c r="L77" s="590">
        <f t="shared" si="44"/>
        <v>0</v>
      </c>
      <c r="M77" s="590">
        <f t="shared" si="44"/>
        <v>0</v>
      </c>
      <c r="N77" s="590">
        <f t="shared" si="44"/>
        <v>0</v>
      </c>
      <c r="O77" s="590">
        <f t="shared" si="44"/>
        <v>0</v>
      </c>
      <c r="Q77" s="597"/>
      <c r="R77" s="597"/>
      <c r="S77" s="597"/>
      <c r="T77" s="597">
        <f t="shared" si="29"/>
        <v>0</v>
      </c>
    </row>
    <row r="78" spans="1:20">
      <c r="A78" s="596">
        <f t="shared" si="30"/>
        <v>59</v>
      </c>
      <c r="B78" s="598"/>
      <c r="C78" s="590">
        <f t="shared" si="25"/>
        <v>0</v>
      </c>
      <c r="D78" s="590">
        <f t="shared" ref="D78:O78" si="45">D25-D50</f>
        <v>0</v>
      </c>
      <c r="E78" s="590">
        <f t="shared" si="45"/>
        <v>0</v>
      </c>
      <c r="F78" s="590">
        <f t="shared" si="45"/>
        <v>0</v>
      </c>
      <c r="G78" s="590">
        <f t="shared" si="45"/>
        <v>0</v>
      </c>
      <c r="H78" s="590">
        <f t="shared" si="45"/>
        <v>0</v>
      </c>
      <c r="I78" s="590">
        <f t="shared" si="45"/>
        <v>0</v>
      </c>
      <c r="J78" s="590">
        <f t="shared" si="45"/>
        <v>0</v>
      </c>
      <c r="K78" s="590">
        <f t="shared" si="45"/>
        <v>0</v>
      </c>
      <c r="L78" s="590">
        <f t="shared" si="45"/>
        <v>0</v>
      </c>
      <c r="M78" s="590">
        <f t="shared" si="45"/>
        <v>0</v>
      </c>
      <c r="N78" s="590">
        <f t="shared" si="45"/>
        <v>0</v>
      </c>
      <c r="O78" s="590">
        <f t="shared" si="45"/>
        <v>0</v>
      </c>
      <c r="Q78" s="597"/>
      <c r="R78" s="597"/>
      <c r="S78" s="597"/>
      <c r="T78" s="597">
        <f t="shared" si="29"/>
        <v>0</v>
      </c>
    </row>
    <row r="79" spans="1:20">
      <c r="A79" s="596">
        <f t="shared" si="30"/>
        <v>60</v>
      </c>
      <c r="B79" s="598"/>
      <c r="C79" s="590">
        <f t="shared" si="25"/>
        <v>0</v>
      </c>
      <c r="D79" s="590">
        <f t="shared" ref="D79:O79" si="46">D26-D51</f>
        <v>0</v>
      </c>
      <c r="E79" s="590">
        <f t="shared" si="46"/>
        <v>0</v>
      </c>
      <c r="F79" s="590">
        <f t="shared" si="46"/>
        <v>0</v>
      </c>
      <c r="G79" s="590">
        <f t="shared" si="46"/>
        <v>0</v>
      </c>
      <c r="H79" s="590">
        <f t="shared" si="46"/>
        <v>0</v>
      </c>
      <c r="I79" s="590">
        <f t="shared" si="46"/>
        <v>0</v>
      </c>
      <c r="J79" s="590">
        <f t="shared" si="46"/>
        <v>0</v>
      </c>
      <c r="K79" s="590">
        <f t="shared" si="46"/>
        <v>0</v>
      </c>
      <c r="L79" s="590">
        <f t="shared" si="46"/>
        <v>0</v>
      </c>
      <c r="M79" s="590">
        <f t="shared" si="46"/>
        <v>0</v>
      </c>
      <c r="N79" s="590">
        <f t="shared" si="46"/>
        <v>0</v>
      </c>
      <c r="O79" s="590">
        <f t="shared" si="46"/>
        <v>0</v>
      </c>
      <c r="Q79" s="597"/>
      <c r="R79" s="597"/>
      <c r="S79" s="597"/>
      <c r="T79" s="597">
        <f t="shared" si="29"/>
        <v>0</v>
      </c>
    </row>
    <row r="80" spans="1:20">
      <c r="A80" s="596">
        <f t="shared" si="30"/>
        <v>61</v>
      </c>
      <c r="B80" s="589" t="s">
        <v>13</v>
      </c>
      <c r="C80" s="597">
        <f>SUM(C62:C79)</f>
        <v>57923091.809999995</v>
      </c>
      <c r="D80" s="597">
        <f t="shared" ref="D80:O80" si="47">SUM(D62:D79)</f>
        <v>56242143.750000015</v>
      </c>
      <c r="E80" s="597">
        <f t="shared" si="47"/>
        <v>55200543.850000016</v>
      </c>
      <c r="F80" s="597">
        <f t="shared" si="47"/>
        <v>53735388.140000015</v>
      </c>
      <c r="G80" s="597">
        <f t="shared" si="47"/>
        <v>52815847.810000017</v>
      </c>
      <c r="H80" s="597">
        <f t="shared" si="47"/>
        <v>51618213.979999997</v>
      </c>
      <c r="I80" s="597">
        <f t="shared" si="47"/>
        <v>50570441.830000006</v>
      </c>
      <c r="J80" s="597">
        <f t="shared" si="47"/>
        <v>54919131.720000006</v>
      </c>
      <c r="K80" s="597">
        <f t="shared" si="47"/>
        <v>53752916.43</v>
      </c>
      <c r="L80" s="597">
        <f t="shared" si="47"/>
        <v>52393409.220000029</v>
      </c>
      <c r="M80" s="597">
        <f t="shared" si="47"/>
        <v>51357658.690000013</v>
      </c>
      <c r="N80" s="597">
        <f t="shared" si="47"/>
        <v>51723329.270000026</v>
      </c>
      <c r="O80" s="597">
        <f t="shared" si="47"/>
        <v>51960992.840000011</v>
      </c>
      <c r="P80" s="597">
        <f t="shared" ref="P80" si="48">SUM(P62:P79)</f>
        <v>53401008.410769247</v>
      </c>
      <c r="Q80" s="597">
        <f t="shared" ref="Q80" si="49">SUM(Q62:Q79)</f>
        <v>8213847.6099999994</v>
      </c>
      <c r="R80" s="597">
        <f t="shared" ref="R80" si="50">SUM(R62:R79)</f>
        <v>35656249.136153854</v>
      </c>
      <c r="S80" s="597">
        <f t="shared" ref="S80" si="51">SUM(S62:S79)</f>
        <v>9530911.6646153852</v>
      </c>
      <c r="T80" s="597">
        <f t="shared" ref="T80" si="52">SUM(T62:T79)</f>
        <v>53401008.410769247</v>
      </c>
    </row>
    <row r="81" spans="1:20">
      <c r="A81" s="596">
        <f t="shared" si="30"/>
        <v>62</v>
      </c>
      <c r="B81" s="589"/>
      <c r="C81" s="597"/>
      <c r="D81" s="597"/>
      <c r="E81" s="597"/>
      <c r="F81" s="597"/>
      <c r="G81" s="597"/>
      <c r="H81" s="597"/>
      <c r="I81" s="597"/>
      <c r="J81" s="597"/>
      <c r="K81" s="597"/>
      <c r="L81" s="597"/>
      <c r="M81" s="597"/>
      <c r="N81" s="597"/>
      <c r="O81" s="597"/>
      <c r="P81" s="600" t="s">
        <v>747</v>
      </c>
      <c r="Q81" s="599">
        <f>Q53</f>
        <v>1</v>
      </c>
      <c r="R81" s="599">
        <f t="shared" ref="R81:S81" si="53">R53</f>
        <v>0</v>
      </c>
      <c r="S81" s="599">
        <f t="shared" si="53"/>
        <v>9.880621410235467E-2</v>
      </c>
      <c r="T81" s="597"/>
    </row>
    <row r="82" spans="1:20">
      <c r="A82" s="596">
        <f t="shared" si="30"/>
        <v>63</v>
      </c>
      <c r="B82" s="589"/>
      <c r="C82" s="597"/>
      <c r="D82" s="597"/>
      <c r="E82" s="597"/>
      <c r="F82" s="597"/>
      <c r="G82" s="597"/>
      <c r="H82" s="597"/>
      <c r="I82" s="597"/>
      <c r="J82" s="597"/>
      <c r="K82" s="597"/>
      <c r="L82" s="597"/>
      <c r="M82" s="597"/>
      <c r="N82" s="597"/>
      <c r="O82" s="597"/>
      <c r="P82" s="600" t="s">
        <v>872</v>
      </c>
      <c r="Q82" s="597">
        <f>Q80*Q81</f>
        <v>8213847.6099999994</v>
      </c>
      <c r="R82" s="597">
        <f t="shared" ref="R82" si="54">R80*R81</f>
        <v>0</v>
      </c>
      <c r="S82" s="597">
        <f t="shared" ref="S82" si="55">S80*S81</f>
        <v>941713.29852461733</v>
      </c>
      <c r="T82" s="597">
        <f>SUM(Q82:S82)</f>
        <v>9155560.9085246176</v>
      </c>
    </row>
    <row r="84" spans="1:20">
      <c r="B84" s="589" t="s">
        <v>205</v>
      </c>
      <c r="C84" s="589" t="s">
        <v>206</v>
      </c>
      <c r="D84" s="589" t="s">
        <v>207</v>
      </c>
      <c r="E84" s="589" t="s">
        <v>208</v>
      </c>
      <c r="F84" s="589" t="s">
        <v>210</v>
      </c>
      <c r="G84" s="589" t="s">
        <v>209</v>
      </c>
      <c r="H84" s="589"/>
      <c r="I84" s="589"/>
      <c r="J84" s="589"/>
      <c r="K84" s="589"/>
      <c r="L84" s="589"/>
      <c r="M84" s="589"/>
      <c r="N84" s="589"/>
      <c r="O84" s="589"/>
      <c r="P84" s="589"/>
      <c r="Q84" s="589"/>
      <c r="R84" s="589"/>
      <c r="S84" s="589"/>
      <c r="T84" s="589"/>
    </row>
    <row r="85" spans="1:20">
      <c r="B85" s="591"/>
      <c r="C85" s="589" t="s">
        <v>13</v>
      </c>
      <c r="D85" s="593" t="s">
        <v>17</v>
      </c>
      <c r="E85" s="593" t="s">
        <v>864</v>
      </c>
      <c r="F85" s="593" t="s">
        <v>733</v>
      </c>
      <c r="G85" s="601" t="s">
        <v>13</v>
      </c>
      <c r="H85" s="589"/>
      <c r="I85" s="589"/>
      <c r="J85" s="589"/>
      <c r="K85" s="589"/>
      <c r="L85" s="589"/>
      <c r="M85" s="589"/>
      <c r="N85" s="589"/>
      <c r="O85" s="589"/>
    </row>
    <row r="86" spans="1:20">
      <c r="B86" s="591" t="s">
        <v>705</v>
      </c>
      <c r="C86" s="602"/>
      <c r="G86" s="603" t="s">
        <v>1283</v>
      </c>
      <c r="H86" s="589"/>
      <c r="I86" s="589"/>
      <c r="J86" s="589"/>
      <c r="K86" s="589"/>
      <c r="L86" s="589"/>
      <c r="M86" s="589"/>
      <c r="N86" s="589"/>
      <c r="O86" s="589"/>
    </row>
    <row r="87" spans="1:20">
      <c r="A87" s="596">
        <f>A82+1</f>
        <v>64</v>
      </c>
      <c r="B87" s="853" t="str">
        <f>B62</f>
        <v>Intangible - General</v>
      </c>
      <c r="C87" s="946">
        <v>2811570.85</v>
      </c>
      <c r="D87" s="597"/>
      <c r="E87" s="597"/>
      <c r="F87" s="597">
        <f>C87</f>
        <v>2811570.85</v>
      </c>
      <c r="G87" s="597">
        <f>SUM(D87:F87)</f>
        <v>2811570.85</v>
      </c>
      <c r="H87" s="590"/>
      <c r="I87" s="590"/>
      <c r="J87" s="590"/>
      <c r="K87" s="590"/>
      <c r="L87" s="590"/>
      <c r="M87" s="590"/>
      <c r="N87" s="590"/>
      <c r="O87" s="590"/>
    </row>
    <row r="88" spans="1:20">
      <c r="A88" s="596">
        <f>A87+1</f>
        <v>65</v>
      </c>
      <c r="B88" s="853" t="str">
        <f t="shared" ref="B88:B94" si="56">B63</f>
        <v>IT NERC CIP - Transmission</v>
      </c>
      <c r="C88" s="946">
        <v>2298585.23</v>
      </c>
      <c r="D88" s="597">
        <f>C88</f>
        <v>2298585.23</v>
      </c>
      <c r="E88" s="597"/>
      <c r="F88" s="597"/>
      <c r="G88" s="597">
        <f t="shared" ref="G88:G105" si="57">SUM(D88:F88)</f>
        <v>2298585.23</v>
      </c>
      <c r="H88" s="590"/>
      <c r="I88" s="590"/>
      <c r="J88" s="590"/>
      <c r="K88" s="590"/>
      <c r="L88" s="590"/>
      <c r="M88" s="590"/>
      <c r="N88" s="590"/>
      <c r="O88" s="590"/>
    </row>
    <row r="89" spans="1:20">
      <c r="A89" s="596">
        <f t="shared" ref="A89:A107" si="58">A88+1</f>
        <v>66</v>
      </c>
      <c r="B89" s="853" t="str">
        <f t="shared" si="56"/>
        <v>IT NERC CIP - Distribution</v>
      </c>
      <c r="C89" s="946">
        <v>445765.78</v>
      </c>
      <c r="D89" s="597"/>
      <c r="E89" s="597">
        <f>C89</f>
        <v>445765.78</v>
      </c>
      <c r="F89" s="597"/>
      <c r="G89" s="597">
        <f t="shared" si="57"/>
        <v>445765.78</v>
      </c>
      <c r="H89" s="590"/>
      <c r="I89" s="590"/>
      <c r="J89" s="590"/>
      <c r="K89" s="590"/>
      <c r="L89" s="590"/>
      <c r="M89" s="590"/>
      <c r="N89" s="590"/>
      <c r="O89" s="590"/>
    </row>
    <row r="90" spans="1:20">
      <c r="A90" s="596">
        <f t="shared" si="58"/>
        <v>67</v>
      </c>
      <c r="B90" s="853" t="str">
        <f t="shared" si="56"/>
        <v>IT DSP - Distribution</v>
      </c>
      <c r="C90" s="946">
        <v>0</v>
      </c>
      <c r="D90" s="597"/>
      <c r="E90" s="597">
        <f>C90</f>
        <v>0</v>
      </c>
      <c r="F90" s="597"/>
      <c r="G90" s="597">
        <f t="shared" si="57"/>
        <v>0</v>
      </c>
      <c r="H90" s="590"/>
      <c r="I90" s="590"/>
      <c r="J90" s="590"/>
      <c r="K90" s="590"/>
      <c r="L90" s="590"/>
      <c r="M90" s="590"/>
      <c r="N90" s="590"/>
      <c r="O90" s="590"/>
    </row>
    <row r="91" spans="1:20">
      <c r="A91" s="596">
        <f t="shared" si="58"/>
        <v>68</v>
      </c>
      <c r="B91" s="853" t="str">
        <f t="shared" si="56"/>
        <v>IT Business Intelligence Data Analysis - Distribution</v>
      </c>
      <c r="C91" s="946">
        <v>458583.6</v>
      </c>
      <c r="D91" s="597"/>
      <c r="E91" s="597">
        <f>C91</f>
        <v>458583.6</v>
      </c>
      <c r="F91" s="597"/>
      <c r="G91" s="597">
        <f t="shared" si="57"/>
        <v>458583.6</v>
      </c>
      <c r="H91" s="590"/>
      <c r="I91" s="590"/>
      <c r="J91" s="590"/>
      <c r="K91" s="590"/>
      <c r="L91" s="590"/>
      <c r="M91" s="590"/>
      <c r="N91" s="590"/>
      <c r="O91" s="590"/>
    </row>
    <row r="92" spans="1:20">
      <c r="A92" s="596">
        <f t="shared" si="58"/>
        <v>69</v>
      </c>
      <c r="B92" s="853" t="str">
        <f t="shared" si="56"/>
        <v>IT Post 2010 and Other - Distribution</v>
      </c>
      <c r="C92" s="946">
        <v>5526523.0300000003</v>
      </c>
      <c r="D92" s="597"/>
      <c r="E92" s="597">
        <f>C92</f>
        <v>5526523.0300000003</v>
      </c>
      <c r="F92" s="597"/>
      <c r="G92" s="597">
        <f t="shared" si="57"/>
        <v>5526523.0300000003</v>
      </c>
      <c r="H92" s="590"/>
      <c r="I92" s="590"/>
      <c r="J92" s="590"/>
      <c r="K92" s="590"/>
      <c r="L92" s="590"/>
      <c r="M92" s="590"/>
      <c r="N92" s="590"/>
      <c r="O92" s="590"/>
    </row>
    <row r="93" spans="1:20">
      <c r="A93" s="596">
        <f t="shared" si="58"/>
        <v>70</v>
      </c>
      <c r="B93" s="853" t="str">
        <f t="shared" si="56"/>
        <v>IT Smart Meter - Distribution</v>
      </c>
      <c r="C93" s="946">
        <v>6160935.3000000007</v>
      </c>
      <c r="D93" s="597"/>
      <c r="E93" s="597">
        <f>C93</f>
        <v>6160935.3000000007</v>
      </c>
      <c r="F93" s="597"/>
      <c r="G93" s="597">
        <f t="shared" si="57"/>
        <v>6160935.3000000007</v>
      </c>
      <c r="H93" s="590"/>
      <c r="I93" s="590"/>
      <c r="J93" s="590"/>
      <c r="K93" s="590"/>
      <c r="L93" s="590"/>
      <c r="M93" s="590"/>
      <c r="N93" s="590"/>
      <c r="O93" s="590"/>
    </row>
    <row r="94" spans="1:20">
      <c r="A94" s="596">
        <f t="shared" si="58"/>
        <v>71</v>
      </c>
      <c r="B94" s="853" t="str">
        <f t="shared" si="56"/>
        <v>IT Other - Transmission</v>
      </c>
      <c r="C94" s="946">
        <v>1102456.04</v>
      </c>
      <c r="D94" s="597">
        <f>C94</f>
        <v>1102456.04</v>
      </c>
      <c r="E94" s="597"/>
      <c r="F94" s="597"/>
      <c r="G94" s="597">
        <f t="shared" si="57"/>
        <v>1102456.04</v>
      </c>
      <c r="H94" s="590"/>
      <c r="I94" s="590"/>
      <c r="J94" s="590"/>
      <c r="K94" s="590"/>
      <c r="L94" s="590"/>
      <c r="M94" s="590"/>
      <c r="N94" s="590"/>
      <c r="O94" s="590"/>
    </row>
    <row r="95" spans="1:20">
      <c r="A95" s="596">
        <f t="shared" si="58"/>
        <v>72</v>
      </c>
      <c r="B95" s="592"/>
      <c r="C95" s="946">
        <v>0</v>
      </c>
      <c r="D95" s="597"/>
      <c r="E95" s="597"/>
      <c r="F95" s="597"/>
      <c r="G95" s="597">
        <f t="shared" si="57"/>
        <v>0</v>
      </c>
      <c r="H95" s="590"/>
      <c r="I95" s="590"/>
      <c r="J95" s="590"/>
      <c r="K95" s="590"/>
      <c r="L95" s="590"/>
      <c r="M95" s="590"/>
      <c r="N95" s="590"/>
      <c r="O95" s="590"/>
    </row>
    <row r="96" spans="1:20">
      <c r="A96" s="596">
        <f t="shared" si="58"/>
        <v>73</v>
      </c>
      <c r="B96" s="592"/>
      <c r="C96" s="946">
        <v>0</v>
      </c>
      <c r="D96" s="597"/>
      <c r="E96" s="597"/>
      <c r="F96" s="597"/>
      <c r="G96" s="597">
        <f t="shared" si="57"/>
        <v>0</v>
      </c>
      <c r="H96" s="590"/>
      <c r="I96" s="590"/>
      <c r="J96" s="590"/>
      <c r="K96" s="590"/>
      <c r="L96" s="590"/>
      <c r="M96" s="590"/>
      <c r="N96" s="590"/>
      <c r="O96" s="590"/>
    </row>
    <row r="97" spans="1:15">
      <c r="A97" s="596">
        <f t="shared" si="58"/>
        <v>74</v>
      </c>
      <c r="B97" s="592"/>
      <c r="C97" s="946">
        <v>0</v>
      </c>
      <c r="D97" s="597"/>
      <c r="E97" s="597"/>
      <c r="F97" s="597"/>
      <c r="G97" s="597">
        <f t="shared" si="57"/>
        <v>0</v>
      </c>
      <c r="H97" s="590"/>
      <c r="I97" s="590"/>
      <c r="J97" s="590"/>
      <c r="K97" s="590"/>
      <c r="L97" s="590"/>
      <c r="M97" s="590"/>
      <c r="N97" s="590"/>
      <c r="O97" s="590"/>
    </row>
    <row r="98" spans="1:15">
      <c r="A98" s="596">
        <f t="shared" si="58"/>
        <v>75</v>
      </c>
      <c r="B98" s="592"/>
      <c r="C98" s="946">
        <v>0</v>
      </c>
      <c r="D98" s="597"/>
      <c r="E98" s="597"/>
      <c r="F98" s="597"/>
      <c r="G98" s="597">
        <f t="shared" si="57"/>
        <v>0</v>
      </c>
      <c r="H98" s="590"/>
      <c r="I98" s="590"/>
      <c r="J98" s="590"/>
      <c r="K98" s="590"/>
      <c r="L98" s="590"/>
      <c r="M98" s="590"/>
      <c r="N98" s="590"/>
      <c r="O98" s="590"/>
    </row>
    <row r="99" spans="1:15">
      <c r="A99" s="596">
        <f t="shared" si="58"/>
        <v>76</v>
      </c>
      <c r="B99" s="592"/>
      <c r="C99" s="946">
        <v>0</v>
      </c>
      <c r="D99" s="597"/>
      <c r="E99" s="597"/>
      <c r="F99" s="597"/>
      <c r="G99" s="597">
        <f t="shared" si="57"/>
        <v>0</v>
      </c>
      <c r="H99" s="590"/>
      <c r="I99" s="590"/>
      <c r="J99" s="590"/>
      <c r="K99" s="590"/>
      <c r="L99" s="590"/>
      <c r="M99" s="590"/>
      <c r="N99" s="590"/>
      <c r="O99" s="590"/>
    </row>
    <row r="100" spans="1:15">
      <c r="A100" s="596">
        <f t="shared" si="58"/>
        <v>77</v>
      </c>
      <c r="B100" s="598"/>
      <c r="C100" s="946">
        <v>0</v>
      </c>
      <c r="D100" s="597"/>
      <c r="E100" s="597"/>
      <c r="F100" s="597"/>
      <c r="G100" s="597">
        <f t="shared" si="57"/>
        <v>0</v>
      </c>
      <c r="H100" s="590"/>
      <c r="I100" s="590"/>
      <c r="J100" s="590"/>
      <c r="K100" s="590"/>
      <c r="L100" s="590"/>
      <c r="M100" s="590"/>
      <c r="N100" s="590"/>
      <c r="O100" s="590"/>
    </row>
    <row r="101" spans="1:15">
      <c r="A101" s="596">
        <f t="shared" si="58"/>
        <v>78</v>
      </c>
      <c r="B101" s="592"/>
      <c r="C101" s="946">
        <v>0</v>
      </c>
      <c r="D101" s="597"/>
      <c r="E101" s="597"/>
      <c r="F101" s="597"/>
      <c r="G101" s="597">
        <f t="shared" si="57"/>
        <v>0</v>
      </c>
      <c r="H101" s="590"/>
      <c r="I101" s="590"/>
      <c r="J101" s="590"/>
      <c r="K101" s="590"/>
      <c r="L101" s="590"/>
      <c r="M101" s="590"/>
      <c r="N101" s="590"/>
      <c r="O101" s="590"/>
    </row>
    <row r="102" spans="1:15">
      <c r="A102" s="596">
        <f t="shared" si="58"/>
        <v>79</v>
      </c>
      <c r="B102" s="598"/>
      <c r="C102" s="946">
        <v>0</v>
      </c>
      <c r="D102" s="597"/>
      <c r="E102" s="597"/>
      <c r="F102" s="597"/>
      <c r="G102" s="597">
        <f t="shared" si="57"/>
        <v>0</v>
      </c>
      <c r="H102" s="590"/>
      <c r="I102" s="590"/>
      <c r="J102" s="590"/>
      <c r="K102" s="590"/>
      <c r="L102" s="590"/>
      <c r="M102" s="590"/>
      <c r="N102" s="590"/>
      <c r="O102" s="590"/>
    </row>
    <row r="103" spans="1:15">
      <c r="A103" s="596">
        <f t="shared" si="58"/>
        <v>80</v>
      </c>
      <c r="B103" s="598"/>
      <c r="C103" s="946">
        <v>0</v>
      </c>
      <c r="D103" s="597"/>
      <c r="E103" s="597"/>
      <c r="F103" s="597"/>
      <c r="G103" s="597">
        <f t="shared" si="57"/>
        <v>0</v>
      </c>
      <c r="H103" s="590"/>
      <c r="I103" s="590"/>
      <c r="J103" s="590"/>
      <c r="K103" s="590"/>
      <c r="L103" s="590"/>
      <c r="M103" s="590"/>
      <c r="N103" s="590"/>
      <c r="O103" s="590"/>
    </row>
    <row r="104" spans="1:15">
      <c r="A104" s="596">
        <f t="shared" si="58"/>
        <v>81</v>
      </c>
      <c r="B104" s="598"/>
      <c r="C104" s="946">
        <v>0</v>
      </c>
      <c r="D104" s="597"/>
      <c r="E104" s="597"/>
      <c r="F104" s="597"/>
      <c r="G104" s="597">
        <f t="shared" si="57"/>
        <v>0</v>
      </c>
      <c r="H104" s="590"/>
      <c r="I104" s="590"/>
      <c r="J104" s="590"/>
      <c r="K104" s="590"/>
      <c r="L104" s="590"/>
      <c r="M104" s="590"/>
      <c r="N104" s="590"/>
      <c r="O104" s="590"/>
    </row>
    <row r="105" spans="1:15">
      <c r="A105" s="596">
        <f t="shared" si="58"/>
        <v>82</v>
      </c>
      <c r="B105" s="589" t="s">
        <v>13</v>
      </c>
      <c r="C105" s="597">
        <f>SUM(C87:C104)</f>
        <v>18804419.829999998</v>
      </c>
      <c r="D105" s="597">
        <f>SUM(D87:D104)</f>
        <v>3401041.27</v>
      </c>
      <c r="E105" s="597">
        <f>SUM(E87:E104)</f>
        <v>12591807.710000001</v>
      </c>
      <c r="F105" s="597">
        <f>SUM(F87:F104)</f>
        <v>2811570.85</v>
      </c>
      <c r="G105" s="597">
        <f t="shared" si="57"/>
        <v>18804419.830000002</v>
      </c>
      <c r="H105" s="597"/>
      <c r="I105" s="597"/>
      <c r="J105" s="597"/>
      <c r="K105" s="597"/>
      <c r="L105" s="597"/>
      <c r="M105" s="597"/>
      <c r="N105" s="597"/>
      <c r="O105" s="597"/>
    </row>
    <row r="106" spans="1:15">
      <c r="A106" s="596">
        <f t="shared" si="58"/>
        <v>83</v>
      </c>
      <c r="C106" s="600" t="s">
        <v>747</v>
      </c>
      <c r="D106" s="599">
        <f>Q81</f>
        <v>1</v>
      </c>
      <c r="E106" s="599">
        <f>R81</f>
        <v>0</v>
      </c>
      <c r="F106" s="757">
        <f>S81</f>
        <v>9.880621410235467E-2</v>
      </c>
      <c r="G106" s="597"/>
    </row>
    <row r="107" spans="1:15">
      <c r="A107" s="596">
        <f t="shared" si="58"/>
        <v>84</v>
      </c>
      <c r="C107" s="600" t="s">
        <v>872</v>
      </c>
      <c r="D107" s="597">
        <f>D105*D106</f>
        <v>3401041.27</v>
      </c>
      <c r="E107" s="597">
        <f t="shared" ref="E107" si="59">E105*E106</f>
        <v>0</v>
      </c>
      <c r="F107" s="597">
        <f t="shared" ref="F107" si="60">F105*F106</f>
        <v>277800.67136903934</v>
      </c>
      <c r="G107" s="597">
        <f>SUM(D107:F107)</f>
        <v>3678841.9413690395</v>
      </c>
    </row>
  </sheetData>
  <sheetProtection algorithmName="SHA-512" hashValue="uIoDGACwZev1nfS0rD3HovPyPTn4J3wlcuGp7x7lg/Kha1mMOJg6QSm+Lso0yohf3y0mlls9LPuJH8mb+iSntw==" saltValue="h2w75pCqjKpOhnCqcXYiGQ==" spinCount="100000" sheet="1" objects="1" scenarios="1"/>
  <mergeCells count="5">
    <mergeCell ref="B1:G1"/>
    <mergeCell ref="B3:G3"/>
    <mergeCell ref="B2:H2"/>
    <mergeCell ref="B56:H56"/>
    <mergeCell ref="B57:G57"/>
  </mergeCells>
  <pageMargins left="0.7" right="0.7" top="0.75" bottom="0.75" header="0.3" footer="0.3"/>
  <pageSetup scale="38" fitToHeight="4" orientation="landscape" r:id="rId1"/>
  <rowBreaks count="1" manualBreakCount="1">
    <brk id="54" max="1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87"/>
  <sheetViews>
    <sheetView zoomScale="70" zoomScaleNormal="70" workbookViewId="0">
      <selection sqref="A1:F1"/>
    </sheetView>
  </sheetViews>
  <sheetFormatPr defaultRowHeight="15"/>
  <cols>
    <col min="1" max="1" width="4.81640625" customWidth="1"/>
    <col min="2" max="2" width="62" customWidth="1"/>
    <col min="3" max="3" width="15.36328125" customWidth="1"/>
    <col min="4" max="7" width="11.6328125" customWidth="1"/>
    <col min="8" max="8" width="11" bestFit="1" customWidth="1"/>
    <col min="10" max="10" width="13.81640625" bestFit="1" customWidth="1"/>
    <col min="11" max="11" width="12.453125" bestFit="1" customWidth="1"/>
  </cols>
  <sheetData>
    <row r="1" spans="1:14" ht="17.399999999999999">
      <c r="A1" s="1031" t="str">
        <f>+'Attachment H-7'!D171</f>
        <v>PECO Energy Company</v>
      </c>
      <c r="B1" s="1031"/>
      <c r="C1" s="1031"/>
      <c r="D1" s="1031"/>
      <c r="E1" s="1031"/>
      <c r="F1" s="1031"/>
      <c r="G1" s="202"/>
      <c r="H1" t="s">
        <v>457</v>
      </c>
    </row>
    <row r="2" spans="1:14" ht="21">
      <c r="A2" s="765"/>
      <c r="B2" s="328"/>
      <c r="C2" s="329"/>
      <c r="D2" s="330"/>
      <c r="E2" s="202"/>
      <c r="F2" s="202"/>
      <c r="G2" s="202"/>
    </row>
    <row r="3" spans="1:14" ht="15.6">
      <c r="A3" s="1032" t="s">
        <v>1247</v>
      </c>
      <c r="B3" s="1032"/>
      <c r="C3" s="1032"/>
      <c r="D3" s="1032"/>
      <c r="E3" s="1032"/>
      <c r="F3" s="1032"/>
      <c r="G3" s="202"/>
    </row>
    <row r="4" spans="1:14">
      <c r="B4" s="589" t="s">
        <v>205</v>
      </c>
      <c r="C4" s="589" t="s">
        <v>206</v>
      </c>
      <c r="D4" s="589" t="s">
        <v>207</v>
      </c>
      <c r="E4" s="589" t="s">
        <v>208</v>
      </c>
      <c r="F4" s="589" t="s">
        <v>210</v>
      </c>
      <c r="G4" s="589" t="s">
        <v>1065</v>
      </c>
      <c r="H4" s="589" t="s">
        <v>1069</v>
      </c>
      <c r="I4" s="589"/>
      <c r="J4" s="589"/>
      <c r="K4" s="589"/>
      <c r="L4" s="589"/>
      <c r="M4" s="589"/>
      <c r="N4" s="589"/>
    </row>
    <row r="5" spans="1:14">
      <c r="B5" s="569" t="s">
        <v>774</v>
      </c>
    </row>
    <row r="6" spans="1:14">
      <c r="B6" s="951" t="s">
        <v>772</v>
      </c>
      <c r="C6" s="952" t="s">
        <v>775</v>
      </c>
      <c r="D6" s="952" t="s">
        <v>776</v>
      </c>
      <c r="E6" s="952"/>
      <c r="F6" s="953"/>
      <c r="G6" s="953"/>
      <c r="H6" s="566" t="s">
        <v>13</v>
      </c>
    </row>
    <row r="7" spans="1:14">
      <c r="A7" s="566">
        <v>1</v>
      </c>
      <c r="B7" s="954">
        <v>923</v>
      </c>
      <c r="C7" s="954">
        <v>0</v>
      </c>
      <c r="D7" s="955">
        <v>609158.39999999991</v>
      </c>
      <c r="E7" s="953"/>
      <c r="F7" s="953"/>
      <c r="G7" s="953"/>
      <c r="H7" s="567">
        <f t="shared" ref="H7:H17" si="0">SUM(C7:G7)</f>
        <v>609158.39999999991</v>
      </c>
      <c r="I7" s="566"/>
    </row>
    <row r="8" spans="1:14">
      <c r="A8" s="566">
        <f>A7+1</f>
        <v>2</v>
      </c>
      <c r="B8" s="954">
        <v>926</v>
      </c>
      <c r="C8" s="954">
        <v>0</v>
      </c>
      <c r="D8" s="955">
        <v>0</v>
      </c>
      <c r="E8" s="953"/>
      <c r="F8" s="953"/>
      <c r="G8" s="953"/>
      <c r="H8" s="567">
        <f t="shared" si="0"/>
        <v>0</v>
      </c>
      <c r="I8" s="566"/>
    </row>
    <row r="9" spans="1:14">
      <c r="A9" s="566">
        <f t="shared" ref="A9:A17" si="1">A8+1</f>
        <v>3</v>
      </c>
      <c r="B9" s="954"/>
      <c r="C9" s="954"/>
      <c r="D9" s="954"/>
      <c r="E9" s="953"/>
      <c r="F9" s="953"/>
      <c r="G9" s="953"/>
      <c r="H9" s="567">
        <f t="shared" si="0"/>
        <v>0</v>
      </c>
      <c r="I9" s="566"/>
    </row>
    <row r="10" spans="1:14">
      <c r="A10" s="566">
        <f t="shared" si="1"/>
        <v>4</v>
      </c>
      <c r="B10" s="954"/>
      <c r="C10" s="954"/>
      <c r="D10" s="954"/>
      <c r="E10" s="953"/>
      <c r="F10" s="953"/>
      <c r="G10" s="953"/>
      <c r="H10" s="567">
        <f t="shared" si="0"/>
        <v>0</v>
      </c>
      <c r="I10" s="566"/>
    </row>
    <row r="11" spans="1:14">
      <c r="A11" s="566">
        <f t="shared" si="1"/>
        <v>5</v>
      </c>
      <c r="B11" s="954"/>
      <c r="C11" s="954"/>
      <c r="D11" s="954"/>
      <c r="E11" s="953"/>
      <c r="F11" s="953"/>
      <c r="G11" s="953"/>
      <c r="H11" s="567">
        <f t="shared" si="0"/>
        <v>0</v>
      </c>
      <c r="I11" s="566"/>
    </row>
    <row r="12" spans="1:14">
      <c r="A12" s="566">
        <f t="shared" si="1"/>
        <v>6</v>
      </c>
      <c r="B12" s="954"/>
      <c r="C12" s="954"/>
      <c r="D12" s="954"/>
      <c r="E12" s="953"/>
      <c r="F12" s="953"/>
      <c r="G12" s="953"/>
      <c r="H12" s="567">
        <f t="shared" si="0"/>
        <v>0</v>
      </c>
      <c r="I12" s="566"/>
    </row>
    <row r="13" spans="1:14">
      <c r="A13" s="566">
        <f t="shared" si="1"/>
        <v>7</v>
      </c>
      <c r="B13" s="954"/>
      <c r="C13" s="954"/>
      <c r="D13" s="954"/>
      <c r="E13" s="953"/>
      <c r="F13" s="953"/>
      <c r="G13" s="953"/>
      <c r="H13" s="567">
        <f t="shared" si="0"/>
        <v>0</v>
      </c>
      <c r="I13" s="566"/>
    </row>
    <row r="14" spans="1:14">
      <c r="A14" s="566">
        <f t="shared" si="1"/>
        <v>8</v>
      </c>
      <c r="B14" s="954"/>
      <c r="C14" s="954"/>
      <c r="D14" s="954"/>
      <c r="E14" s="953"/>
      <c r="F14" s="953"/>
      <c r="G14" s="953"/>
      <c r="H14" s="567">
        <f t="shared" si="0"/>
        <v>0</v>
      </c>
      <c r="I14" s="566"/>
    </row>
    <row r="15" spans="1:14">
      <c r="A15" s="566">
        <f t="shared" si="1"/>
        <v>9</v>
      </c>
      <c r="B15" s="954"/>
      <c r="C15" s="954"/>
      <c r="D15" s="954"/>
      <c r="E15" s="953"/>
      <c r="F15" s="953"/>
      <c r="G15" s="953"/>
      <c r="H15" s="567">
        <f t="shared" si="0"/>
        <v>0</v>
      </c>
      <c r="I15" s="566"/>
    </row>
    <row r="16" spans="1:14">
      <c r="A16" s="566">
        <f t="shared" si="1"/>
        <v>10</v>
      </c>
      <c r="B16" s="954"/>
      <c r="C16" s="954"/>
      <c r="D16" s="954"/>
      <c r="E16" s="953"/>
      <c r="F16" s="953"/>
      <c r="G16" s="953"/>
      <c r="H16" s="567">
        <f t="shared" si="0"/>
        <v>0</v>
      </c>
      <c r="I16" s="566"/>
    </row>
    <row r="17" spans="1:10">
      <c r="A17" s="566">
        <f t="shared" si="1"/>
        <v>11</v>
      </c>
      <c r="B17" s="475" t="s">
        <v>13</v>
      </c>
      <c r="C17" s="567">
        <f>SUM(C7:C16)</f>
        <v>0</v>
      </c>
      <c r="D17" s="567">
        <f t="shared" ref="D17" si="2">SUM(D7:D16)</f>
        <v>609158.39999999991</v>
      </c>
      <c r="E17" s="567"/>
      <c r="F17" s="567"/>
      <c r="G17" s="567"/>
      <c r="H17" s="567">
        <f t="shared" si="0"/>
        <v>609158.39999999991</v>
      </c>
      <c r="I17" s="566"/>
    </row>
    <row r="18" spans="1:10">
      <c r="A18" s="490"/>
      <c r="B18" s="475"/>
      <c r="C18" s="567"/>
      <c r="D18" s="567"/>
      <c r="E18" s="567"/>
      <c r="F18" s="567"/>
      <c r="G18" s="567"/>
      <c r="H18" s="567"/>
      <c r="I18" s="566"/>
    </row>
    <row r="19" spans="1:10">
      <c r="A19" s="257"/>
      <c r="B19" s="745" t="s">
        <v>1243</v>
      </c>
      <c r="I19" s="566"/>
    </row>
    <row r="20" spans="1:10">
      <c r="B20" s="569" t="s">
        <v>860</v>
      </c>
      <c r="C20" s="475" t="str">
        <f>C6</f>
        <v>Constellation Merger</v>
      </c>
      <c r="D20" s="475" t="str">
        <f>D6</f>
        <v>PHI Merger</v>
      </c>
      <c r="E20" s="475"/>
      <c r="F20" s="475"/>
      <c r="G20" s="475"/>
      <c r="H20" s="566" t="s">
        <v>13</v>
      </c>
    </row>
    <row r="21" spans="1:10">
      <c r="A21" s="566">
        <f>A17+1</f>
        <v>12</v>
      </c>
      <c r="B21" s="475" t="s">
        <v>202</v>
      </c>
      <c r="C21" s="956">
        <v>0</v>
      </c>
      <c r="D21" s="956">
        <v>714419.452544</v>
      </c>
      <c r="E21" s="957"/>
      <c r="F21" s="957"/>
      <c r="G21" s="957"/>
      <c r="H21" s="567">
        <f t="shared" ref="H21:H33" si="3">SUM(C21:G21)</f>
        <v>714419.452544</v>
      </c>
      <c r="J21" s="123"/>
    </row>
    <row r="22" spans="1:10">
      <c r="A22" s="566">
        <f>A21+1</f>
        <v>13</v>
      </c>
      <c r="B22" s="475" t="s">
        <v>88</v>
      </c>
      <c r="C22" s="956">
        <v>0</v>
      </c>
      <c r="D22" s="956">
        <v>2779126.652032</v>
      </c>
      <c r="E22" s="957"/>
      <c r="F22" s="957"/>
      <c r="G22" s="957"/>
      <c r="H22" s="567">
        <f t="shared" si="3"/>
        <v>2779126.652032</v>
      </c>
      <c r="J22" s="123"/>
    </row>
    <row r="23" spans="1:10">
      <c r="A23" s="566">
        <f t="shared" ref="A23:A34" si="4">A22+1</f>
        <v>14</v>
      </c>
      <c r="B23" s="475" t="s">
        <v>87</v>
      </c>
      <c r="C23" s="956">
        <v>0</v>
      </c>
      <c r="D23" s="956">
        <v>3042854.0637440002</v>
      </c>
      <c r="E23" s="957"/>
      <c r="F23" s="957"/>
      <c r="G23" s="957"/>
      <c r="H23" s="567">
        <f t="shared" si="3"/>
        <v>3042854.0637440002</v>
      </c>
      <c r="J23" s="123"/>
    </row>
    <row r="24" spans="1:10">
      <c r="A24" s="566">
        <f t="shared" si="4"/>
        <v>15</v>
      </c>
      <c r="B24" s="475" t="s">
        <v>177</v>
      </c>
      <c r="C24" s="956">
        <v>0</v>
      </c>
      <c r="D24" s="956">
        <v>3132688.2113280008</v>
      </c>
      <c r="E24" s="957"/>
      <c r="F24" s="957"/>
      <c r="G24" s="957"/>
      <c r="H24" s="567">
        <f t="shared" si="3"/>
        <v>3132688.2113280008</v>
      </c>
      <c r="J24" s="123"/>
    </row>
    <row r="25" spans="1:10">
      <c r="A25" s="566">
        <f t="shared" si="4"/>
        <v>16</v>
      </c>
      <c r="B25" s="475" t="s">
        <v>78</v>
      </c>
      <c r="C25" s="956">
        <v>0</v>
      </c>
      <c r="D25" s="956">
        <v>3143587.6718080002</v>
      </c>
      <c r="E25" s="957"/>
      <c r="F25" s="957"/>
      <c r="G25" s="957"/>
      <c r="H25" s="567">
        <f t="shared" si="3"/>
        <v>3143587.6718080002</v>
      </c>
      <c r="J25" s="123"/>
    </row>
    <row r="26" spans="1:10">
      <c r="A26" s="566">
        <f t="shared" si="4"/>
        <v>17</v>
      </c>
      <c r="B26" s="475" t="s">
        <v>77</v>
      </c>
      <c r="C26" s="956">
        <v>0</v>
      </c>
      <c r="D26" s="956">
        <v>3181867.3053440005</v>
      </c>
      <c r="E26" s="957"/>
      <c r="F26" s="957"/>
      <c r="G26" s="957"/>
      <c r="H26" s="567">
        <f t="shared" si="3"/>
        <v>3181867.3053440005</v>
      </c>
      <c r="J26" s="123"/>
    </row>
    <row r="27" spans="1:10">
      <c r="A27" s="566">
        <f t="shared" si="4"/>
        <v>18</v>
      </c>
      <c r="B27" s="475" t="s">
        <v>97</v>
      </c>
      <c r="C27" s="956">
        <v>0</v>
      </c>
      <c r="D27" s="956">
        <v>3187593.9033600003</v>
      </c>
      <c r="E27" s="957"/>
      <c r="F27" s="957"/>
      <c r="G27" s="957"/>
      <c r="H27" s="567">
        <f t="shared" si="3"/>
        <v>3187593.9033600003</v>
      </c>
      <c r="J27" s="123"/>
    </row>
    <row r="28" spans="1:10">
      <c r="A28" s="566">
        <f t="shared" si="4"/>
        <v>19</v>
      </c>
      <c r="B28" s="475" t="s">
        <v>85</v>
      </c>
      <c r="C28" s="956">
        <v>0</v>
      </c>
      <c r="D28" s="956">
        <v>3198606.712576</v>
      </c>
      <c r="E28" s="957"/>
      <c r="F28" s="957"/>
      <c r="G28" s="957"/>
      <c r="H28" s="567">
        <f t="shared" si="3"/>
        <v>3198606.712576</v>
      </c>
      <c r="J28" s="123"/>
    </row>
    <row r="29" spans="1:10">
      <c r="A29" s="566">
        <f t="shared" si="4"/>
        <v>20</v>
      </c>
      <c r="B29" s="475" t="s">
        <v>178</v>
      </c>
      <c r="C29" s="956">
        <v>0</v>
      </c>
      <c r="D29" s="956">
        <v>3225632.441472</v>
      </c>
      <c r="E29" s="957"/>
      <c r="F29" s="957"/>
      <c r="G29" s="957"/>
      <c r="H29" s="567">
        <f t="shared" si="3"/>
        <v>3225632.441472</v>
      </c>
      <c r="J29" s="123"/>
    </row>
    <row r="30" spans="1:10">
      <c r="A30" s="566">
        <f t="shared" si="4"/>
        <v>21</v>
      </c>
      <c r="B30" s="475" t="s">
        <v>83</v>
      </c>
      <c r="C30" s="956">
        <v>0</v>
      </c>
      <c r="D30" s="956">
        <v>3240063.6165120001</v>
      </c>
      <c r="E30" s="957"/>
      <c r="F30" s="957"/>
      <c r="G30" s="957"/>
      <c r="H30" s="567">
        <f t="shared" si="3"/>
        <v>3240063.6165120001</v>
      </c>
      <c r="J30" s="123"/>
    </row>
    <row r="31" spans="1:10">
      <c r="A31" s="566">
        <f t="shared" si="4"/>
        <v>22</v>
      </c>
      <c r="B31" s="475" t="s">
        <v>89</v>
      </c>
      <c r="C31" s="956">
        <v>0</v>
      </c>
      <c r="D31" s="956">
        <v>3231099.2907520002</v>
      </c>
      <c r="E31" s="957"/>
      <c r="F31" s="957"/>
      <c r="G31" s="957"/>
      <c r="H31" s="567">
        <f t="shared" si="3"/>
        <v>3231099.2907520002</v>
      </c>
      <c r="J31" s="123"/>
    </row>
    <row r="32" spans="1:10">
      <c r="A32" s="566">
        <f t="shared" si="4"/>
        <v>23</v>
      </c>
      <c r="B32" s="475" t="s">
        <v>82</v>
      </c>
      <c r="C32" s="956">
        <v>0</v>
      </c>
      <c r="D32" s="956">
        <v>3234787.0481920005</v>
      </c>
      <c r="E32" s="957"/>
      <c r="F32" s="957"/>
      <c r="G32" s="957"/>
      <c r="H32" s="567">
        <f t="shared" si="3"/>
        <v>3234787.0481920005</v>
      </c>
      <c r="J32" s="123"/>
    </row>
    <row r="33" spans="1:10">
      <c r="A33" s="566">
        <f t="shared" si="4"/>
        <v>24</v>
      </c>
      <c r="B33" s="475" t="s">
        <v>203</v>
      </c>
      <c r="C33" s="956">
        <v>0</v>
      </c>
      <c r="D33" s="956">
        <v>3229861.3401600001</v>
      </c>
      <c r="E33" s="957"/>
      <c r="F33" s="957"/>
      <c r="G33" s="957"/>
      <c r="H33" s="567">
        <f t="shared" si="3"/>
        <v>3229861.3401600001</v>
      </c>
      <c r="J33" s="123"/>
    </row>
    <row r="34" spans="1:10">
      <c r="A34" s="566">
        <f t="shared" si="4"/>
        <v>25</v>
      </c>
      <c r="B34" s="475" t="s">
        <v>520</v>
      </c>
      <c r="C34" s="568">
        <f>AVERAGE(C21:C33)</f>
        <v>0</v>
      </c>
      <c r="D34" s="568">
        <f>AVERAGE(D21:D33)</f>
        <v>2964783.6699864618</v>
      </c>
      <c r="E34" s="568"/>
      <c r="F34" s="568"/>
      <c r="G34" s="568"/>
      <c r="H34" s="568">
        <f>AVERAGE(H21:H33)</f>
        <v>2964783.6699864618</v>
      </c>
      <c r="J34" s="123"/>
    </row>
    <row r="35" spans="1:10">
      <c r="A35" s="566"/>
      <c r="B35" s="475"/>
      <c r="C35" s="568"/>
      <c r="D35" s="568"/>
      <c r="E35" s="568"/>
      <c r="F35" s="568"/>
      <c r="J35" s="123"/>
    </row>
    <row r="36" spans="1:10">
      <c r="J36" s="123"/>
    </row>
    <row r="37" spans="1:10">
      <c r="B37" s="569" t="s">
        <v>215</v>
      </c>
      <c r="C37" s="475" t="str">
        <f>C20</f>
        <v>Constellation Merger</v>
      </c>
      <c r="D37" s="475" t="str">
        <f>D20</f>
        <v>PHI Merger</v>
      </c>
      <c r="E37" s="475"/>
      <c r="F37" s="475"/>
      <c r="G37" s="475"/>
      <c r="H37" s="566" t="s">
        <v>13</v>
      </c>
      <c r="J37" s="123"/>
    </row>
    <row r="38" spans="1:10">
      <c r="A38" s="566">
        <f>A34+1</f>
        <v>26</v>
      </c>
      <c r="B38" s="475" t="s">
        <v>202</v>
      </c>
      <c r="C38" s="956">
        <v>0</v>
      </c>
      <c r="D38" s="956">
        <v>89830.329471999998</v>
      </c>
      <c r="E38" s="957"/>
      <c r="F38" s="957"/>
      <c r="G38" s="957"/>
      <c r="H38" s="567">
        <f t="shared" ref="H38:H50" si="5">SUM(C38:G38)</f>
        <v>89830.329471999998</v>
      </c>
      <c r="J38" s="123"/>
    </row>
    <row r="39" spans="1:10">
      <c r="A39" s="566">
        <f>A38+1</f>
        <v>27</v>
      </c>
      <c r="B39" s="475" t="s">
        <v>88</v>
      </c>
      <c r="C39" s="956">
        <v>0</v>
      </c>
      <c r="D39" s="956">
        <v>153204.039552</v>
      </c>
      <c r="E39" s="957"/>
      <c r="F39" s="957"/>
      <c r="G39" s="957"/>
      <c r="H39" s="567">
        <f t="shared" si="5"/>
        <v>153204.039552</v>
      </c>
      <c r="J39" s="123"/>
    </row>
    <row r="40" spans="1:10">
      <c r="A40" s="566">
        <f t="shared" ref="A40:A51" si="6">A39+1</f>
        <v>28</v>
      </c>
      <c r="B40" s="475" t="s">
        <v>87</v>
      </c>
      <c r="C40" s="956">
        <v>0</v>
      </c>
      <c r="D40" s="956">
        <v>203766.63308800003</v>
      </c>
      <c r="E40" s="957"/>
      <c r="F40" s="957"/>
      <c r="G40" s="957"/>
      <c r="H40" s="567">
        <f t="shared" si="5"/>
        <v>203766.63308800003</v>
      </c>
      <c r="J40" s="123"/>
    </row>
    <row r="41" spans="1:10">
      <c r="A41" s="566">
        <f t="shared" si="6"/>
        <v>29</v>
      </c>
      <c r="B41" s="475" t="s">
        <v>177</v>
      </c>
      <c r="C41" s="956">
        <v>0</v>
      </c>
      <c r="D41" s="956">
        <v>255478.22067200002</v>
      </c>
      <c r="E41" s="957"/>
      <c r="F41" s="957"/>
      <c r="G41" s="957"/>
      <c r="H41" s="567">
        <f t="shared" si="5"/>
        <v>255478.22067200002</v>
      </c>
      <c r="J41" s="123"/>
    </row>
    <row r="42" spans="1:10">
      <c r="A42" s="566">
        <f t="shared" si="6"/>
        <v>30</v>
      </c>
      <c r="B42" s="475" t="s">
        <v>78</v>
      </c>
      <c r="C42" s="956">
        <v>0</v>
      </c>
      <c r="D42" s="956">
        <v>304639.68422400003</v>
      </c>
      <c r="E42" s="957"/>
      <c r="F42" s="957"/>
      <c r="G42" s="957"/>
      <c r="H42" s="567">
        <f t="shared" si="5"/>
        <v>304639.68422400003</v>
      </c>
      <c r="J42" s="123"/>
    </row>
    <row r="43" spans="1:10">
      <c r="A43" s="566">
        <f t="shared" si="6"/>
        <v>31</v>
      </c>
      <c r="B43" s="475" t="s">
        <v>77</v>
      </c>
      <c r="C43" s="956">
        <v>0</v>
      </c>
      <c r="D43" s="956">
        <v>356807.78214399994</v>
      </c>
      <c r="E43" s="957"/>
      <c r="F43" s="957"/>
      <c r="G43" s="957"/>
      <c r="H43" s="567">
        <f t="shared" si="5"/>
        <v>356807.78214399994</v>
      </c>
      <c r="J43" s="123"/>
    </row>
    <row r="44" spans="1:10">
      <c r="A44" s="566">
        <f t="shared" si="6"/>
        <v>32</v>
      </c>
      <c r="B44" s="475" t="s">
        <v>97</v>
      </c>
      <c r="C44" s="956">
        <v>0</v>
      </c>
      <c r="D44" s="956">
        <v>407268.840448</v>
      </c>
      <c r="E44" s="957"/>
      <c r="F44" s="957"/>
      <c r="G44" s="957"/>
      <c r="H44" s="567">
        <f t="shared" si="5"/>
        <v>407268.840448</v>
      </c>
      <c r="J44" s="123"/>
    </row>
    <row r="45" spans="1:10">
      <c r="A45" s="566">
        <f t="shared" si="6"/>
        <v>33</v>
      </c>
      <c r="B45" s="475" t="s">
        <v>85</v>
      </c>
      <c r="C45" s="956">
        <v>0</v>
      </c>
      <c r="D45" s="956">
        <v>458128.54399999994</v>
      </c>
      <c r="E45" s="957"/>
      <c r="F45" s="957"/>
      <c r="G45" s="957"/>
      <c r="H45" s="567">
        <f t="shared" si="5"/>
        <v>458128.54399999994</v>
      </c>
      <c r="J45" s="123"/>
    </row>
    <row r="46" spans="1:10">
      <c r="A46" s="566">
        <f t="shared" si="6"/>
        <v>34</v>
      </c>
      <c r="B46" s="475" t="s">
        <v>178</v>
      </c>
      <c r="C46" s="956">
        <v>0</v>
      </c>
      <c r="D46" s="956">
        <v>510100.7860480001</v>
      </c>
      <c r="E46" s="957"/>
      <c r="F46" s="957"/>
      <c r="G46" s="957"/>
      <c r="H46" s="567">
        <f t="shared" si="5"/>
        <v>510100.7860480001</v>
      </c>
      <c r="J46" s="123"/>
    </row>
    <row r="47" spans="1:10">
      <c r="A47" s="566">
        <f t="shared" si="6"/>
        <v>35</v>
      </c>
      <c r="B47" s="475" t="s">
        <v>83</v>
      </c>
      <c r="C47" s="956">
        <v>0</v>
      </c>
      <c r="D47" s="956">
        <v>562757.11040000001</v>
      </c>
      <c r="E47" s="957"/>
      <c r="F47" s="957"/>
      <c r="G47" s="957"/>
      <c r="H47" s="567">
        <f t="shared" si="5"/>
        <v>562757.11040000001</v>
      </c>
      <c r="J47" s="123"/>
    </row>
    <row r="48" spans="1:10">
      <c r="A48" s="566">
        <f t="shared" si="6"/>
        <v>36</v>
      </c>
      <c r="B48" s="475" t="s">
        <v>89</v>
      </c>
      <c r="C48" s="956">
        <v>0</v>
      </c>
      <c r="D48" s="956">
        <v>608210.70310399996</v>
      </c>
      <c r="E48" s="957"/>
      <c r="F48" s="957"/>
      <c r="G48" s="957"/>
      <c r="H48" s="567">
        <f t="shared" si="5"/>
        <v>608210.70310399996</v>
      </c>
      <c r="J48" s="123"/>
    </row>
    <row r="49" spans="1:10">
      <c r="A49" s="566">
        <f t="shared" si="6"/>
        <v>37</v>
      </c>
      <c r="B49" s="475" t="s">
        <v>82</v>
      </c>
      <c r="C49" s="956">
        <v>0</v>
      </c>
      <c r="D49" s="956">
        <v>662546.72345600021</v>
      </c>
      <c r="E49" s="957"/>
      <c r="F49" s="957"/>
      <c r="G49" s="957"/>
      <c r="H49" s="567">
        <f t="shared" si="5"/>
        <v>662546.72345600021</v>
      </c>
      <c r="J49" s="123"/>
    </row>
    <row r="50" spans="1:10">
      <c r="A50" s="566">
        <f t="shared" si="6"/>
        <v>38</v>
      </c>
      <c r="B50" s="475" t="s">
        <v>203</v>
      </c>
      <c r="C50" s="956">
        <v>0</v>
      </c>
      <c r="D50" s="956">
        <v>662090.37708800007</v>
      </c>
      <c r="E50" s="957"/>
      <c r="F50" s="957"/>
      <c r="G50" s="957"/>
      <c r="H50" s="567">
        <f t="shared" si="5"/>
        <v>662090.37708800007</v>
      </c>
      <c r="J50" s="123"/>
    </row>
    <row r="51" spans="1:10">
      <c r="A51" s="566">
        <f t="shared" si="6"/>
        <v>39</v>
      </c>
      <c r="B51" s="475" t="s">
        <v>520</v>
      </c>
      <c r="C51" s="568">
        <f>AVERAGE(C38:C50)</f>
        <v>0</v>
      </c>
      <c r="D51" s="568">
        <f>AVERAGE(D38:D50)</f>
        <v>402679.2133612308</v>
      </c>
      <c r="E51" s="568"/>
      <c r="F51" s="568"/>
      <c r="G51" s="568"/>
      <c r="H51" s="568">
        <f>AVERAGE(H38:H50)</f>
        <v>402679.2133612308</v>
      </c>
      <c r="J51" s="123"/>
    </row>
    <row r="52" spans="1:10" ht="17.399999999999999">
      <c r="B52" s="1031" t="str">
        <f>+'Attachment H-7'!D171</f>
        <v>PECO Energy Company</v>
      </c>
      <c r="C52" s="1031"/>
      <c r="D52" s="1031"/>
      <c r="E52" s="1031"/>
      <c r="F52" s="1031"/>
      <c r="G52" s="1031"/>
    </row>
    <row r="53" spans="1:10" ht="21">
      <c r="A53" s="765"/>
      <c r="B53" s="328"/>
      <c r="C53" s="329"/>
      <c r="D53" s="330"/>
      <c r="E53" s="202"/>
      <c r="F53" s="202"/>
      <c r="G53" s="202"/>
      <c r="H53" t="s">
        <v>160</v>
      </c>
    </row>
    <row r="54" spans="1:10" ht="15.6">
      <c r="A54" s="1032" t="str">
        <f>+A3</f>
        <v>Attachment 4E - Cost to Achieve Mergers</v>
      </c>
      <c r="B54" s="1032"/>
      <c r="C54" s="1032"/>
      <c r="D54" s="1032"/>
      <c r="E54" s="1032"/>
      <c r="F54" s="1032"/>
      <c r="G54" s="202"/>
    </row>
    <row r="55" spans="1:10">
      <c r="B55" s="589" t="s">
        <v>205</v>
      </c>
      <c r="C55" s="589" t="s">
        <v>206</v>
      </c>
      <c r="D55" s="589" t="s">
        <v>207</v>
      </c>
      <c r="E55" s="589" t="s">
        <v>208</v>
      </c>
      <c r="F55" s="589" t="s">
        <v>210</v>
      </c>
      <c r="G55" s="589" t="s">
        <v>1065</v>
      </c>
      <c r="H55" s="589" t="s">
        <v>1069</v>
      </c>
    </row>
    <row r="56" spans="1:10">
      <c r="A56" s="202"/>
      <c r="B56" s="745" t="s">
        <v>1070</v>
      </c>
      <c r="C56" s="475" t="str">
        <f>C37</f>
        <v>Constellation Merger</v>
      </c>
      <c r="D56" s="475" t="str">
        <f t="shared" ref="D56" si="7">D37</f>
        <v>PHI Merger</v>
      </c>
      <c r="E56" s="475"/>
      <c r="F56" s="475"/>
      <c r="G56" s="475"/>
      <c r="H56" s="566" t="s">
        <v>13</v>
      </c>
    </row>
    <row r="57" spans="1:10">
      <c r="A57" s="566">
        <f>A51+1</f>
        <v>40</v>
      </c>
      <c r="B57" s="475" t="s">
        <v>202</v>
      </c>
      <c r="C57" s="568">
        <f t="shared" ref="C57:D69" si="8">C21-C38</f>
        <v>0</v>
      </c>
      <c r="D57" s="568">
        <f t="shared" si="8"/>
        <v>624589.12307199999</v>
      </c>
      <c r="E57" s="568">
        <f t="shared" ref="E57:G57" si="9">E21-E38</f>
        <v>0</v>
      </c>
      <c r="F57" s="568">
        <f t="shared" si="9"/>
        <v>0</v>
      </c>
      <c r="G57" s="568">
        <f t="shared" si="9"/>
        <v>0</v>
      </c>
      <c r="H57" s="567">
        <f t="shared" ref="H57:H69" si="10">SUM(C57:G57)</f>
        <v>624589.12307199999</v>
      </c>
    </row>
    <row r="58" spans="1:10">
      <c r="A58" s="566">
        <f>A57+1</f>
        <v>41</v>
      </c>
      <c r="B58" s="475" t="s">
        <v>88</v>
      </c>
      <c r="C58" s="568">
        <f t="shared" si="8"/>
        <v>0</v>
      </c>
      <c r="D58" s="568">
        <f t="shared" si="8"/>
        <v>2625922.6124800001</v>
      </c>
      <c r="E58" s="568">
        <f t="shared" ref="E58:G58" si="11">E22-E39</f>
        <v>0</v>
      </c>
      <c r="F58" s="568">
        <f t="shared" si="11"/>
        <v>0</v>
      </c>
      <c r="G58" s="568">
        <f t="shared" si="11"/>
        <v>0</v>
      </c>
      <c r="H58" s="567">
        <f t="shared" si="10"/>
        <v>2625922.6124800001</v>
      </c>
    </row>
    <row r="59" spans="1:10">
      <c r="A59" s="566">
        <f t="shared" ref="A59:A70" si="12">A58+1</f>
        <v>42</v>
      </c>
      <c r="B59" s="475" t="s">
        <v>87</v>
      </c>
      <c r="C59" s="568">
        <f t="shared" si="8"/>
        <v>0</v>
      </c>
      <c r="D59" s="568">
        <f t="shared" si="8"/>
        <v>2839087.430656</v>
      </c>
      <c r="E59" s="568">
        <f t="shared" ref="E59:G59" si="13">E23-E40</f>
        <v>0</v>
      </c>
      <c r="F59" s="568">
        <f t="shared" si="13"/>
        <v>0</v>
      </c>
      <c r="G59" s="568">
        <f t="shared" si="13"/>
        <v>0</v>
      </c>
      <c r="H59" s="567">
        <f t="shared" si="10"/>
        <v>2839087.430656</v>
      </c>
    </row>
    <row r="60" spans="1:10">
      <c r="A60" s="566">
        <f t="shared" si="12"/>
        <v>43</v>
      </c>
      <c r="B60" s="475" t="s">
        <v>177</v>
      </c>
      <c r="C60" s="568">
        <f t="shared" si="8"/>
        <v>0</v>
      </c>
      <c r="D60" s="568">
        <f t="shared" si="8"/>
        <v>2877209.9906560006</v>
      </c>
      <c r="E60" s="568">
        <f t="shared" ref="E60:G60" si="14">E24-E41</f>
        <v>0</v>
      </c>
      <c r="F60" s="568">
        <f t="shared" si="14"/>
        <v>0</v>
      </c>
      <c r="G60" s="568">
        <f t="shared" si="14"/>
        <v>0</v>
      </c>
      <c r="H60" s="567">
        <f t="shared" si="10"/>
        <v>2877209.9906560006</v>
      </c>
    </row>
    <row r="61" spans="1:10">
      <c r="A61" s="566">
        <f t="shared" si="12"/>
        <v>44</v>
      </c>
      <c r="B61" s="475" t="s">
        <v>78</v>
      </c>
      <c r="C61" s="568">
        <f t="shared" si="8"/>
        <v>0</v>
      </c>
      <c r="D61" s="568">
        <f t="shared" si="8"/>
        <v>2838947.987584</v>
      </c>
      <c r="E61" s="568">
        <f t="shared" ref="E61:G61" si="15">E25-E42</f>
        <v>0</v>
      </c>
      <c r="F61" s="568">
        <f t="shared" si="15"/>
        <v>0</v>
      </c>
      <c r="G61" s="568">
        <f t="shared" si="15"/>
        <v>0</v>
      </c>
      <c r="H61" s="567">
        <f t="shared" si="10"/>
        <v>2838947.987584</v>
      </c>
    </row>
    <row r="62" spans="1:10">
      <c r="A62" s="566">
        <f t="shared" si="12"/>
        <v>45</v>
      </c>
      <c r="B62" s="475" t="s">
        <v>77</v>
      </c>
      <c r="C62" s="568">
        <f t="shared" si="8"/>
        <v>0</v>
      </c>
      <c r="D62" s="568">
        <f t="shared" si="8"/>
        <v>2825059.5232000006</v>
      </c>
      <c r="E62" s="568">
        <f t="shared" ref="E62:G62" si="16">E26-E43</f>
        <v>0</v>
      </c>
      <c r="F62" s="568">
        <f t="shared" si="16"/>
        <v>0</v>
      </c>
      <c r="G62" s="568">
        <f t="shared" si="16"/>
        <v>0</v>
      </c>
      <c r="H62" s="567">
        <f t="shared" si="10"/>
        <v>2825059.5232000006</v>
      </c>
    </row>
    <row r="63" spans="1:10">
      <c r="A63" s="566">
        <f t="shared" si="12"/>
        <v>46</v>
      </c>
      <c r="B63" s="475" t="s">
        <v>97</v>
      </c>
      <c r="C63" s="568">
        <f t="shared" si="8"/>
        <v>0</v>
      </c>
      <c r="D63" s="568">
        <f t="shared" si="8"/>
        <v>2780325.0629120003</v>
      </c>
      <c r="E63" s="568">
        <f t="shared" ref="E63:G63" si="17">E27-E44</f>
        <v>0</v>
      </c>
      <c r="F63" s="568">
        <f t="shared" si="17"/>
        <v>0</v>
      </c>
      <c r="G63" s="568">
        <f t="shared" si="17"/>
        <v>0</v>
      </c>
      <c r="H63" s="567">
        <f t="shared" si="10"/>
        <v>2780325.0629120003</v>
      </c>
    </row>
    <row r="64" spans="1:10">
      <c r="A64" s="566">
        <f t="shared" si="12"/>
        <v>47</v>
      </c>
      <c r="B64" s="475" t="s">
        <v>85</v>
      </c>
      <c r="C64" s="568">
        <f t="shared" si="8"/>
        <v>0</v>
      </c>
      <c r="D64" s="568">
        <f t="shared" si="8"/>
        <v>2740478.1685760003</v>
      </c>
      <c r="E64" s="568">
        <f t="shared" ref="E64:G64" si="18">E28-E45</f>
        <v>0</v>
      </c>
      <c r="F64" s="568">
        <f t="shared" si="18"/>
        <v>0</v>
      </c>
      <c r="G64" s="568">
        <f t="shared" si="18"/>
        <v>0</v>
      </c>
      <c r="H64" s="567">
        <f t="shared" si="10"/>
        <v>2740478.1685760003</v>
      </c>
    </row>
    <row r="65" spans="1:8">
      <c r="A65" s="566">
        <f t="shared" si="12"/>
        <v>48</v>
      </c>
      <c r="B65" s="475" t="s">
        <v>178</v>
      </c>
      <c r="C65" s="568">
        <f t="shared" si="8"/>
        <v>0</v>
      </c>
      <c r="D65" s="568">
        <f t="shared" si="8"/>
        <v>2715531.6554239998</v>
      </c>
      <c r="E65" s="568">
        <f t="shared" ref="E65:G65" si="19">E29-E46</f>
        <v>0</v>
      </c>
      <c r="F65" s="568">
        <f t="shared" si="19"/>
        <v>0</v>
      </c>
      <c r="G65" s="568">
        <f t="shared" si="19"/>
        <v>0</v>
      </c>
      <c r="H65" s="567">
        <f t="shared" si="10"/>
        <v>2715531.6554239998</v>
      </c>
    </row>
    <row r="66" spans="1:8">
      <c r="A66" s="566">
        <f t="shared" si="12"/>
        <v>49</v>
      </c>
      <c r="B66" s="475" t="s">
        <v>83</v>
      </c>
      <c r="C66" s="568">
        <f t="shared" si="8"/>
        <v>0</v>
      </c>
      <c r="D66" s="568">
        <f t="shared" si="8"/>
        <v>2677306.506112</v>
      </c>
      <c r="E66" s="568">
        <f t="shared" ref="E66:G66" si="20">E30-E47</f>
        <v>0</v>
      </c>
      <c r="F66" s="568">
        <f t="shared" si="20"/>
        <v>0</v>
      </c>
      <c r="G66" s="568">
        <f t="shared" si="20"/>
        <v>0</v>
      </c>
      <c r="H66" s="567">
        <f t="shared" si="10"/>
        <v>2677306.506112</v>
      </c>
    </row>
    <row r="67" spans="1:8">
      <c r="A67" s="566">
        <f t="shared" si="12"/>
        <v>50</v>
      </c>
      <c r="B67" s="475" t="s">
        <v>89</v>
      </c>
      <c r="C67" s="568">
        <f t="shared" si="8"/>
        <v>0</v>
      </c>
      <c r="D67" s="568">
        <f t="shared" si="8"/>
        <v>2622888.5876480001</v>
      </c>
      <c r="E67" s="568">
        <f t="shared" ref="E67:G67" si="21">E31-E48</f>
        <v>0</v>
      </c>
      <c r="F67" s="568">
        <f t="shared" si="21"/>
        <v>0</v>
      </c>
      <c r="G67" s="568">
        <f t="shared" si="21"/>
        <v>0</v>
      </c>
      <c r="H67" s="567">
        <f t="shared" si="10"/>
        <v>2622888.5876480001</v>
      </c>
    </row>
    <row r="68" spans="1:8">
      <c r="A68" s="566">
        <f t="shared" si="12"/>
        <v>51</v>
      </c>
      <c r="B68" s="475" t="s">
        <v>82</v>
      </c>
      <c r="C68" s="568">
        <f t="shared" si="8"/>
        <v>0</v>
      </c>
      <c r="D68" s="568">
        <f t="shared" si="8"/>
        <v>2572240.324736</v>
      </c>
      <c r="E68" s="568">
        <f t="shared" ref="E68:G68" si="22">E32-E49</f>
        <v>0</v>
      </c>
      <c r="F68" s="568">
        <f t="shared" si="22"/>
        <v>0</v>
      </c>
      <c r="G68" s="568">
        <f t="shared" si="22"/>
        <v>0</v>
      </c>
      <c r="H68" s="567">
        <f t="shared" si="10"/>
        <v>2572240.324736</v>
      </c>
    </row>
    <row r="69" spans="1:8">
      <c r="A69" s="566">
        <f t="shared" si="12"/>
        <v>52</v>
      </c>
      <c r="B69" s="475" t="s">
        <v>203</v>
      </c>
      <c r="C69" s="568">
        <f t="shared" si="8"/>
        <v>0</v>
      </c>
      <c r="D69" s="568">
        <f t="shared" si="8"/>
        <v>2567770.9630720001</v>
      </c>
      <c r="E69" s="568">
        <f t="shared" ref="E69:G69" si="23">E33-E50</f>
        <v>0</v>
      </c>
      <c r="F69" s="568">
        <f t="shared" si="23"/>
        <v>0</v>
      </c>
      <c r="G69" s="568">
        <f t="shared" si="23"/>
        <v>0</v>
      </c>
      <c r="H69" s="567">
        <f t="shared" si="10"/>
        <v>2567770.9630720001</v>
      </c>
    </row>
    <row r="70" spans="1:8">
      <c r="A70" s="566">
        <f t="shared" si="12"/>
        <v>53</v>
      </c>
      <c r="B70" s="475" t="s">
        <v>520</v>
      </c>
      <c r="C70" s="568">
        <f>C34-C51</f>
        <v>0</v>
      </c>
      <c r="D70" s="568">
        <f>AVERAGE(D57:D69)</f>
        <v>2562104.4566252311</v>
      </c>
      <c r="E70" s="568">
        <f t="shared" ref="E70:G70" si="24">AVERAGE(E57:E69)</f>
        <v>0</v>
      </c>
      <c r="F70" s="568">
        <f t="shared" si="24"/>
        <v>0</v>
      </c>
      <c r="G70" s="568">
        <f t="shared" si="24"/>
        <v>0</v>
      </c>
      <c r="H70" s="568">
        <f>AVERAGE(H57:H69)</f>
        <v>2562104.4566252311</v>
      </c>
    </row>
    <row r="71" spans="1:8">
      <c r="A71" s="202"/>
    </row>
    <row r="72" spans="1:8">
      <c r="A72" s="202"/>
    </row>
    <row r="73" spans="1:8">
      <c r="A73" s="202"/>
      <c r="B73" s="569" t="s">
        <v>1066</v>
      </c>
      <c r="C73" s="475" t="str">
        <f>C56</f>
        <v>Constellation Merger</v>
      </c>
      <c r="D73" s="475" t="str">
        <f>D56</f>
        <v>PHI Merger</v>
      </c>
      <c r="H73" s="566" t="s">
        <v>13</v>
      </c>
    </row>
    <row r="74" spans="1:8">
      <c r="A74" s="566">
        <f>A70+1</f>
        <v>54</v>
      </c>
      <c r="B74" s="475" t="s">
        <v>88</v>
      </c>
      <c r="C74" s="568">
        <f>C39-C38</f>
        <v>0</v>
      </c>
      <c r="D74" s="568">
        <f>D39-D38</f>
        <v>63373.710080000004</v>
      </c>
      <c r="H74" s="567">
        <f t="shared" ref="H74:H86" si="25">SUM(C74:G74)</f>
        <v>63373.710080000004</v>
      </c>
    </row>
    <row r="75" spans="1:8">
      <c r="A75" s="566">
        <f t="shared" ref="A75:A86" si="26">A74+1</f>
        <v>55</v>
      </c>
      <c r="B75" s="475" t="s">
        <v>87</v>
      </c>
      <c r="C75" s="568">
        <f>C40-C39</f>
        <v>0</v>
      </c>
      <c r="D75" s="568">
        <f>D40-D39</f>
        <v>50562.593536000029</v>
      </c>
      <c r="H75" s="567">
        <f t="shared" si="25"/>
        <v>50562.593536000029</v>
      </c>
    </row>
    <row r="76" spans="1:8">
      <c r="A76" s="566">
        <f t="shared" si="26"/>
        <v>56</v>
      </c>
      <c r="B76" s="475" t="s">
        <v>177</v>
      </c>
      <c r="C76" s="568">
        <f>(C41*31/12-C40)*12/31</f>
        <v>0</v>
      </c>
      <c r="D76" s="568">
        <f t="shared" ref="D76:D85" si="27">D41-D40</f>
        <v>51711.587583999994</v>
      </c>
      <c r="H76" s="567">
        <f t="shared" si="25"/>
        <v>51711.587583999994</v>
      </c>
    </row>
    <row r="77" spans="1:8">
      <c r="A77" s="566">
        <f t="shared" si="26"/>
        <v>57</v>
      </c>
      <c r="B77" s="475" t="s">
        <v>78</v>
      </c>
      <c r="C77" s="568">
        <f>C42-C41*0</f>
        <v>0</v>
      </c>
      <c r="D77" s="568">
        <f t="shared" si="27"/>
        <v>49161.463552000001</v>
      </c>
      <c r="H77" s="567">
        <f t="shared" si="25"/>
        <v>49161.463552000001</v>
      </c>
    </row>
    <row r="78" spans="1:8">
      <c r="A78" s="566">
        <f t="shared" si="26"/>
        <v>58</v>
      </c>
      <c r="B78" s="475" t="s">
        <v>77</v>
      </c>
      <c r="C78" s="568">
        <f t="shared" ref="C78:C85" si="28">C43-C42</f>
        <v>0</v>
      </c>
      <c r="D78" s="568">
        <f t="shared" si="27"/>
        <v>52168.097919999913</v>
      </c>
      <c r="H78" s="567">
        <f t="shared" si="25"/>
        <v>52168.097919999913</v>
      </c>
    </row>
    <row r="79" spans="1:8">
      <c r="A79" s="566">
        <f t="shared" si="26"/>
        <v>59</v>
      </c>
      <c r="B79" s="475" t="s">
        <v>97</v>
      </c>
      <c r="C79" s="568">
        <f t="shared" si="28"/>
        <v>0</v>
      </c>
      <c r="D79" s="568">
        <f t="shared" si="27"/>
        <v>50461.058304000064</v>
      </c>
      <c r="H79" s="567">
        <f t="shared" si="25"/>
        <v>50461.058304000064</v>
      </c>
    </row>
    <row r="80" spans="1:8">
      <c r="A80" s="566">
        <f t="shared" si="26"/>
        <v>60</v>
      </c>
      <c r="B80" s="475" t="s">
        <v>85</v>
      </c>
      <c r="C80" s="568">
        <f t="shared" si="28"/>
        <v>0</v>
      </c>
      <c r="D80" s="568">
        <f t="shared" si="27"/>
        <v>50859.703551999934</v>
      </c>
      <c r="H80" s="567">
        <f t="shared" si="25"/>
        <v>50859.703551999934</v>
      </c>
    </row>
    <row r="81" spans="1:8">
      <c r="A81" s="566">
        <f t="shared" si="26"/>
        <v>61</v>
      </c>
      <c r="B81" s="475" t="s">
        <v>178</v>
      </c>
      <c r="C81" s="568">
        <f t="shared" si="28"/>
        <v>0</v>
      </c>
      <c r="D81" s="568">
        <f t="shared" si="27"/>
        <v>51972.24204800016</v>
      </c>
      <c r="H81" s="567">
        <f t="shared" si="25"/>
        <v>51972.24204800016</v>
      </c>
    </row>
    <row r="82" spans="1:8">
      <c r="A82" s="566">
        <f t="shared" si="26"/>
        <v>62</v>
      </c>
      <c r="B82" s="475" t="s">
        <v>83</v>
      </c>
      <c r="C82" s="568">
        <f t="shared" si="28"/>
        <v>0</v>
      </c>
      <c r="D82" s="568">
        <f t="shared" si="27"/>
        <v>52656.324351999909</v>
      </c>
      <c r="H82" s="567">
        <f t="shared" si="25"/>
        <v>52656.324351999909</v>
      </c>
    </row>
    <row r="83" spans="1:8">
      <c r="A83" s="566">
        <f t="shared" si="26"/>
        <v>63</v>
      </c>
      <c r="B83" s="475" t="s">
        <v>89</v>
      </c>
      <c r="C83" s="568">
        <f t="shared" si="28"/>
        <v>0</v>
      </c>
      <c r="D83" s="568">
        <f t="shared" si="27"/>
        <v>45453.592703999951</v>
      </c>
      <c r="H83" s="567">
        <f t="shared" si="25"/>
        <v>45453.592703999951</v>
      </c>
    </row>
    <row r="84" spans="1:8">
      <c r="A84" s="566">
        <f t="shared" si="26"/>
        <v>64</v>
      </c>
      <c r="B84" s="475" t="s">
        <v>82</v>
      </c>
      <c r="C84" s="568">
        <f t="shared" si="28"/>
        <v>0</v>
      </c>
      <c r="D84" s="568">
        <f t="shared" si="27"/>
        <v>54336.020352000254</v>
      </c>
      <c r="H84" s="567">
        <f t="shared" si="25"/>
        <v>54336.020352000254</v>
      </c>
    </row>
    <row r="85" spans="1:8">
      <c r="A85" s="566">
        <f t="shared" si="26"/>
        <v>65</v>
      </c>
      <c r="B85" s="475" t="s">
        <v>203</v>
      </c>
      <c r="C85" s="568">
        <f t="shared" si="28"/>
        <v>0</v>
      </c>
      <c r="D85" s="568">
        <f t="shared" si="27"/>
        <v>-456.34636800014414</v>
      </c>
      <c r="H85" s="567">
        <f t="shared" si="25"/>
        <v>-456.34636800014414</v>
      </c>
    </row>
    <row r="86" spans="1:8">
      <c r="A86" s="566">
        <f t="shared" si="26"/>
        <v>66</v>
      </c>
      <c r="B86" s="475" t="s">
        <v>13</v>
      </c>
      <c r="C86" s="568">
        <f>SUM(C74:C85)</f>
        <v>0</v>
      </c>
      <c r="D86" s="568">
        <f>SUM(D74:D85)</f>
        <v>572260.04761600005</v>
      </c>
      <c r="H86" s="567">
        <f t="shared" si="25"/>
        <v>572260.04761600005</v>
      </c>
    </row>
    <row r="87" spans="1:8">
      <c r="H87" s="568"/>
    </row>
  </sheetData>
  <sheetProtection algorithmName="SHA-512" hashValue="kT0OW2cjac/iNKk9j0tGt4ctfZpKuXaV4QIwKUiIVfIGjynnUNQ0lGhb9SicsNPsEpkWani/v7vp1/sDqRHrEg==" saltValue="iPZyj62oSeYLzJeyJ3lhrA==" spinCount="100000" sheet="1" objects="1" scenarios="1"/>
  <mergeCells count="4">
    <mergeCell ref="A1:F1"/>
    <mergeCell ref="A3:F3"/>
    <mergeCell ref="A54:F54"/>
    <mergeCell ref="B52:G52"/>
  </mergeCells>
  <pageMargins left="0.7" right="0.7" top="0.75" bottom="0.75" header="0.3" footer="0.3"/>
  <pageSetup scale="55" fitToHeight="2" orientation="landscape" r:id="rId1"/>
  <rowBreaks count="1" manualBreakCount="1">
    <brk id="5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4"/>
  <sheetViews>
    <sheetView zoomScale="70" zoomScaleNormal="70" zoomScaleSheetLayoutView="70" workbookViewId="0"/>
  </sheetViews>
  <sheetFormatPr defaultColWidth="14" defaultRowHeight="13.2"/>
  <cols>
    <col min="1" max="1" width="5.81640625" style="363" bestFit="1" customWidth="1"/>
    <col min="2" max="2" width="23.6328125" style="115" customWidth="1"/>
    <col min="3" max="3" width="16.81640625" style="115" customWidth="1"/>
    <col min="4" max="4" width="16.36328125" style="115" customWidth="1"/>
    <col min="5" max="5" width="18.90625" style="115" customWidth="1"/>
    <col min="6" max="6" width="15.453125" style="115" customWidth="1"/>
    <col min="7" max="7" width="13.1796875" style="115" customWidth="1"/>
    <col min="8" max="8" width="12.453125" style="115" bestFit="1" customWidth="1"/>
    <col min="9" max="9" width="17.6328125" style="115" bestFit="1" customWidth="1"/>
    <col min="10" max="10" width="15" style="115" customWidth="1"/>
    <col min="11" max="11" width="12.54296875" style="115" bestFit="1" customWidth="1"/>
    <col min="12" max="12" width="13.1796875" style="115" customWidth="1"/>
    <col min="13" max="13" width="12.81640625" style="115" customWidth="1"/>
    <col min="14" max="14" width="14" style="115"/>
    <col min="15" max="15" width="10" style="115" bestFit="1" customWidth="1"/>
    <col min="16" max="16384" width="14" style="115"/>
  </cols>
  <sheetData>
    <row r="1" spans="1:15">
      <c r="G1" s="362" t="s">
        <v>198</v>
      </c>
      <c r="M1" s="364" t="s">
        <v>457</v>
      </c>
    </row>
    <row r="2" spans="1:15" ht="15" customHeight="1">
      <c r="G2" s="163" t="s">
        <v>424</v>
      </c>
    </row>
    <row r="3" spans="1:15">
      <c r="D3" s="9"/>
      <c r="E3" s="9"/>
      <c r="F3" s="9"/>
      <c r="G3" s="223" t="str">
        <f>+'Attachment H-7'!D5</f>
        <v>PECO Energy Company</v>
      </c>
      <c r="H3" s="9"/>
      <c r="J3" s="9"/>
      <c r="K3" s="9"/>
      <c r="L3" s="9"/>
      <c r="M3" s="9"/>
      <c r="N3" s="9"/>
    </row>
    <row r="4" spans="1:15">
      <c r="B4" s="8"/>
    </row>
    <row r="6" spans="1:15" s="366" customFormat="1" ht="69.75" customHeight="1">
      <c r="A6" s="365" t="s">
        <v>161</v>
      </c>
      <c r="B6" s="80" t="s">
        <v>173</v>
      </c>
      <c r="C6" s="80" t="s">
        <v>288</v>
      </c>
      <c r="D6" s="80" t="s">
        <v>256</v>
      </c>
      <c r="E6" s="80" t="s">
        <v>257</v>
      </c>
      <c r="F6" s="80" t="s">
        <v>730</v>
      </c>
      <c r="G6" s="80" t="s">
        <v>289</v>
      </c>
      <c r="H6" s="204" t="s">
        <v>342</v>
      </c>
      <c r="I6" s="80" t="s">
        <v>290</v>
      </c>
      <c r="J6" s="80" t="s">
        <v>844</v>
      </c>
      <c r="O6" s="175"/>
    </row>
    <row r="7" spans="1:15" s="366" customFormat="1">
      <c r="A7" s="365"/>
      <c r="B7" s="80"/>
      <c r="C7" s="78" t="s">
        <v>205</v>
      </c>
      <c r="D7" s="367" t="s">
        <v>206</v>
      </c>
      <c r="E7" s="367" t="s">
        <v>207</v>
      </c>
      <c r="F7" s="368" t="s">
        <v>208</v>
      </c>
      <c r="G7" s="155" t="s">
        <v>210</v>
      </c>
      <c r="H7" s="163" t="s">
        <v>209</v>
      </c>
      <c r="I7" s="163" t="s">
        <v>211</v>
      </c>
      <c r="J7" s="155" t="s">
        <v>212</v>
      </c>
      <c r="O7" s="175"/>
    </row>
    <row r="8" spans="1:15" ht="25.5" customHeight="1">
      <c r="A8" s="161"/>
      <c r="B8" s="203" t="s">
        <v>344</v>
      </c>
      <c r="C8" s="78">
        <v>1</v>
      </c>
      <c r="D8" s="78">
        <v>2</v>
      </c>
      <c r="E8" s="78">
        <v>3</v>
      </c>
      <c r="F8" s="78"/>
      <c r="G8" s="78">
        <v>11</v>
      </c>
      <c r="H8" s="78">
        <v>12</v>
      </c>
      <c r="I8" s="78">
        <v>16</v>
      </c>
      <c r="J8" s="78"/>
      <c r="O8" s="176"/>
    </row>
    <row r="9" spans="1:15" s="369" customFormat="1" ht="24.75" customHeight="1">
      <c r="A9" s="161"/>
      <c r="B9" s="156" t="s">
        <v>425</v>
      </c>
      <c r="C9" s="163" t="s">
        <v>426</v>
      </c>
      <c r="D9" s="163" t="s">
        <v>427</v>
      </c>
      <c r="E9" s="163" t="s">
        <v>428</v>
      </c>
      <c r="F9" s="335" t="s">
        <v>731</v>
      </c>
      <c r="G9" s="335" t="s">
        <v>429</v>
      </c>
      <c r="H9" s="335" t="s">
        <v>430</v>
      </c>
      <c r="I9" s="163" t="s">
        <v>431</v>
      </c>
      <c r="J9" s="163" t="s">
        <v>888</v>
      </c>
      <c r="O9" s="177"/>
    </row>
    <row r="10" spans="1:15" s="369" customFormat="1">
      <c r="A10" s="161"/>
      <c r="B10" s="156"/>
      <c r="F10" s="163"/>
      <c r="J10" s="163"/>
      <c r="O10" s="177"/>
    </row>
    <row r="11" spans="1:15">
      <c r="A11" s="161"/>
      <c r="B11" s="370"/>
      <c r="C11" s="78"/>
      <c r="D11" s="78"/>
      <c r="E11" s="78"/>
      <c r="F11" s="78"/>
      <c r="G11" s="78"/>
      <c r="H11" s="78"/>
      <c r="I11" s="78"/>
      <c r="J11" s="78"/>
      <c r="O11" s="176"/>
    </row>
    <row r="12" spans="1:15">
      <c r="A12" s="161" t="s">
        <v>253</v>
      </c>
      <c r="B12" s="373" t="s">
        <v>13</v>
      </c>
      <c r="C12" s="958">
        <v>188583461</v>
      </c>
      <c r="D12" s="959">
        <v>11664574</v>
      </c>
      <c r="E12" s="959">
        <v>0</v>
      </c>
      <c r="F12" s="959">
        <f>55283016+81351111</f>
        <v>136634127</v>
      </c>
      <c r="G12" s="959">
        <v>0</v>
      </c>
      <c r="H12" s="843">
        <f>D12-G12</f>
        <v>11664574</v>
      </c>
      <c r="I12" s="959">
        <v>25205442</v>
      </c>
      <c r="J12" s="959">
        <v>25075648</v>
      </c>
      <c r="O12" s="178"/>
    </row>
    <row r="13" spans="1:15">
      <c r="A13" s="161"/>
      <c r="B13" s="371"/>
      <c r="C13" s="371"/>
      <c r="D13" s="371"/>
      <c r="E13" s="371"/>
      <c r="F13" s="371"/>
      <c r="G13" s="371"/>
      <c r="H13" s="371"/>
      <c r="I13" s="371"/>
      <c r="J13" s="371"/>
      <c r="N13" s="371"/>
      <c r="O13" s="179"/>
    </row>
    <row r="14" spans="1:15">
      <c r="A14" s="161"/>
      <c r="B14" s="371"/>
      <c r="C14" s="371"/>
      <c r="D14" s="865"/>
      <c r="E14" s="371"/>
      <c r="F14" s="371"/>
      <c r="G14" s="371"/>
      <c r="H14" s="371"/>
      <c r="I14" s="371"/>
      <c r="J14" s="371"/>
      <c r="N14" s="371"/>
      <c r="O14" s="179"/>
    </row>
    <row r="15" spans="1:15" ht="79.2">
      <c r="A15" s="161"/>
      <c r="C15" s="80" t="s">
        <v>703</v>
      </c>
      <c r="D15" s="366" t="s">
        <v>258</v>
      </c>
      <c r="E15" s="80" t="s">
        <v>291</v>
      </c>
      <c r="F15" s="366" t="s">
        <v>889</v>
      </c>
      <c r="G15" s="80" t="s">
        <v>292</v>
      </c>
      <c r="H15" s="80" t="s">
        <v>252</v>
      </c>
      <c r="I15" s="80" t="s">
        <v>890</v>
      </c>
      <c r="J15" s="80" t="s">
        <v>1236</v>
      </c>
      <c r="K15" s="80" t="s">
        <v>1311</v>
      </c>
      <c r="L15" s="80" t="s">
        <v>1310</v>
      </c>
      <c r="M15" s="80" t="s">
        <v>1312</v>
      </c>
      <c r="N15" s="371"/>
      <c r="O15" s="180"/>
    </row>
    <row r="16" spans="1:15">
      <c r="A16" s="161"/>
      <c r="C16" s="78" t="s">
        <v>205</v>
      </c>
      <c r="D16" s="367" t="s">
        <v>206</v>
      </c>
      <c r="E16" s="566" t="s">
        <v>1285</v>
      </c>
      <c r="F16" s="368" t="s">
        <v>208</v>
      </c>
      <c r="G16" s="368" t="s">
        <v>210</v>
      </c>
      <c r="H16" s="368" t="s">
        <v>209</v>
      </c>
      <c r="I16" s="368" t="s">
        <v>211</v>
      </c>
      <c r="J16" s="155" t="s">
        <v>212</v>
      </c>
      <c r="K16" s="155" t="s">
        <v>213</v>
      </c>
      <c r="L16" s="163" t="s">
        <v>255</v>
      </c>
      <c r="M16" s="163" t="s">
        <v>259</v>
      </c>
      <c r="N16" s="371"/>
      <c r="O16" s="180"/>
    </row>
    <row r="17" spans="1:15">
      <c r="A17" s="161"/>
      <c r="B17" s="203" t="s">
        <v>317</v>
      </c>
      <c r="C17" s="78">
        <v>17</v>
      </c>
      <c r="D17" s="161">
        <v>19</v>
      </c>
      <c r="E17" s="78">
        <v>23</v>
      </c>
      <c r="F17" s="78">
        <v>24</v>
      </c>
      <c r="G17" s="78">
        <v>26</v>
      </c>
      <c r="H17" s="78">
        <v>27</v>
      </c>
      <c r="I17" s="78">
        <v>28</v>
      </c>
      <c r="J17" s="78">
        <v>29</v>
      </c>
      <c r="K17" s="156">
        <v>38</v>
      </c>
      <c r="L17" s="78">
        <v>39</v>
      </c>
      <c r="M17" s="78">
        <v>40</v>
      </c>
      <c r="N17" s="371"/>
      <c r="O17" s="180"/>
    </row>
    <row r="18" spans="1:15">
      <c r="A18" s="161"/>
      <c r="B18" s="156" t="s">
        <v>425</v>
      </c>
      <c r="C18" s="335" t="s">
        <v>704</v>
      </c>
      <c r="D18" s="163" t="s">
        <v>432</v>
      </c>
      <c r="E18" s="115" t="s">
        <v>1338</v>
      </c>
      <c r="F18" s="163"/>
      <c r="G18" s="115" t="s">
        <v>1347</v>
      </c>
      <c r="H18" s="115" t="s">
        <v>1169</v>
      </c>
      <c r="I18" s="163" t="s">
        <v>1348</v>
      </c>
      <c r="J18" s="163" t="s">
        <v>1170</v>
      </c>
      <c r="K18" s="163" t="s">
        <v>1309</v>
      </c>
      <c r="L18" s="163" t="s">
        <v>250</v>
      </c>
      <c r="M18" s="163" t="s">
        <v>433</v>
      </c>
      <c r="N18" s="371"/>
      <c r="O18" s="180"/>
    </row>
    <row r="19" spans="1:15" s="369" customFormat="1">
      <c r="A19" s="161"/>
      <c r="B19" s="156"/>
      <c r="N19" s="163"/>
    </row>
    <row r="20" spans="1:15">
      <c r="A20" s="161"/>
      <c r="C20" s="78"/>
      <c r="E20" s="78"/>
      <c r="F20" s="78"/>
      <c r="G20" s="78"/>
      <c r="H20" s="78"/>
      <c r="I20" s="78"/>
      <c r="J20" s="78"/>
      <c r="K20" s="78"/>
      <c r="L20" s="78"/>
      <c r="M20" s="78"/>
      <c r="N20" s="371"/>
    </row>
    <row r="21" spans="1:15">
      <c r="A21" s="161" t="s">
        <v>171</v>
      </c>
      <c r="B21" s="373" t="s">
        <v>13</v>
      </c>
      <c r="C21" s="959">
        <v>16933386</v>
      </c>
      <c r="D21" s="959">
        <v>0</v>
      </c>
      <c r="E21" s="959">
        <v>12636392</v>
      </c>
      <c r="F21" s="959">
        <v>0</v>
      </c>
      <c r="G21" s="959">
        <v>12111350</v>
      </c>
      <c r="H21" s="959">
        <v>130943417</v>
      </c>
      <c r="I21" s="959">
        <v>537456</v>
      </c>
      <c r="J21" s="959">
        <v>4294</v>
      </c>
      <c r="K21" s="959">
        <v>3978.9374610137602</v>
      </c>
      <c r="L21" s="959">
        <v>1360026</v>
      </c>
      <c r="M21" s="959">
        <v>296018.03437660693</v>
      </c>
      <c r="N21" s="371"/>
    </row>
    <row r="22" spans="1:15">
      <c r="A22" s="161"/>
      <c r="B22" s="537"/>
      <c r="C22" s="118"/>
      <c r="D22" s="118"/>
      <c r="E22" s="118"/>
      <c r="F22" s="118"/>
      <c r="G22" s="118"/>
      <c r="H22" s="118"/>
      <c r="I22" s="118"/>
      <c r="J22" s="118"/>
      <c r="K22" s="118"/>
      <c r="L22" s="118"/>
      <c r="M22" s="118"/>
      <c r="N22" s="371"/>
    </row>
    <row r="23" spans="1:15">
      <c r="B23" s="371"/>
      <c r="C23" s="371"/>
      <c r="D23" s="371"/>
      <c r="E23" s="371"/>
      <c r="F23" s="371"/>
      <c r="G23" s="78" t="s">
        <v>198</v>
      </c>
      <c r="H23" s="371"/>
      <c r="I23" s="371"/>
      <c r="J23" s="371"/>
      <c r="M23" s="364" t="s">
        <v>160</v>
      </c>
      <c r="N23" s="371"/>
      <c r="O23" s="374"/>
    </row>
    <row r="24" spans="1:15">
      <c r="B24" s="371"/>
      <c r="C24" s="864"/>
      <c r="D24" s="371"/>
      <c r="E24" s="371"/>
      <c r="F24" s="371"/>
      <c r="G24" s="78" t="s">
        <v>424</v>
      </c>
      <c r="H24" s="371"/>
      <c r="I24" s="371"/>
      <c r="J24" s="371"/>
      <c r="N24" s="371"/>
      <c r="O24" s="374"/>
    </row>
    <row r="25" spans="1:15" ht="15.6">
      <c r="A25" s="543"/>
      <c r="B25" s="544"/>
      <c r="C25" s="864"/>
      <c r="D25" s="544"/>
      <c r="E25" s="544"/>
      <c r="F25" s="544"/>
      <c r="G25" s="545" t="str">
        <f>+G3</f>
        <v>PECO Energy Company</v>
      </c>
      <c r="H25" s="544"/>
      <c r="I25" s="544"/>
      <c r="J25" s="544"/>
      <c r="K25" s="546"/>
      <c r="L25" s="546"/>
      <c r="M25" s="546"/>
      <c r="N25" s="371"/>
      <c r="O25" s="374"/>
    </row>
    <row r="26" spans="1:15">
      <c r="B26" s="371"/>
      <c r="C26" s="371"/>
      <c r="D26" s="371"/>
      <c r="E26" s="371"/>
      <c r="F26" s="371"/>
      <c r="G26" s="371"/>
      <c r="H26" s="371"/>
      <c r="I26" s="371"/>
      <c r="J26" s="371"/>
      <c r="N26" s="371"/>
      <c r="O26" s="374"/>
    </row>
    <row r="27" spans="1:15">
      <c r="B27" s="371"/>
      <c r="C27" s="371"/>
      <c r="D27" s="371"/>
      <c r="E27" s="371"/>
      <c r="F27" s="371"/>
      <c r="G27" s="371"/>
      <c r="H27" s="371"/>
      <c r="I27" s="371"/>
      <c r="J27" s="371"/>
      <c r="N27" s="371"/>
      <c r="O27" s="374"/>
    </row>
    <row r="28" spans="1:15" ht="13.8" thickBot="1">
      <c r="A28" s="160"/>
      <c r="B28" s="81"/>
      <c r="C28" s="8"/>
      <c r="D28" s="538"/>
      <c r="E28" s="538"/>
      <c r="F28" s="538"/>
      <c r="G28" s="538"/>
      <c r="H28" s="538"/>
      <c r="I28" s="538"/>
      <c r="J28" s="539" t="s">
        <v>46</v>
      </c>
      <c r="K28" s="375"/>
      <c r="L28" s="8"/>
      <c r="N28" s="376"/>
      <c r="O28" s="376"/>
    </row>
    <row r="29" spans="1:15">
      <c r="A29" s="160">
        <f>+A21+1</f>
        <v>3</v>
      </c>
      <c r="B29" s="81"/>
      <c r="C29" s="8"/>
      <c r="D29" s="538" t="s">
        <v>318</v>
      </c>
      <c r="E29" s="538"/>
      <c r="F29" s="538"/>
      <c r="G29" s="538"/>
      <c r="H29" s="538"/>
      <c r="I29" s="538"/>
      <c r="J29" s="867">
        <f>112709164+2054564+650246+13848752</f>
        <v>129262726</v>
      </c>
      <c r="N29" s="371"/>
      <c r="O29" s="371"/>
    </row>
    <row r="30" spans="1:15">
      <c r="A30" s="160"/>
      <c r="B30" s="81"/>
      <c r="C30" s="8"/>
      <c r="D30" s="538"/>
      <c r="E30" s="538"/>
      <c r="F30" s="538"/>
      <c r="G30" s="538"/>
      <c r="H30" s="538"/>
      <c r="I30" s="538"/>
      <c r="J30" s="541"/>
      <c r="N30" s="371"/>
      <c r="O30" s="371"/>
    </row>
    <row r="31" spans="1:15">
      <c r="A31" s="160">
        <f>+A29+1</f>
        <v>4</v>
      </c>
      <c r="B31" s="81"/>
      <c r="C31" s="8"/>
      <c r="D31" s="538" t="s">
        <v>319</v>
      </c>
      <c r="E31" s="538"/>
      <c r="F31" s="538"/>
      <c r="G31" s="538"/>
      <c r="H31" s="538"/>
      <c r="I31" s="538"/>
      <c r="J31" s="867">
        <v>0</v>
      </c>
      <c r="N31" s="371"/>
      <c r="O31" s="371"/>
    </row>
    <row r="32" spans="1:15">
      <c r="A32" s="160"/>
      <c r="B32" s="81"/>
      <c r="C32" s="8"/>
      <c r="D32" s="538"/>
      <c r="E32" s="538"/>
      <c r="F32" s="538"/>
      <c r="G32" s="538"/>
      <c r="H32" s="538"/>
      <c r="I32" s="538"/>
      <c r="J32" s="541"/>
    </row>
    <row r="33" spans="1:12">
      <c r="A33" s="160">
        <f>+A31+1</f>
        <v>5</v>
      </c>
      <c r="B33" s="81"/>
      <c r="C33" s="8"/>
      <c r="D33" s="538" t="s">
        <v>320</v>
      </c>
      <c r="E33" s="540"/>
      <c r="F33" s="538"/>
      <c r="G33" s="538"/>
      <c r="H33" s="538"/>
      <c r="I33" s="538"/>
      <c r="J33" s="867">
        <v>3615441080.3561544</v>
      </c>
    </row>
    <row r="34" spans="1:12">
      <c r="A34" s="160">
        <f>+A33+1</f>
        <v>6</v>
      </c>
      <c r="B34" s="81"/>
      <c r="C34" s="8"/>
      <c r="D34" s="538" t="s">
        <v>1078</v>
      </c>
      <c r="E34" s="538"/>
      <c r="F34" s="538"/>
      <c r="G34" s="538"/>
      <c r="H34" s="538"/>
      <c r="I34" s="538"/>
      <c r="J34" s="541">
        <v>0</v>
      </c>
    </row>
    <row r="35" spans="1:12">
      <c r="A35" s="160">
        <f>+A34+1</f>
        <v>7</v>
      </c>
      <c r="B35" s="81"/>
      <c r="C35" s="8"/>
      <c r="D35" s="538" t="s">
        <v>762</v>
      </c>
      <c r="E35" s="538"/>
      <c r="F35" s="538"/>
      <c r="G35" s="538"/>
      <c r="H35" s="538"/>
      <c r="I35" s="538"/>
      <c r="J35" s="867">
        <v>0</v>
      </c>
    </row>
    <row r="36" spans="1:12" ht="13.8" thickBot="1">
      <c r="A36" s="160">
        <f>+A35+1</f>
        <v>8</v>
      </c>
      <c r="B36" s="81"/>
      <c r="C36" s="8"/>
      <c r="D36" s="538" t="s">
        <v>700</v>
      </c>
      <c r="E36" s="538"/>
      <c r="F36" s="538"/>
      <c r="G36" s="538"/>
      <c r="H36" s="538"/>
      <c r="I36" s="538"/>
      <c r="J36" s="868">
        <v>-1691501.0792307693</v>
      </c>
    </row>
    <row r="37" spans="1:12">
      <c r="A37" s="160">
        <f>+A36+1</f>
        <v>9</v>
      </c>
      <c r="B37" s="81"/>
      <c r="C37" s="8"/>
      <c r="D37" s="538" t="s">
        <v>321</v>
      </c>
      <c r="E37" s="540" t="s">
        <v>1287</v>
      </c>
      <c r="F37" s="540"/>
      <c r="G37" s="540"/>
      <c r="H37" s="542"/>
      <c r="I37" s="540"/>
      <c r="J37" s="95">
        <f>+J33-J34+J35+J36</f>
        <v>3613749579.2769237</v>
      </c>
    </row>
    <row r="38" spans="1:12">
      <c r="A38" s="160"/>
      <c r="B38" s="81"/>
      <c r="C38" s="8"/>
      <c r="J38" s="95"/>
    </row>
    <row r="39" spans="1:12">
      <c r="A39" s="160"/>
      <c r="B39" s="81"/>
      <c r="C39" s="8"/>
      <c r="F39" s="8"/>
      <c r="G39" s="8"/>
      <c r="H39" s="8"/>
      <c r="I39" s="8"/>
      <c r="J39" s="8"/>
      <c r="K39" s="375"/>
      <c r="L39" s="8"/>
    </row>
    <row r="40" spans="1:12">
      <c r="A40" s="160"/>
      <c r="B40" s="9"/>
      <c r="C40" s="8"/>
      <c r="F40" s="8"/>
      <c r="G40" s="8"/>
      <c r="H40" s="8"/>
      <c r="I40" s="103" t="s">
        <v>54</v>
      </c>
      <c r="J40" s="8"/>
      <c r="K40" s="8"/>
      <c r="L40" s="8"/>
    </row>
    <row r="41" spans="1:12" ht="13.8" thickBot="1">
      <c r="A41" s="160"/>
      <c r="B41" s="9"/>
      <c r="C41" s="8"/>
      <c r="F41" s="377" t="s">
        <v>46</v>
      </c>
      <c r="G41" s="377" t="s">
        <v>55</v>
      </c>
      <c r="H41" s="8"/>
      <c r="I41" s="530"/>
      <c r="J41" s="8"/>
      <c r="K41" s="377" t="s">
        <v>56</v>
      </c>
      <c r="L41" s="8"/>
    </row>
    <row r="42" spans="1:12">
      <c r="A42" s="160">
        <f>+A37+1</f>
        <v>10</v>
      </c>
      <c r="B42" s="81" t="s">
        <v>242</v>
      </c>
      <c r="C42" s="7" t="s">
        <v>346</v>
      </c>
      <c r="F42" s="960">
        <v>3126726301.3076925</v>
      </c>
      <c r="G42" s="228">
        <f>IF(F$45=0,0,F42/F$45)</f>
        <v>0.46387322745475129</v>
      </c>
      <c r="H42" s="83"/>
      <c r="I42" s="228">
        <f>+J29/F42</f>
        <v>4.1341234743168399E-2</v>
      </c>
      <c r="J42" s="83"/>
      <c r="K42" s="739">
        <f>G42*I42</f>
        <v>1.917709198727802E-2</v>
      </c>
      <c r="L42" s="378" t="s">
        <v>57</v>
      </c>
    </row>
    <row r="43" spans="1:12">
      <c r="A43" s="160">
        <f>+A42+1</f>
        <v>11</v>
      </c>
      <c r="B43" s="81" t="s">
        <v>117</v>
      </c>
      <c r="C43" s="7" t="s">
        <v>347</v>
      </c>
      <c r="F43" s="960">
        <v>0</v>
      </c>
      <c r="G43" s="83">
        <f>IF(F$45=0,0,F43/F$45)</f>
        <v>0</v>
      </c>
      <c r="H43" s="83"/>
      <c r="I43" s="83">
        <v>0</v>
      </c>
      <c r="J43" s="83"/>
      <c r="K43" s="739">
        <f>G43*I43</f>
        <v>0</v>
      </c>
      <c r="L43" s="8"/>
    </row>
    <row r="44" spans="1:12" ht="13.8" thickBot="1">
      <c r="A44" s="160">
        <f>+A43+1</f>
        <v>12</v>
      </c>
      <c r="B44" s="81" t="s">
        <v>293</v>
      </c>
      <c r="C44" s="7" t="s">
        <v>348</v>
      </c>
      <c r="F44" s="182">
        <f>+J37</f>
        <v>3613749579.2769237</v>
      </c>
      <c r="G44" s="228">
        <f>IF(F$45=0,0,F44/F$45)</f>
        <v>0.53612677254524876</v>
      </c>
      <c r="H44" s="225"/>
      <c r="I44" s="739">
        <f>0.5%+10.5%</f>
        <v>0.11</v>
      </c>
      <c r="J44" s="83"/>
      <c r="K44" s="379">
        <f>G44*I44</f>
        <v>5.8973944979977364E-2</v>
      </c>
      <c r="L44" s="8"/>
    </row>
    <row r="45" spans="1:12">
      <c r="A45" s="160">
        <f>+A44+1</f>
        <v>13</v>
      </c>
      <c r="B45" s="9" t="s">
        <v>234</v>
      </c>
      <c r="C45" s="7" t="s">
        <v>1288</v>
      </c>
      <c r="F45" s="109">
        <f>SUM(F42:F44)</f>
        <v>6740475880.5846157</v>
      </c>
      <c r="G45" s="83" t="s">
        <v>2</v>
      </c>
      <c r="H45" s="8"/>
      <c r="I45" s="83"/>
      <c r="J45" s="83"/>
      <c r="K45" s="739">
        <f>SUM(K42:K44)</f>
        <v>7.815103696725538E-2</v>
      </c>
      <c r="L45" s="378" t="s">
        <v>58</v>
      </c>
    </row>
    <row r="46" spans="1:12">
      <c r="A46" s="160"/>
      <c r="G46" s="83"/>
    </row>
    <row r="47" spans="1:12">
      <c r="A47" s="115" t="s">
        <v>345</v>
      </c>
    </row>
    <row r="48" spans="1:12">
      <c r="A48" s="161" t="s">
        <v>62</v>
      </c>
      <c r="B48" s="115" t="s">
        <v>852</v>
      </c>
    </row>
    <row r="49" spans="1:13">
      <c r="A49" s="161" t="s">
        <v>63</v>
      </c>
      <c r="B49" s="115" t="s">
        <v>455</v>
      </c>
    </row>
    <row r="50" spans="1:13">
      <c r="A50" s="161" t="s">
        <v>64</v>
      </c>
      <c r="B50" s="115" t="s">
        <v>853</v>
      </c>
    </row>
    <row r="51" spans="1:13">
      <c r="A51" s="161"/>
      <c r="B51" s="992" t="s">
        <v>201</v>
      </c>
      <c r="C51" s="992"/>
      <c r="D51" s="992"/>
      <c r="E51" s="992"/>
      <c r="F51" s="992"/>
      <c r="G51" s="992"/>
      <c r="H51" s="992"/>
      <c r="I51" s="992"/>
      <c r="J51" s="992"/>
      <c r="K51" s="992"/>
    </row>
    <row r="52" spans="1:13">
      <c r="A52" s="161" t="s">
        <v>65</v>
      </c>
      <c r="B52" s="538" t="s">
        <v>750</v>
      </c>
    </row>
    <row r="53" spans="1:13" ht="37.950000000000003" customHeight="1">
      <c r="A53" s="862" t="s">
        <v>66</v>
      </c>
      <c r="B53" s="996" t="s">
        <v>1284</v>
      </c>
      <c r="C53" s="996"/>
      <c r="D53" s="996"/>
      <c r="E53" s="996"/>
      <c r="F53" s="996"/>
      <c r="G53" s="996"/>
      <c r="H53" s="996"/>
      <c r="I53" s="996"/>
      <c r="J53" s="996"/>
      <c r="K53" s="996"/>
      <c r="L53" s="996"/>
      <c r="M53" s="996"/>
    </row>
    <row r="54" spans="1:13">
      <c r="A54" s="161" t="s">
        <v>67</v>
      </c>
      <c r="B54" s="115" t="s">
        <v>1286</v>
      </c>
    </row>
  </sheetData>
  <sheetProtection algorithmName="SHA-512" hashValue="p55Dwp+9lnxENZEB5jnuxnMzbzxURpYLlSKGuL1kFQpUEwVsVQrtPIkJXEV/ESjlWLP9glsRbu2HQV24lG4Mnw==" saltValue="oLCCKHak8wwVHseBq973ag==" spinCount="100000" sheet="1" objects="1" scenarios="1"/>
  <customSheetViews>
    <customSheetView guid="{F04A2B9A-C6FE-4FEB-AD1E-2CF9AC309BE4}" fitToPage="1">
      <selection activeCell="G20" sqref="G20"/>
      <pageMargins left="0.7" right="0.7" top="0.75" bottom="0.75" header="0.3" footer="0.3"/>
      <pageSetup scale="76" orientation="landscape" r:id="rId1"/>
    </customSheetView>
  </customSheetViews>
  <mergeCells count="2">
    <mergeCell ref="B51:K51"/>
    <mergeCell ref="B53:M53"/>
  </mergeCells>
  <phoneticPr fontId="0" type="noConversion"/>
  <pageMargins left="0.25" right="0.25" top="0.75" bottom="0.75" header="0.3" footer="0.3"/>
  <pageSetup scale="57" fitToHeight="0" orientation="landscape" r:id="rId2"/>
  <rowBreaks count="1" manualBreakCount="1">
    <brk id="22"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92"/>
  <sheetViews>
    <sheetView zoomScale="90" zoomScaleNormal="90" zoomScaleSheetLayoutView="70" workbookViewId="0">
      <selection sqref="A1:D1"/>
    </sheetView>
  </sheetViews>
  <sheetFormatPr defaultColWidth="7.08984375" defaultRowHeight="13.8"/>
  <cols>
    <col min="1" max="1" width="5.81640625" style="767" customWidth="1"/>
    <col min="2" max="2" width="65.90625" style="630" customWidth="1"/>
    <col min="3" max="3" width="14.08984375" style="630" customWidth="1"/>
    <col min="4" max="4" width="12" style="597" bestFit="1" customWidth="1"/>
    <col min="5" max="5" width="14.81640625" style="630" bestFit="1" customWidth="1"/>
    <col min="6" max="6" width="14" style="630" customWidth="1"/>
    <col min="7" max="7" width="10.6328125" style="630" bestFit="1" customWidth="1"/>
    <col min="8" max="8" width="12" style="630" customWidth="1"/>
    <col min="9" max="16384" width="7.08984375" style="630"/>
  </cols>
  <sheetData>
    <row r="1" spans="1:8">
      <c r="A1" s="1028" t="str">
        <f>+'[7]Attachment H-7'!D171</f>
        <v>PECO Energy Company</v>
      </c>
      <c r="B1" s="1028"/>
      <c r="C1" s="1028"/>
      <c r="D1" s="1028"/>
      <c r="H1" s="630" t="s">
        <v>457</v>
      </c>
    </row>
    <row r="2" spans="1:8" ht="14.4">
      <c r="A2" s="1033" t="s">
        <v>690</v>
      </c>
      <c r="B2" s="1034"/>
      <c r="C2" s="1034"/>
      <c r="D2" s="1034"/>
      <c r="E2" s="660"/>
    </row>
    <row r="3" spans="1:8" ht="14.4">
      <c r="A3" s="1033"/>
      <c r="B3" s="1034"/>
      <c r="C3" s="1034"/>
      <c r="D3" s="1034"/>
      <c r="E3" s="660"/>
    </row>
    <row r="4" spans="1:8">
      <c r="B4" s="661"/>
      <c r="C4" s="601"/>
    </row>
    <row r="5" spans="1:8">
      <c r="B5" s="594" t="s">
        <v>657</v>
      </c>
      <c r="C5" s="635"/>
      <c r="G5" s="662"/>
    </row>
    <row r="6" spans="1:8">
      <c r="A6" s="767">
        <v>1</v>
      </c>
      <c r="B6" s="663" t="s">
        <v>931</v>
      </c>
      <c r="C6" s="593"/>
      <c r="D6" s="684">
        <f>E60</f>
        <v>7551396</v>
      </c>
      <c r="G6" s="597"/>
    </row>
    <row r="7" spans="1:8">
      <c r="A7" s="767">
        <f>A6+1</f>
        <v>2</v>
      </c>
      <c r="B7" s="663" t="s">
        <v>932</v>
      </c>
      <c r="C7" s="593"/>
      <c r="D7" s="684">
        <f>E59+F66</f>
        <v>759865.37447992864</v>
      </c>
      <c r="G7" s="597"/>
    </row>
    <row r="8" spans="1:8">
      <c r="A8" s="767">
        <f>A7+1</f>
        <v>3</v>
      </c>
      <c r="B8" s="593" t="s">
        <v>663</v>
      </c>
      <c r="C8" s="635" t="s">
        <v>1289</v>
      </c>
      <c r="D8" s="664">
        <f>SUM(D6:D7)</f>
        <v>8311261.374479929</v>
      </c>
      <c r="G8" s="597"/>
    </row>
    <row r="9" spans="1:8">
      <c r="B9" s="593"/>
      <c r="C9" s="593"/>
      <c r="D9" s="664"/>
      <c r="G9" s="665"/>
    </row>
    <row r="10" spans="1:8">
      <c r="B10" s="594" t="s">
        <v>856</v>
      </c>
      <c r="C10" s="593"/>
      <c r="F10" s="629"/>
      <c r="G10" s="666"/>
    </row>
    <row r="11" spans="1:8">
      <c r="B11" s="667"/>
      <c r="C11" s="668"/>
      <c r="D11" s="669"/>
      <c r="G11" s="666"/>
    </row>
    <row r="12" spans="1:8">
      <c r="A12" s="767">
        <f>+A8+1</f>
        <v>4</v>
      </c>
      <c r="B12" s="663" t="s">
        <v>658</v>
      </c>
      <c r="C12" s="670"/>
      <c r="D12" s="654">
        <f>E83</f>
        <v>5108495</v>
      </c>
      <c r="G12" s="666"/>
    </row>
    <row r="13" spans="1:8" ht="27.6">
      <c r="A13" s="767">
        <f t="shared" ref="A13:A20" si="0">+A12+1</f>
        <v>5</v>
      </c>
      <c r="B13" s="752" t="s">
        <v>1072</v>
      </c>
      <c r="C13" s="670"/>
      <c r="D13" s="654">
        <f>E84</f>
        <v>927381</v>
      </c>
      <c r="G13" s="666"/>
    </row>
    <row r="14" spans="1:8">
      <c r="A14" s="767">
        <f t="shared" si="0"/>
        <v>6</v>
      </c>
      <c r="B14" s="670" t="s">
        <v>767</v>
      </c>
      <c r="C14" s="670"/>
      <c r="D14" s="961">
        <v>0</v>
      </c>
      <c r="G14" s="665"/>
    </row>
    <row r="15" spans="1:8">
      <c r="A15" s="767">
        <f t="shared" si="0"/>
        <v>7</v>
      </c>
      <c r="B15" s="746" t="s">
        <v>933</v>
      </c>
      <c r="C15" s="670"/>
      <c r="D15" s="685">
        <f>H79</f>
        <v>301557.61136048619</v>
      </c>
      <c r="G15" s="666"/>
    </row>
    <row r="16" spans="1:8">
      <c r="A16" s="767">
        <f t="shared" si="0"/>
        <v>8</v>
      </c>
      <c r="B16" s="746" t="s">
        <v>659</v>
      </c>
      <c r="C16" s="671"/>
      <c r="D16" s="962">
        <v>0</v>
      </c>
      <c r="G16" s="597"/>
    </row>
    <row r="17" spans="1:5">
      <c r="A17" s="767">
        <f t="shared" si="0"/>
        <v>9</v>
      </c>
      <c r="B17" s="746" t="s">
        <v>660</v>
      </c>
      <c r="C17" s="670"/>
      <c r="D17" s="962">
        <v>0</v>
      </c>
    </row>
    <row r="18" spans="1:5">
      <c r="A18" s="767">
        <f t="shared" si="0"/>
        <v>10</v>
      </c>
      <c r="B18" s="746" t="s">
        <v>664</v>
      </c>
      <c r="C18" s="593"/>
      <c r="D18" s="962">
        <v>0</v>
      </c>
    </row>
    <row r="19" spans="1:5">
      <c r="A19" s="767">
        <f t="shared" si="0"/>
        <v>11</v>
      </c>
      <c r="B19" s="746" t="s">
        <v>661</v>
      </c>
      <c r="C19" s="635"/>
      <c r="D19" s="962">
        <v>0</v>
      </c>
    </row>
    <row r="20" spans="1:5">
      <c r="A20" s="767">
        <f t="shared" si="0"/>
        <v>12</v>
      </c>
      <c r="B20" s="746" t="s">
        <v>665</v>
      </c>
      <c r="C20" s="635"/>
      <c r="D20" s="962">
        <v>0</v>
      </c>
    </row>
    <row r="21" spans="1:5">
      <c r="B21" s="593"/>
      <c r="C21" s="635"/>
      <c r="D21" s="618"/>
    </row>
    <row r="22" spans="1:5">
      <c r="A22" s="767">
        <f>+A20+1</f>
        <v>13</v>
      </c>
      <c r="B22" s="593" t="s">
        <v>662</v>
      </c>
      <c r="C22" s="635" t="s">
        <v>1303</v>
      </c>
      <c r="D22" s="747">
        <f>SUM(D12:D20)+D8</f>
        <v>14648694.985840416</v>
      </c>
    </row>
    <row r="23" spans="1:5">
      <c r="A23" s="767">
        <f t="shared" ref="A23:A24" si="1">+A22+1</f>
        <v>14</v>
      </c>
      <c r="B23" s="593" t="s">
        <v>666</v>
      </c>
      <c r="C23" s="635"/>
      <c r="D23" s="597">
        <f>+D38</f>
        <v>-5003794.0284025231</v>
      </c>
    </row>
    <row r="24" spans="1:5">
      <c r="A24" s="767">
        <f t="shared" si="1"/>
        <v>15</v>
      </c>
      <c r="B24" s="593" t="s">
        <v>667</v>
      </c>
      <c r="C24" s="635"/>
      <c r="D24" s="597">
        <f>+D22+D23</f>
        <v>9644900.9574378915</v>
      </c>
    </row>
    <row r="25" spans="1:5">
      <c r="B25" s="593"/>
      <c r="C25" s="635"/>
    </row>
    <row r="26" spans="1:5" ht="50.25" customHeight="1">
      <c r="B26" s="672" t="s">
        <v>668</v>
      </c>
      <c r="C26" s="635"/>
      <c r="D26" s="618"/>
      <c r="E26" s="673"/>
    </row>
    <row r="27" spans="1:5" ht="82.95" customHeight="1">
      <c r="A27" s="768" t="s">
        <v>878</v>
      </c>
      <c r="B27" s="674" t="s">
        <v>1304</v>
      </c>
      <c r="C27" s="635"/>
    </row>
    <row r="28" spans="1:5" ht="21" customHeight="1">
      <c r="A28" s="768"/>
      <c r="B28" s="593"/>
      <c r="C28" s="635"/>
      <c r="E28" s="673"/>
    </row>
    <row r="29" spans="1:5" ht="55.2">
      <c r="A29" s="768" t="s">
        <v>879</v>
      </c>
      <c r="B29" s="674" t="s">
        <v>669</v>
      </c>
      <c r="C29" s="635"/>
    </row>
    <row r="30" spans="1:5" ht="14.25" customHeight="1">
      <c r="A30" s="768"/>
      <c r="B30" s="593"/>
      <c r="C30" s="635"/>
      <c r="E30" s="673"/>
    </row>
    <row r="31" spans="1:5" ht="207.75" customHeight="1">
      <c r="A31" s="768" t="s">
        <v>880</v>
      </c>
      <c r="B31" s="675" t="s">
        <v>908</v>
      </c>
      <c r="C31" s="675"/>
    </row>
    <row r="32" spans="1:5">
      <c r="A32" s="768" t="s">
        <v>670</v>
      </c>
      <c r="B32" s="675" t="s">
        <v>671</v>
      </c>
      <c r="C32" s="675"/>
      <c r="D32" s="669">
        <f>+D6+D18+D20</f>
        <v>7551396</v>
      </c>
    </row>
    <row r="33" spans="1:8">
      <c r="A33" s="768" t="s">
        <v>672</v>
      </c>
      <c r="B33" s="675" t="s">
        <v>673</v>
      </c>
      <c r="C33" s="676"/>
      <c r="D33" s="669">
        <f>F54+(D32-F54)*'Attachment H-7'!D147</f>
        <v>2617741.9953742502</v>
      </c>
      <c r="E33" s="660"/>
    </row>
    <row r="34" spans="1:8">
      <c r="A34" s="768" t="s">
        <v>674</v>
      </c>
      <c r="B34" s="675" t="s">
        <v>675</v>
      </c>
      <c r="C34" s="675"/>
      <c r="D34" s="669">
        <f>+D32-D33</f>
        <v>4933654.0046257498</v>
      </c>
      <c r="E34" s="618"/>
    </row>
    <row r="35" spans="1:8">
      <c r="A35" s="768" t="s">
        <v>676</v>
      </c>
      <c r="B35" s="675" t="s">
        <v>677</v>
      </c>
      <c r="C35" s="675"/>
      <c r="D35" s="669">
        <f>+D34/2</f>
        <v>2466827.0023128749</v>
      </c>
    </row>
    <row r="36" spans="1:8" ht="41.4">
      <c r="A36" s="768" t="s">
        <v>678</v>
      </c>
      <c r="B36" s="675" t="s">
        <v>679</v>
      </c>
      <c r="C36" s="675"/>
      <c r="D36" s="669">
        <f>H54</f>
        <v>80774.969284601859</v>
      </c>
    </row>
    <row r="37" spans="1:8">
      <c r="A37" s="768" t="s">
        <v>680</v>
      </c>
      <c r="B37" s="593" t="s">
        <v>681</v>
      </c>
      <c r="C37" s="635"/>
      <c r="D37" s="597">
        <f>+D35+D36</f>
        <v>2547601.9715974769</v>
      </c>
    </row>
    <row r="38" spans="1:8">
      <c r="A38" s="768" t="s">
        <v>682</v>
      </c>
      <c r="B38" s="593" t="s">
        <v>683</v>
      </c>
      <c r="C38" s="635"/>
      <c r="D38" s="597">
        <f>+D37-D32</f>
        <v>-5003794.0284025231</v>
      </c>
    </row>
    <row r="39" spans="1:8" ht="78.599999999999994" customHeight="1">
      <c r="A39" s="768">
        <v>18</v>
      </c>
      <c r="B39" s="674" t="s">
        <v>1290</v>
      </c>
      <c r="C39" s="635"/>
      <c r="D39" s="747"/>
    </row>
    <row r="40" spans="1:8">
      <c r="B40" s="635"/>
      <c r="C40" s="635"/>
    </row>
    <row r="41" spans="1:8">
      <c r="A41" s="767">
        <v>19</v>
      </c>
      <c r="B41" s="751" t="s">
        <v>394</v>
      </c>
      <c r="C41" s="635"/>
      <c r="D41" s="950">
        <v>0</v>
      </c>
    </row>
    <row r="42" spans="1:8">
      <c r="B42" s="635"/>
      <c r="C42" s="635"/>
      <c r="D42" s="618"/>
    </row>
    <row r="43" spans="1:8">
      <c r="A43" s="767">
        <v>20</v>
      </c>
      <c r="B43" s="635" t="s">
        <v>684</v>
      </c>
      <c r="C43" s="635"/>
      <c r="D43" s="677">
        <f>+D22+D27+D39+D41</f>
        <v>14648694.985840416</v>
      </c>
    </row>
    <row r="44" spans="1:8">
      <c r="A44" s="767">
        <v>21</v>
      </c>
      <c r="B44" s="751" t="s">
        <v>394</v>
      </c>
      <c r="C44" s="635"/>
      <c r="D44" s="677"/>
    </row>
    <row r="46" spans="1:8">
      <c r="A46" s="766"/>
      <c r="D46" s="631"/>
      <c r="H46" s="630" t="s">
        <v>160</v>
      </c>
    </row>
    <row r="47" spans="1:8" ht="14.4">
      <c r="A47" s="1033" t="s">
        <v>690</v>
      </c>
      <c r="B47" s="1034"/>
      <c r="C47" s="1034"/>
      <c r="D47" s="1034"/>
      <c r="E47" s="660"/>
    </row>
    <row r="49" spans="1:8">
      <c r="B49" s="675" t="s">
        <v>673</v>
      </c>
    </row>
    <row r="50" spans="1:8" ht="60" customHeight="1">
      <c r="B50" s="630" t="s">
        <v>685</v>
      </c>
      <c r="C50" s="680" t="s">
        <v>909</v>
      </c>
      <c r="D50" s="597" t="s">
        <v>936</v>
      </c>
      <c r="E50" s="680" t="s">
        <v>1071</v>
      </c>
      <c r="F50" s="680" t="s">
        <v>935</v>
      </c>
      <c r="G50" s="680" t="s">
        <v>937</v>
      </c>
      <c r="H50" s="680" t="s">
        <v>938</v>
      </c>
    </row>
    <row r="51" spans="1:8">
      <c r="A51" s="767" t="s">
        <v>686</v>
      </c>
      <c r="B51" s="963" t="s">
        <v>736</v>
      </c>
      <c r="C51" s="963">
        <v>920000</v>
      </c>
      <c r="D51" s="950">
        <v>678532</v>
      </c>
      <c r="E51" s="964">
        <v>0.75</v>
      </c>
      <c r="F51" s="679">
        <f>D51*E51</f>
        <v>508899</v>
      </c>
      <c r="G51" s="681">
        <f>'Attachment H-7'!I191</f>
        <v>9.880621410235467E-2</v>
      </c>
      <c r="H51" s="679">
        <f>D51*G51</f>
        <v>67043.178067298912</v>
      </c>
    </row>
    <row r="52" spans="1:8">
      <c r="A52" s="767" t="s">
        <v>687</v>
      </c>
      <c r="B52" s="965" t="s">
        <v>742</v>
      </c>
      <c r="C52" s="963">
        <v>926000</v>
      </c>
      <c r="D52" s="950">
        <v>138977</v>
      </c>
      <c r="E52" s="964">
        <v>0.75</v>
      </c>
      <c r="F52" s="679">
        <f>D52*E52</f>
        <v>104232.75</v>
      </c>
      <c r="G52" s="681">
        <f>G51</f>
        <v>9.880621410235467E-2</v>
      </c>
      <c r="H52" s="679">
        <f>D52*G52</f>
        <v>13731.791217302945</v>
      </c>
    </row>
    <row r="53" spans="1:8">
      <c r="A53" s="767" t="s">
        <v>312</v>
      </c>
    </row>
    <row r="54" spans="1:8">
      <c r="A54" s="767">
        <v>23</v>
      </c>
      <c r="B54" s="630" t="s">
        <v>688</v>
      </c>
      <c r="D54" s="682">
        <f>SUM(D51:D53)</f>
        <v>817509</v>
      </c>
      <c r="E54" s="683"/>
      <c r="F54" s="682">
        <f>SUM(F51:F53)</f>
        <v>613131.75</v>
      </c>
      <c r="G54" s="683"/>
      <c r="H54" s="682">
        <f>SUM(H51:H53)</f>
        <v>80774.969284601859</v>
      </c>
    </row>
    <row r="57" spans="1:8">
      <c r="B57" s="686" t="s">
        <v>939</v>
      </c>
      <c r="C57" s="687" t="s">
        <v>934</v>
      </c>
      <c r="D57" s="687" t="s">
        <v>943</v>
      </c>
      <c r="E57" s="687" t="s">
        <v>944</v>
      </c>
      <c r="F57" s="687" t="s">
        <v>945</v>
      </c>
      <c r="G57" s="687" t="s">
        <v>946</v>
      </c>
      <c r="H57" s="688" t="s">
        <v>13</v>
      </c>
    </row>
    <row r="58" spans="1:8">
      <c r="A58" s="767" t="s">
        <v>956</v>
      </c>
      <c r="B58" s="686" t="s">
        <v>947</v>
      </c>
      <c r="C58" s="966">
        <v>12723689</v>
      </c>
      <c r="D58" s="689">
        <f>C58</f>
        <v>12723689</v>
      </c>
      <c r="E58" s="690"/>
      <c r="F58" s="690"/>
      <c r="G58" s="690"/>
      <c r="H58" s="691"/>
    </row>
    <row r="59" spans="1:8">
      <c r="A59" s="767" t="s">
        <v>957</v>
      </c>
      <c r="B59" s="686" t="s">
        <v>948</v>
      </c>
      <c r="C59" s="967">
        <v>264492</v>
      </c>
      <c r="D59" s="692"/>
      <c r="E59" s="693">
        <f>C59</f>
        <v>264492</v>
      </c>
      <c r="F59" s="686"/>
      <c r="G59" s="686"/>
      <c r="H59" s="694"/>
    </row>
    <row r="60" spans="1:8">
      <c r="A60" s="767" t="s">
        <v>958</v>
      </c>
      <c r="B60" s="686" t="s">
        <v>1339</v>
      </c>
      <c r="C60" s="967">
        <v>7551396</v>
      </c>
      <c r="D60" s="692"/>
      <c r="E60" s="693">
        <f>C60</f>
        <v>7551396</v>
      </c>
      <c r="F60" s="686"/>
      <c r="G60" s="686"/>
      <c r="H60" s="694"/>
    </row>
    <row r="61" spans="1:8">
      <c r="A61" s="767" t="s">
        <v>959</v>
      </c>
      <c r="B61" s="686" t="s">
        <v>1340</v>
      </c>
      <c r="C61" s="967">
        <v>3410228</v>
      </c>
      <c r="D61" s="692">
        <f>C61</f>
        <v>3410228</v>
      </c>
      <c r="E61" s="693"/>
      <c r="F61" s="686"/>
      <c r="G61" s="686"/>
      <c r="H61" s="694"/>
    </row>
    <row r="62" spans="1:8">
      <c r="A62" s="767" t="s">
        <v>1341</v>
      </c>
      <c r="B62" s="686" t="s">
        <v>949</v>
      </c>
      <c r="C62" s="967">
        <v>2660969</v>
      </c>
      <c r="D62" s="692"/>
      <c r="E62" s="686"/>
      <c r="F62" s="693">
        <f>C62</f>
        <v>2660969</v>
      </c>
      <c r="G62" s="686"/>
      <c r="H62" s="694"/>
    </row>
    <row r="63" spans="1:8">
      <c r="A63" s="767" t="s">
        <v>312</v>
      </c>
      <c r="B63" s="686"/>
      <c r="C63" s="967"/>
      <c r="D63" s="692"/>
      <c r="E63" s="686"/>
      <c r="F63" s="693"/>
      <c r="G63" s="686"/>
      <c r="H63" s="694"/>
    </row>
    <row r="64" spans="1:8">
      <c r="B64" s="695" t="s">
        <v>960</v>
      </c>
      <c r="C64" s="690">
        <f>SUM(C58:C62)</f>
        <v>26610774</v>
      </c>
      <c r="D64" s="689">
        <f>SUM(D58:D62)</f>
        <v>16133917</v>
      </c>
      <c r="E64" s="689">
        <f t="shared" ref="E64:G64" si="2">SUM(E58:E62)</f>
        <v>7815888</v>
      </c>
      <c r="F64" s="689">
        <f t="shared" si="2"/>
        <v>2660969</v>
      </c>
      <c r="G64" s="689">
        <f t="shared" si="2"/>
        <v>0</v>
      </c>
      <c r="H64" s="691"/>
    </row>
    <row r="65" spans="1:8">
      <c r="B65" s="696" t="s">
        <v>950</v>
      </c>
      <c r="C65" s="686"/>
      <c r="D65" s="732">
        <v>0</v>
      </c>
      <c r="E65" s="732">
        <v>1</v>
      </c>
      <c r="F65" s="697">
        <f>'Attachment H-7'!G73</f>
        <v>0.18616277547011206</v>
      </c>
      <c r="G65" s="697">
        <f>'Attachment H-7'!I191</f>
        <v>9.880621410235467E-2</v>
      </c>
      <c r="H65" s="686"/>
    </row>
    <row r="66" spans="1:8">
      <c r="B66" s="696" t="s">
        <v>951</v>
      </c>
      <c r="C66" s="686"/>
      <c r="D66" s="689">
        <f>D64*D65</f>
        <v>0</v>
      </c>
      <c r="E66" s="689">
        <f t="shared" ref="E66:G66" si="3">E64*E65</f>
        <v>7815888</v>
      </c>
      <c r="F66" s="689">
        <f t="shared" si="3"/>
        <v>495373.37447992864</v>
      </c>
      <c r="G66" s="689">
        <f t="shared" si="3"/>
        <v>0</v>
      </c>
      <c r="H66" s="691">
        <f t="shared" ref="H66" si="4">SUM(D66:G66)</f>
        <v>8311261.374479929</v>
      </c>
    </row>
    <row r="67" spans="1:8">
      <c r="E67" s="678"/>
    </row>
    <row r="68" spans="1:8">
      <c r="B68" s="686" t="s">
        <v>952</v>
      </c>
      <c r="C68" s="687" t="s">
        <v>934</v>
      </c>
      <c r="D68" s="687" t="s">
        <v>943</v>
      </c>
      <c r="E68" s="687" t="s">
        <v>944</v>
      </c>
      <c r="F68" s="687" t="s">
        <v>945</v>
      </c>
      <c r="G68" s="687" t="s">
        <v>946</v>
      </c>
      <c r="H68" s="688" t="s">
        <v>13</v>
      </c>
    </row>
    <row r="69" spans="1:8">
      <c r="A69" s="767" t="s">
        <v>622</v>
      </c>
      <c r="B69" s="686" t="s">
        <v>953</v>
      </c>
      <c r="C69" s="966">
        <v>-3859745</v>
      </c>
      <c r="D69" s="689">
        <f>C69</f>
        <v>-3859745</v>
      </c>
      <c r="E69" s="690"/>
      <c r="F69" s="690"/>
      <c r="G69" s="690"/>
      <c r="H69" s="691"/>
    </row>
    <row r="70" spans="1:8">
      <c r="A70" s="767" t="s">
        <v>623</v>
      </c>
      <c r="B70" s="686" t="s">
        <v>954</v>
      </c>
      <c r="C70" s="967">
        <v>6138390</v>
      </c>
      <c r="D70" s="689">
        <f>C70</f>
        <v>6138390</v>
      </c>
      <c r="E70" s="693"/>
      <c r="F70" s="686"/>
      <c r="G70" s="686"/>
      <c r="H70" s="694"/>
    </row>
    <row r="71" spans="1:8">
      <c r="A71" s="767" t="s">
        <v>624</v>
      </c>
      <c r="B71" s="686" t="s">
        <v>1355</v>
      </c>
      <c r="C71" s="967">
        <v>179940.9</v>
      </c>
      <c r="D71" s="692"/>
      <c r="E71" s="693">
        <f>C71</f>
        <v>179940.9</v>
      </c>
      <c r="F71" s="686"/>
      <c r="G71" s="693"/>
      <c r="H71" s="694"/>
    </row>
    <row r="72" spans="1:8">
      <c r="A72" s="767" t="s">
        <v>625</v>
      </c>
      <c r="B72" s="686" t="s">
        <v>1358</v>
      </c>
      <c r="C72" s="967">
        <v>3022.16</v>
      </c>
      <c r="D72" s="692"/>
      <c r="E72" s="686"/>
      <c r="F72" s="693"/>
      <c r="G72" s="693">
        <f>C72</f>
        <v>3022.16</v>
      </c>
      <c r="H72" s="694"/>
    </row>
    <row r="73" spans="1:8">
      <c r="A73" s="767" t="s">
        <v>626</v>
      </c>
      <c r="B73" s="686" t="s">
        <v>1356</v>
      </c>
      <c r="C73" s="967">
        <v>2377640.9900000002</v>
      </c>
      <c r="D73" s="692">
        <f>C73</f>
        <v>2377640.9900000002</v>
      </c>
      <c r="E73" s="686"/>
      <c r="F73" s="686"/>
      <c r="G73" s="693"/>
      <c r="H73" s="694"/>
    </row>
    <row r="74" spans="1:8">
      <c r="A74" s="767" t="s">
        <v>627</v>
      </c>
      <c r="B74" s="686" t="s">
        <v>1336</v>
      </c>
      <c r="C74" s="967">
        <v>7314198</v>
      </c>
      <c r="D74" s="692">
        <f>C74</f>
        <v>7314198</v>
      </c>
      <c r="E74" s="686"/>
      <c r="F74" s="693"/>
      <c r="G74" s="693"/>
      <c r="H74" s="694"/>
    </row>
    <row r="75" spans="1:8">
      <c r="A75" s="767" t="s">
        <v>628</v>
      </c>
      <c r="B75" s="686" t="s">
        <v>943</v>
      </c>
      <c r="C75" s="967">
        <v>798949.75</v>
      </c>
      <c r="D75" s="968">
        <v>108246</v>
      </c>
      <c r="E75" s="969"/>
      <c r="F75" s="970">
        <v>607536</v>
      </c>
      <c r="G75" s="970">
        <v>83168</v>
      </c>
      <c r="H75" s="694"/>
    </row>
    <row r="76" spans="1:8">
      <c r="A76" s="767" t="s">
        <v>312</v>
      </c>
      <c r="B76" s="686"/>
      <c r="C76" s="967"/>
      <c r="D76" s="692"/>
      <c r="E76" s="686"/>
      <c r="F76" s="693"/>
      <c r="G76" s="693"/>
      <c r="H76" s="694"/>
    </row>
    <row r="77" spans="1:8">
      <c r="B77" s="695" t="s">
        <v>961</v>
      </c>
      <c r="C77" s="690">
        <f>SUM(C69:C76)</f>
        <v>12952396.800000001</v>
      </c>
      <c r="D77" s="689">
        <f>SUM(D69:D76)</f>
        <v>12078729.99</v>
      </c>
      <c r="E77" s="689">
        <f t="shared" ref="E77:G77" si="5">SUM(E69:E76)</f>
        <v>179940.9</v>
      </c>
      <c r="F77" s="689">
        <f t="shared" si="5"/>
        <v>607536</v>
      </c>
      <c r="G77" s="689">
        <f t="shared" si="5"/>
        <v>86190.16</v>
      </c>
      <c r="H77" s="691"/>
    </row>
    <row r="78" spans="1:8">
      <c r="B78" s="696" t="s">
        <v>950</v>
      </c>
      <c r="C78" s="686"/>
      <c r="D78" s="732">
        <v>0</v>
      </c>
      <c r="E78" s="732">
        <v>1</v>
      </c>
      <c r="F78" s="697">
        <f>'Attachment H-7'!G73</f>
        <v>0.18616277547011206</v>
      </c>
      <c r="G78" s="697">
        <f>'Attachment H-7'!I191</f>
        <v>9.880621410235467E-2</v>
      </c>
      <c r="H78" s="686"/>
    </row>
    <row r="79" spans="1:8">
      <c r="B79" s="696" t="s">
        <v>951</v>
      </c>
      <c r="C79" s="686"/>
      <c r="D79" s="689">
        <f>D77*D78</f>
        <v>0</v>
      </c>
      <c r="E79" s="689">
        <f t="shared" ref="E79" si="6">E77*E78</f>
        <v>179940.9</v>
      </c>
      <c r="F79" s="689">
        <f t="shared" ref="F79" si="7">F77*F78</f>
        <v>113100.58795801</v>
      </c>
      <c r="G79" s="689">
        <f t="shared" ref="G79" si="8">G77*G78</f>
        <v>8516.1234024762052</v>
      </c>
      <c r="H79" s="691">
        <f>SUM(D79:G79)</f>
        <v>301557.61136048619</v>
      </c>
    </row>
    <row r="81" spans="1:8">
      <c r="B81" s="686" t="s">
        <v>955</v>
      </c>
      <c r="C81" s="687" t="s">
        <v>934</v>
      </c>
      <c r="D81" s="687" t="s">
        <v>943</v>
      </c>
      <c r="E81" s="687" t="s">
        <v>944</v>
      </c>
      <c r="F81" s="687" t="s">
        <v>945</v>
      </c>
      <c r="G81" s="687" t="s">
        <v>946</v>
      </c>
      <c r="H81" s="688" t="s">
        <v>13</v>
      </c>
    </row>
    <row r="82" spans="1:8">
      <c r="A82" s="767" t="s">
        <v>963</v>
      </c>
      <c r="B82" s="686" t="s">
        <v>940</v>
      </c>
      <c r="C82" s="966">
        <v>150520913</v>
      </c>
      <c r="D82" s="689">
        <f>C82</f>
        <v>150520913</v>
      </c>
      <c r="E82" s="690"/>
      <c r="F82" s="690"/>
      <c r="G82" s="690"/>
      <c r="H82" s="691"/>
    </row>
    <row r="83" spans="1:8">
      <c r="A83" s="767" t="s">
        <v>964</v>
      </c>
      <c r="B83" s="686" t="s">
        <v>941</v>
      </c>
      <c r="C83" s="967">
        <v>5108495</v>
      </c>
      <c r="D83" s="630"/>
      <c r="E83" s="689">
        <f>C83</f>
        <v>5108495</v>
      </c>
      <c r="F83" s="686"/>
      <c r="G83" s="686"/>
      <c r="H83" s="694"/>
    </row>
    <row r="84" spans="1:8">
      <c r="A84" s="767" t="s">
        <v>965</v>
      </c>
      <c r="B84" s="686" t="s">
        <v>942</v>
      </c>
      <c r="C84" s="967">
        <v>927381</v>
      </c>
      <c r="D84" s="692"/>
      <c r="E84" s="693">
        <f>C84</f>
        <v>927381</v>
      </c>
      <c r="F84" s="686"/>
      <c r="G84" s="686"/>
      <c r="H84" s="694"/>
    </row>
    <row r="85" spans="1:8">
      <c r="A85" s="767" t="s">
        <v>966</v>
      </c>
      <c r="B85" s="686" t="s">
        <v>1342</v>
      </c>
      <c r="C85" s="967">
        <v>31755664</v>
      </c>
      <c r="D85" s="692">
        <f>C85</f>
        <v>31755664</v>
      </c>
      <c r="E85" s="693"/>
      <c r="F85" s="686"/>
      <c r="G85" s="686"/>
      <c r="H85" s="694"/>
    </row>
    <row r="86" spans="1:8">
      <c r="A86" s="767" t="s">
        <v>1337</v>
      </c>
      <c r="B86" s="686" t="s">
        <v>943</v>
      </c>
      <c r="C86" s="967">
        <v>2620527</v>
      </c>
      <c r="D86" s="692">
        <f>C86</f>
        <v>2620527</v>
      </c>
      <c r="E86" s="686"/>
      <c r="F86" s="693"/>
      <c r="G86" s="693"/>
      <c r="H86" s="694"/>
    </row>
    <row r="87" spans="1:8">
      <c r="A87" s="767" t="s">
        <v>312</v>
      </c>
      <c r="B87" s="686"/>
      <c r="C87" s="967"/>
      <c r="D87" s="692"/>
      <c r="E87" s="686"/>
      <c r="F87" s="693"/>
      <c r="G87" s="693"/>
      <c r="H87" s="694"/>
    </row>
    <row r="88" spans="1:8">
      <c r="B88" s="695" t="s">
        <v>962</v>
      </c>
      <c r="C88" s="690">
        <f>SUM(C82:C86)</f>
        <v>190932980</v>
      </c>
      <c r="D88" s="689">
        <f>SUM(D82:D86)</f>
        <v>184897104</v>
      </c>
      <c r="E88" s="689">
        <f t="shared" ref="E88" si="9">SUM(E82:E86)</f>
        <v>6035876</v>
      </c>
      <c r="F88" s="689">
        <f t="shared" ref="F88" si="10">SUM(F82:F86)</f>
        <v>0</v>
      </c>
      <c r="G88" s="689">
        <f t="shared" ref="G88" si="11">SUM(G82:G86)</f>
        <v>0</v>
      </c>
      <c r="H88" s="691"/>
    </row>
    <row r="89" spans="1:8">
      <c r="B89" s="696" t="s">
        <v>950</v>
      </c>
      <c r="C89" s="686"/>
      <c r="D89" s="732">
        <v>0</v>
      </c>
      <c r="E89" s="732">
        <v>1</v>
      </c>
      <c r="F89" s="697">
        <f>'Attachment H-7'!G73</f>
        <v>0.18616277547011206</v>
      </c>
      <c r="G89" s="697">
        <f>'Attachment H-7'!I191</f>
        <v>9.880621410235467E-2</v>
      </c>
      <c r="H89" s="686"/>
    </row>
    <row r="90" spans="1:8">
      <c r="B90" s="696" t="s">
        <v>951</v>
      </c>
      <c r="C90" s="686"/>
      <c r="D90" s="689">
        <f>D88*D89</f>
        <v>0</v>
      </c>
      <c r="E90" s="689">
        <f t="shared" ref="E90" si="12">E88*E89</f>
        <v>6035876</v>
      </c>
      <c r="F90" s="689">
        <f t="shared" ref="F90" si="13">F88*F89</f>
        <v>0</v>
      </c>
      <c r="G90" s="689">
        <f t="shared" ref="G90" si="14">G88*G89</f>
        <v>0</v>
      </c>
      <c r="H90" s="691">
        <f>SUM(D90:G90)</f>
        <v>6035876</v>
      </c>
    </row>
    <row r="92" spans="1:8">
      <c r="B92" s="630" t="s">
        <v>1256</v>
      </c>
    </row>
  </sheetData>
  <sheetProtection algorithmName="SHA-512" hashValue="oyvhKxMP+5YklVXZBXNBiFUdC7iE7l2l9f5BsR1V6cXXSzt8GedrjBNHc8fvAR73P9y7dBttZ0ujM7lHWbysRA==" saltValue="cXgMB2hZiJvN2PUw8wxyow==" spinCount="100000" sheet="1" objects="1" scenarios="1"/>
  <mergeCells count="4">
    <mergeCell ref="A1:D1"/>
    <mergeCell ref="A3:D3"/>
    <mergeCell ref="A47:D47"/>
    <mergeCell ref="A2:D2"/>
  </mergeCells>
  <printOptions horizontalCentered="1"/>
  <pageMargins left="0.5" right="0.5" top="1" bottom="1" header="0.5" footer="0.5"/>
  <pageSetup scale="43" fitToHeight="2" orientation="landscape" r:id="rId1"/>
  <headerFooter alignWithMargins="0"/>
  <rowBreaks count="1" manualBreakCount="1">
    <brk id="44"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31"/>
  <sheetViews>
    <sheetView zoomScaleNormal="100" zoomScaleSheetLayoutView="90" workbookViewId="0"/>
  </sheetViews>
  <sheetFormatPr defaultColWidth="8.90625" defaultRowHeight="13.8"/>
  <cols>
    <col min="1" max="1" width="4.08984375" style="593" customWidth="1"/>
    <col min="2" max="2" width="36.1796875" style="593" customWidth="1"/>
    <col min="3" max="3" width="1.6328125" style="593" customWidth="1"/>
    <col min="4" max="4" width="5.36328125" style="593" bestFit="1" customWidth="1"/>
    <col min="5" max="5" width="17" style="593" bestFit="1" customWidth="1"/>
    <col min="6" max="6" width="2.1796875" style="593" customWidth="1"/>
    <col min="7" max="7" width="14.81640625" style="593" bestFit="1" customWidth="1"/>
    <col min="8" max="8" width="17.54296875" style="593" bestFit="1" customWidth="1"/>
    <col min="9" max="9" width="14" style="593" bestFit="1" customWidth="1"/>
    <col min="10" max="10" width="14.81640625" style="593" bestFit="1" customWidth="1"/>
    <col min="11" max="11" width="4.36328125" style="593" customWidth="1"/>
    <col min="12" max="16384" width="8.90625" style="593"/>
  </cols>
  <sheetData>
    <row r="1" spans="1:10">
      <c r="B1" s="1028" t="str">
        <f>+'Attachment H-7'!D171</f>
        <v>PECO Energy Company</v>
      </c>
      <c r="C1" s="1028"/>
      <c r="D1" s="1028"/>
      <c r="E1" s="1028"/>
      <c r="F1" s="1028"/>
      <c r="G1" s="1028"/>
    </row>
    <row r="2" spans="1:10" ht="14.4">
      <c r="B2" s="1033" t="s">
        <v>691</v>
      </c>
      <c r="C2" s="1033"/>
      <c r="D2" s="1033"/>
      <c r="E2" s="1033"/>
      <c r="F2" s="1033"/>
      <c r="G2" s="1033"/>
    </row>
    <row r="4" spans="1:10">
      <c r="A4" s="754"/>
      <c r="B4" s="594"/>
      <c r="C4" s="594"/>
      <c r="D4" s="594"/>
      <c r="E4" s="594"/>
      <c r="F4" s="594"/>
      <c r="G4" s="594"/>
    </row>
    <row r="5" spans="1:10">
      <c r="A5" s="754"/>
      <c r="B5" s="594"/>
    </row>
    <row r="6" spans="1:10">
      <c r="E6" s="632" t="s">
        <v>205</v>
      </c>
      <c r="G6" s="632" t="s">
        <v>206</v>
      </c>
      <c r="H6" s="632" t="s">
        <v>207</v>
      </c>
      <c r="I6" s="633" t="s">
        <v>208</v>
      </c>
      <c r="J6" s="632" t="s">
        <v>210</v>
      </c>
    </row>
    <row r="7" spans="1:10">
      <c r="E7" s="634" t="s">
        <v>887</v>
      </c>
    </row>
    <row r="8" spans="1:10">
      <c r="B8" s="635"/>
      <c r="C8" s="635"/>
      <c r="D8" s="635"/>
      <c r="E8" s="636"/>
      <c r="F8" s="637"/>
      <c r="G8" s="637"/>
      <c r="H8" s="637"/>
      <c r="I8" s="637"/>
      <c r="J8" s="637"/>
    </row>
    <row r="9" spans="1:10">
      <c r="B9" s="638"/>
      <c r="C9" s="639"/>
      <c r="D9" s="640"/>
      <c r="E9" s="641" t="s">
        <v>13</v>
      </c>
      <c r="F9" s="641"/>
      <c r="G9" s="641" t="s">
        <v>733</v>
      </c>
      <c r="H9" s="641" t="s">
        <v>734</v>
      </c>
      <c r="I9" s="641" t="s">
        <v>735</v>
      </c>
      <c r="J9" s="641" t="s">
        <v>1291</v>
      </c>
    </row>
    <row r="10" spans="1:10">
      <c r="A10" s="596">
        <v>1</v>
      </c>
      <c r="B10" s="642" t="s">
        <v>736</v>
      </c>
      <c r="C10" s="635"/>
      <c r="D10" s="643">
        <v>920</v>
      </c>
      <c r="E10" s="975">
        <v>27642490</v>
      </c>
      <c r="F10" s="645"/>
      <c r="G10" s="644">
        <f>E10</f>
        <v>27642490</v>
      </c>
      <c r="H10" s="735"/>
      <c r="I10" s="735"/>
      <c r="J10" s="971">
        <v>0</v>
      </c>
    </row>
    <row r="11" spans="1:10">
      <c r="A11" s="596">
        <f>A10+1</f>
        <v>2</v>
      </c>
      <c r="B11" s="642" t="s">
        <v>737</v>
      </c>
      <c r="C11" s="635"/>
      <c r="D11" s="643">
        <v>921</v>
      </c>
      <c r="E11" s="974">
        <v>12903052</v>
      </c>
      <c r="F11" s="647"/>
      <c r="G11" s="646">
        <f>E11</f>
        <v>12903052</v>
      </c>
      <c r="H11" s="736"/>
      <c r="I11" s="736"/>
      <c r="J11" s="972">
        <v>0</v>
      </c>
    </row>
    <row r="12" spans="1:10">
      <c r="A12" s="596">
        <f t="shared" ref="A12:A24" si="0">A11+1</f>
        <v>3</v>
      </c>
      <c r="B12" s="642" t="s">
        <v>738</v>
      </c>
      <c r="C12" s="635"/>
      <c r="D12" s="643">
        <v>922</v>
      </c>
      <c r="E12" s="974">
        <v>0</v>
      </c>
      <c r="F12" s="647"/>
      <c r="G12" s="646">
        <f>E12</f>
        <v>0</v>
      </c>
      <c r="H12" s="736"/>
      <c r="I12" s="736"/>
      <c r="J12" s="972">
        <v>0</v>
      </c>
    </row>
    <row r="13" spans="1:10">
      <c r="A13" s="596">
        <f t="shared" si="0"/>
        <v>4</v>
      </c>
      <c r="B13" s="642" t="s">
        <v>739</v>
      </c>
      <c r="C13" s="635"/>
      <c r="D13" s="643">
        <v>923</v>
      </c>
      <c r="E13" s="974">
        <v>90787879</v>
      </c>
      <c r="F13" s="647"/>
      <c r="G13" s="646">
        <f>E13</f>
        <v>90787879</v>
      </c>
      <c r="H13" s="736"/>
      <c r="I13" s="736"/>
      <c r="J13" s="972">
        <v>0</v>
      </c>
    </row>
    <row r="14" spans="1:10">
      <c r="A14" s="596">
        <f t="shared" si="0"/>
        <v>5</v>
      </c>
      <c r="B14" s="642" t="s">
        <v>740</v>
      </c>
      <c r="C14" s="635"/>
      <c r="D14" s="643">
        <v>924</v>
      </c>
      <c r="E14" s="974">
        <v>432444</v>
      </c>
      <c r="F14" s="647"/>
      <c r="G14" s="736"/>
      <c r="H14" s="646">
        <f>E14</f>
        <v>432444</v>
      </c>
      <c r="I14" s="736"/>
      <c r="J14" s="972">
        <v>0</v>
      </c>
    </row>
    <row r="15" spans="1:10">
      <c r="A15" s="596">
        <f t="shared" si="0"/>
        <v>6</v>
      </c>
      <c r="B15" s="642" t="s">
        <v>741</v>
      </c>
      <c r="C15" s="635"/>
      <c r="D15" s="643">
        <v>925</v>
      </c>
      <c r="E15" s="974">
        <v>14565488</v>
      </c>
      <c r="F15" s="647"/>
      <c r="G15" s="646">
        <f>E15</f>
        <v>14565488</v>
      </c>
      <c r="H15" s="736"/>
      <c r="I15" s="736"/>
      <c r="J15" s="972">
        <v>0</v>
      </c>
    </row>
    <row r="16" spans="1:10">
      <c r="A16" s="596">
        <f t="shared" si="0"/>
        <v>7</v>
      </c>
      <c r="B16" s="642" t="s">
        <v>742</v>
      </c>
      <c r="C16" s="635"/>
      <c r="D16" s="648">
        <v>926</v>
      </c>
      <c r="E16" s="974">
        <v>30527267</v>
      </c>
      <c r="F16" s="647"/>
      <c r="G16" s="646">
        <f>E16</f>
        <v>30527267</v>
      </c>
      <c r="H16" s="736"/>
      <c r="I16" s="736"/>
      <c r="J16" s="972">
        <v>0</v>
      </c>
    </row>
    <row r="17" spans="1:11">
      <c r="A17" s="596">
        <f t="shared" si="0"/>
        <v>8</v>
      </c>
      <c r="B17" s="642" t="s">
        <v>743</v>
      </c>
      <c r="C17" s="635"/>
      <c r="D17" s="643">
        <v>927</v>
      </c>
      <c r="E17" s="974">
        <v>0</v>
      </c>
      <c r="F17" s="647"/>
      <c r="G17" s="646">
        <f>E17</f>
        <v>0</v>
      </c>
      <c r="H17" s="736"/>
      <c r="I17" s="736"/>
      <c r="J17" s="972">
        <v>0</v>
      </c>
    </row>
    <row r="18" spans="1:11">
      <c r="A18" s="596">
        <f t="shared" si="0"/>
        <v>9</v>
      </c>
      <c r="B18" s="642" t="s">
        <v>850</v>
      </c>
      <c r="C18" s="635"/>
      <c r="D18" s="643">
        <v>928</v>
      </c>
      <c r="E18" s="974">
        <v>9438542</v>
      </c>
      <c r="F18" s="647"/>
      <c r="G18" s="646">
        <v>0</v>
      </c>
      <c r="H18" s="736"/>
      <c r="I18" s="646">
        <f>E18-G18-J18</f>
        <v>8262295</v>
      </c>
      <c r="J18" s="972">
        <v>1176247</v>
      </c>
    </row>
    <row r="19" spans="1:11">
      <c r="A19" s="596">
        <f t="shared" si="0"/>
        <v>10</v>
      </c>
      <c r="B19" s="642" t="s">
        <v>744</v>
      </c>
      <c r="C19" s="635"/>
      <c r="D19" s="643">
        <v>929</v>
      </c>
      <c r="E19" s="974">
        <v>-2308136</v>
      </c>
      <c r="F19" s="647"/>
      <c r="G19" s="646">
        <f>E19</f>
        <v>-2308136</v>
      </c>
      <c r="H19" s="736"/>
      <c r="I19" s="736"/>
      <c r="J19" s="972">
        <v>0</v>
      </c>
    </row>
    <row r="20" spans="1:11">
      <c r="A20" s="596">
        <f t="shared" si="0"/>
        <v>11</v>
      </c>
      <c r="B20" s="642" t="s">
        <v>1292</v>
      </c>
      <c r="C20" s="635"/>
      <c r="D20" s="643">
        <v>930.1</v>
      </c>
      <c r="E20" s="974">
        <v>2188999</v>
      </c>
      <c r="F20" s="647"/>
      <c r="G20" s="646"/>
      <c r="H20" s="736"/>
      <c r="I20" s="646">
        <f>E20</f>
        <v>2188999</v>
      </c>
      <c r="J20" s="972">
        <v>0</v>
      </c>
    </row>
    <row r="21" spans="1:11">
      <c r="A21" s="596">
        <f t="shared" si="0"/>
        <v>12</v>
      </c>
      <c r="B21" s="642" t="s">
        <v>1294</v>
      </c>
      <c r="C21" s="635"/>
      <c r="D21" s="643">
        <v>930.2</v>
      </c>
      <c r="E21" s="974">
        <v>3736404</v>
      </c>
      <c r="F21" s="647"/>
      <c r="G21" s="646">
        <f>E21-I21</f>
        <v>3218023</v>
      </c>
      <c r="H21" s="736"/>
      <c r="I21" s="974">
        <v>518381</v>
      </c>
      <c r="J21" s="972">
        <v>0</v>
      </c>
    </row>
    <row r="22" spans="1:11">
      <c r="A22" s="596">
        <f t="shared" si="0"/>
        <v>13</v>
      </c>
      <c r="B22" s="642" t="s">
        <v>745</v>
      </c>
      <c r="C22" s="635"/>
      <c r="D22" s="643">
        <v>931</v>
      </c>
      <c r="E22" s="974">
        <v>0</v>
      </c>
      <c r="F22" s="647"/>
      <c r="G22" s="646">
        <f>E22</f>
        <v>0</v>
      </c>
      <c r="H22" s="736"/>
      <c r="I22" s="736"/>
      <c r="J22" s="972">
        <v>0</v>
      </c>
    </row>
    <row r="23" spans="1:11">
      <c r="A23" s="596">
        <f t="shared" si="0"/>
        <v>14</v>
      </c>
      <c r="B23" s="649" t="s">
        <v>746</v>
      </c>
      <c r="C23" s="635"/>
      <c r="D23" s="640">
        <v>935</v>
      </c>
      <c r="E23" s="976">
        <v>5741301</v>
      </c>
      <c r="F23" s="647"/>
      <c r="G23" s="644">
        <f>E23</f>
        <v>5741301</v>
      </c>
      <c r="H23" s="735"/>
      <c r="I23" s="735"/>
      <c r="J23" s="973">
        <v>0</v>
      </c>
      <c r="K23" s="597"/>
    </row>
    <row r="24" spans="1:11">
      <c r="A24" s="596">
        <f t="shared" si="0"/>
        <v>15</v>
      </c>
      <c r="B24" s="650" t="s">
        <v>1293</v>
      </c>
      <c r="C24" s="635"/>
      <c r="D24" s="601"/>
      <c r="E24" s="651">
        <f>SUM(E10:E23)</f>
        <v>195655730</v>
      </c>
      <c r="F24" s="652"/>
      <c r="G24" s="651">
        <f>SUM(G10:G23)</f>
        <v>183077364</v>
      </c>
      <c r="H24" s="651">
        <f t="shared" ref="H24:J24" si="1">SUM(H10:H23)</f>
        <v>432444</v>
      </c>
      <c r="I24" s="651">
        <f t="shared" si="1"/>
        <v>10969675</v>
      </c>
      <c r="J24" s="651">
        <f t="shared" si="1"/>
        <v>1176247</v>
      </c>
    </row>
    <row r="25" spans="1:11">
      <c r="A25" s="596"/>
      <c r="B25" s="635"/>
      <c r="C25" s="635"/>
      <c r="D25" s="635"/>
      <c r="E25" s="635"/>
      <c r="F25" s="635"/>
      <c r="G25" s="635"/>
      <c r="H25" s="635"/>
      <c r="I25" s="635"/>
      <c r="J25" s="635"/>
    </row>
    <row r="26" spans="1:11">
      <c r="A26" s="596">
        <f>A24+1</f>
        <v>16</v>
      </c>
      <c r="B26" s="635"/>
      <c r="C26" s="635"/>
      <c r="D26" s="635"/>
      <c r="E26" s="605" t="s">
        <v>747</v>
      </c>
      <c r="F26" s="635"/>
      <c r="G26" s="653">
        <f>'Attachment H-7'!I191</f>
        <v>9.880621410235467E-2</v>
      </c>
      <c r="H26" s="653">
        <f>'Attachment H-7'!G53</f>
        <v>0.19127255078541938</v>
      </c>
      <c r="I26" s="653">
        <v>0</v>
      </c>
      <c r="J26" s="653">
        <v>1</v>
      </c>
    </row>
    <row r="27" spans="1:11" ht="15.6">
      <c r="A27" s="596">
        <f t="shared" ref="A27:A28" si="2">A26+1</f>
        <v>17</v>
      </c>
      <c r="B27" s="635"/>
      <c r="C27" s="635"/>
      <c r="D27" s="635"/>
      <c r="E27" s="605" t="s">
        <v>1295</v>
      </c>
      <c r="F27" s="635"/>
      <c r="G27" s="858">
        <f>G24*G26</f>
        <v>18089181.224678718</v>
      </c>
      <c r="H27" s="858">
        <f t="shared" ref="H27" si="3">H24*H26</f>
        <v>82714.666951849897</v>
      </c>
      <c r="I27" s="858">
        <f t="shared" ref="I27:J27" si="4">I24*I26</f>
        <v>0</v>
      </c>
      <c r="J27" s="858">
        <f t="shared" si="4"/>
        <v>1176247</v>
      </c>
    </row>
    <row r="28" spans="1:11" ht="15.6">
      <c r="A28" s="596">
        <f t="shared" si="2"/>
        <v>18</v>
      </c>
      <c r="I28" s="605" t="s">
        <v>1296</v>
      </c>
      <c r="J28" s="857">
        <f>SUM(G27:J27)</f>
        <v>19348142.891630568</v>
      </c>
      <c r="K28" s="859"/>
    </row>
    <row r="30" spans="1:11" ht="15.6">
      <c r="A30" s="593" t="s">
        <v>1297</v>
      </c>
    </row>
    <row r="31" spans="1:11" ht="15.6">
      <c r="A31" s="593" t="s">
        <v>1298</v>
      </c>
    </row>
  </sheetData>
  <sheetProtection algorithmName="SHA-512" hashValue="CtBH+7ca7en+A3VTOV6wchIblOVZAIapFB46pyH9BtwFddIHXuI3hRAov3x86V1pf8E1YwGgLzahXaWgNKEpOQ==" saltValue="Z5jJMP5J6Vu3/6EuPXA9eQ==" spinCount="100000" sheet="1" objects="1" scenarios="1"/>
  <mergeCells count="2">
    <mergeCell ref="B1:G1"/>
    <mergeCell ref="B2:G2"/>
  </mergeCells>
  <pageMargins left="0.7" right="0.7" top="0.75" bottom="0.75" header="0.3" footer="0.3"/>
  <pageSetup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A89"/>
  <sheetViews>
    <sheetView zoomScaleNormal="100" zoomScaleSheetLayoutView="70" workbookViewId="0"/>
  </sheetViews>
  <sheetFormatPr defaultColWidth="8.90625" defaultRowHeight="13.2"/>
  <cols>
    <col min="1" max="1" width="4" style="115" customWidth="1"/>
    <col min="2" max="2" width="23.81640625" style="115" customWidth="1"/>
    <col min="3" max="3" width="18.90625" style="115" customWidth="1"/>
    <col min="4" max="4" width="11.1796875" style="115" customWidth="1"/>
    <col min="5" max="5" width="9.453125" style="115" customWidth="1"/>
    <col min="6" max="6" width="7.81640625" style="115" customWidth="1"/>
    <col min="7" max="7" width="10.453125" style="115" customWidth="1"/>
    <col min="8" max="16" width="7.81640625" style="115" customWidth="1"/>
    <col min="17" max="17" width="10.6328125" style="115" bestFit="1" customWidth="1"/>
    <col min="18" max="16384" width="8.90625" style="115"/>
  </cols>
  <sheetData>
    <row r="1" spans="1:27">
      <c r="E1" s="362" t="s">
        <v>199</v>
      </c>
      <c r="I1" s="364" t="s">
        <v>454</v>
      </c>
    </row>
    <row r="2" spans="1:27">
      <c r="E2" s="163" t="s">
        <v>435</v>
      </c>
    </row>
    <row r="3" spans="1:27">
      <c r="E3" s="223" t="str">
        <f>+'Attachment H-7'!D5</f>
        <v>PECO Energy Company</v>
      </c>
    </row>
    <row r="4" spans="1:27">
      <c r="I4" s="223"/>
    </row>
    <row r="5" spans="1:27">
      <c r="F5" s="180"/>
      <c r="G5" s="180"/>
      <c r="H5" s="180"/>
      <c r="I5" s="223"/>
    </row>
    <row r="6" spans="1:27" ht="15">
      <c r="E6" s="229" t="s">
        <v>464</v>
      </c>
      <c r="F6" s="233"/>
      <c r="G6" s="234"/>
      <c r="H6" s="233"/>
    </row>
    <row r="7" spans="1:27" ht="46.5" customHeight="1">
      <c r="A7" s="519"/>
      <c r="B7" s="520"/>
      <c r="C7" s="521" t="s">
        <v>717</v>
      </c>
      <c r="D7" s="521"/>
      <c r="E7" s="522" t="s">
        <v>1061</v>
      </c>
      <c r="F7" s="235"/>
      <c r="G7" s="235"/>
      <c r="H7" s="235"/>
      <c r="S7" s="180"/>
      <c r="T7" s="180"/>
      <c r="U7" s="180"/>
      <c r="V7" s="180"/>
      <c r="W7" s="180"/>
      <c r="X7" s="180"/>
      <c r="Y7" s="180"/>
      <c r="Z7" s="180"/>
      <c r="AA7" s="180"/>
    </row>
    <row r="8" spans="1:27" ht="15">
      <c r="A8" s="519">
        <v>1</v>
      </c>
      <c r="B8" s="523"/>
      <c r="C8" s="115" t="s">
        <v>88</v>
      </c>
      <c r="D8" s="214"/>
      <c r="E8" s="977">
        <v>0</v>
      </c>
      <c r="F8" s="236"/>
      <c r="G8" s="338"/>
      <c r="H8" s="338"/>
      <c r="S8" s="231"/>
      <c r="T8" s="231"/>
      <c r="U8" s="231"/>
      <c r="V8" s="232"/>
      <c r="W8" s="233"/>
      <c r="X8" s="234"/>
      <c r="Y8" s="233"/>
      <c r="Z8" s="231"/>
      <c r="AA8" s="180"/>
    </row>
    <row r="9" spans="1:27" ht="15">
      <c r="A9" s="519">
        <v>2</v>
      </c>
      <c r="B9" s="523"/>
      <c r="C9" s="115" t="s">
        <v>87</v>
      </c>
      <c r="D9" s="214"/>
      <c r="E9" s="977">
        <v>0</v>
      </c>
      <c r="F9" s="236"/>
      <c r="G9" s="338"/>
      <c r="H9" s="338"/>
      <c r="S9" s="231"/>
      <c r="T9" s="230"/>
      <c r="U9" s="230"/>
      <c r="V9" s="235"/>
      <c r="W9" s="235"/>
      <c r="X9" s="235"/>
      <c r="Y9" s="235"/>
      <c r="Z9" s="235"/>
      <c r="AA9" s="180"/>
    </row>
    <row r="10" spans="1:27" ht="15">
      <c r="A10" s="519">
        <v>3</v>
      </c>
      <c r="B10" s="523"/>
      <c r="C10" s="115" t="s">
        <v>86</v>
      </c>
      <c r="D10" s="214"/>
      <c r="E10" s="977">
        <v>0</v>
      </c>
      <c r="F10" s="236"/>
      <c r="G10" s="338"/>
      <c r="H10" s="338"/>
      <c r="S10" s="231"/>
      <c r="T10" s="230"/>
      <c r="U10" s="230"/>
      <c r="V10" s="236"/>
      <c r="W10" s="236"/>
      <c r="X10" s="237"/>
      <c r="Y10" s="237"/>
      <c r="Z10" s="237"/>
      <c r="AA10" s="180"/>
    </row>
    <row r="11" spans="1:27" ht="15">
      <c r="A11" s="519">
        <v>4</v>
      </c>
      <c r="B11" s="523"/>
      <c r="C11" s="115" t="s">
        <v>78</v>
      </c>
      <c r="D11" s="214"/>
      <c r="E11" s="977">
        <v>0</v>
      </c>
      <c r="F11" s="236"/>
      <c r="G11" s="338"/>
      <c r="H11" s="338"/>
      <c r="S11" s="231"/>
      <c r="T11" s="230"/>
      <c r="U11" s="230"/>
      <c r="V11" s="236"/>
      <c r="W11" s="236"/>
      <c r="X11" s="237"/>
      <c r="Y11" s="237"/>
      <c r="Z11" s="237"/>
      <c r="AA11" s="180"/>
    </row>
    <row r="12" spans="1:27" ht="15.75" customHeight="1">
      <c r="A12" s="519">
        <v>5</v>
      </c>
      <c r="B12" s="523"/>
      <c r="C12" s="115" t="s">
        <v>77</v>
      </c>
      <c r="D12" s="214"/>
      <c r="E12" s="977">
        <v>0</v>
      </c>
      <c r="F12" s="236"/>
      <c r="G12" s="338"/>
      <c r="H12" s="338"/>
      <c r="S12" s="231"/>
      <c r="T12" s="230"/>
      <c r="U12" s="230"/>
      <c r="V12" s="236"/>
      <c r="W12" s="236"/>
      <c r="X12" s="237"/>
      <c r="Y12" s="237"/>
      <c r="Z12" s="237"/>
      <c r="AA12" s="180"/>
    </row>
    <row r="13" spans="1:27" ht="15">
      <c r="A13" s="519">
        <v>6</v>
      </c>
      <c r="B13" s="523"/>
      <c r="C13" s="115" t="s">
        <v>97</v>
      </c>
      <c r="D13" s="214"/>
      <c r="E13" s="977">
        <v>0</v>
      </c>
      <c r="F13" s="236"/>
      <c r="G13" s="338"/>
      <c r="H13" s="338"/>
      <c r="S13" s="231"/>
      <c r="T13" s="230"/>
      <c r="U13" s="230"/>
      <c r="V13" s="236"/>
      <c r="W13" s="236"/>
      <c r="X13" s="237"/>
      <c r="Y13" s="237"/>
      <c r="Z13" s="237"/>
      <c r="AA13" s="180"/>
    </row>
    <row r="14" spans="1:27" ht="15">
      <c r="A14" s="519">
        <v>7</v>
      </c>
      <c r="B14" s="523"/>
      <c r="C14" s="115" t="s">
        <v>85</v>
      </c>
      <c r="D14" s="214"/>
      <c r="E14" s="977">
        <v>0</v>
      </c>
      <c r="F14" s="236"/>
      <c r="G14" s="338"/>
      <c r="H14" s="338"/>
      <c r="S14" s="231"/>
      <c r="T14" s="231"/>
      <c r="U14" s="231"/>
      <c r="V14" s="231"/>
      <c r="W14" s="231"/>
      <c r="X14" s="231"/>
      <c r="Y14" s="231"/>
      <c r="Z14" s="231"/>
      <c r="AA14" s="180"/>
    </row>
    <row r="15" spans="1:27" ht="15">
      <c r="A15" s="519">
        <v>8</v>
      </c>
      <c r="B15" s="523"/>
      <c r="C15" s="115" t="s">
        <v>84</v>
      </c>
      <c r="D15" s="214"/>
      <c r="E15" s="977">
        <v>0</v>
      </c>
      <c r="F15" s="236"/>
      <c r="G15" s="338"/>
      <c r="H15" s="338"/>
      <c r="S15" s="231"/>
      <c r="T15" s="231"/>
      <c r="U15" s="231"/>
      <c r="V15" s="231"/>
      <c r="W15" s="231"/>
      <c r="X15" s="231"/>
      <c r="Y15" s="231"/>
      <c r="Z15" s="231"/>
      <c r="AA15" s="180"/>
    </row>
    <row r="16" spans="1:27" ht="15">
      <c r="A16" s="519">
        <v>9</v>
      </c>
      <c r="B16" s="523"/>
      <c r="C16" s="115" t="s">
        <v>83</v>
      </c>
      <c r="D16" s="214"/>
      <c r="E16" s="977">
        <v>0</v>
      </c>
      <c r="F16" s="236"/>
      <c r="G16" s="338"/>
      <c r="H16" s="338"/>
      <c r="S16" s="231"/>
      <c r="T16" s="231"/>
      <c r="U16" s="231"/>
      <c r="V16" s="231"/>
      <c r="W16" s="231"/>
      <c r="X16" s="231"/>
      <c r="Y16" s="231"/>
      <c r="Z16" s="231"/>
      <c r="AA16" s="180"/>
    </row>
    <row r="17" spans="1:27" ht="15">
      <c r="A17" s="519">
        <v>10</v>
      </c>
      <c r="B17" s="523"/>
      <c r="C17" s="115" t="s">
        <v>89</v>
      </c>
      <c r="D17" s="214"/>
      <c r="E17" s="977">
        <v>0</v>
      </c>
      <c r="F17" s="236"/>
      <c r="G17" s="338"/>
      <c r="H17" s="338"/>
      <c r="S17" s="231"/>
      <c r="T17" s="231"/>
      <c r="U17" s="231"/>
      <c r="V17" s="231"/>
      <c r="W17" s="231"/>
      <c r="X17" s="231"/>
      <c r="Y17" s="231"/>
      <c r="Z17" s="231"/>
      <c r="AA17" s="180"/>
    </row>
    <row r="18" spans="1:27" ht="15">
      <c r="A18" s="519">
        <v>11</v>
      </c>
      <c r="B18" s="523"/>
      <c r="C18" s="115" t="s">
        <v>82</v>
      </c>
      <c r="D18" s="214"/>
      <c r="E18" s="977">
        <v>0</v>
      </c>
      <c r="F18" s="236"/>
      <c r="G18" s="338"/>
      <c r="H18" s="338"/>
      <c r="S18" s="231"/>
      <c r="T18" s="231"/>
      <c r="U18" s="231"/>
      <c r="V18" s="231"/>
      <c r="W18" s="231"/>
      <c r="X18" s="231"/>
      <c r="Y18" s="231"/>
      <c r="Z18" s="231"/>
      <c r="AA18" s="180"/>
    </row>
    <row r="19" spans="1:27" ht="15">
      <c r="A19" s="519">
        <v>12</v>
      </c>
      <c r="B19" s="523"/>
      <c r="C19" s="115" t="s">
        <v>81</v>
      </c>
      <c r="D19" s="214"/>
      <c r="E19" s="977">
        <v>0</v>
      </c>
      <c r="F19" s="236"/>
      <c r="G19" s="338"/>
      <c r="H19" s="338"/>
      <c r="S19" s="231"/>
      <c r="T19" s="231"/>
      <c r="U19" s="231"/>
      <c r="V19" s="231"/>
      <c r="W19" s="231"/>
      <c r="X19" s="231"/>
      <c r="Y19" s="231"/>
      <c r="Z19" s="231"/>
      <c r="AA19" s="180"/>
    </row>
    <row r="20" spans="1:27" ht="15">
      <c r="A20" s="519">
        <v>13</v>
      </c>
      <c r="B20" s="523"/>
      <c r="C20" s="115" t="s">
        <v>88</v>
      </c>
      <c r="D20" s="214"/>
      <c r="E20" s="977">
        <v>0</v>
      </c>
      <c r="F20" s="236"/>
      <c r="G20" s="338"/>
      <c r="H20" s="338"/>
      <c r="S20" s="231"/>
      <c r="T20" s="231"/>
      <c r="U20" s="231"/>
      <c r="V20" s="231"/>
      <c r="W20" s="231"/>
      <c r="X20" s="231"/>
      <c r="Y20" s="231"/>
      <c r="Z20" s="231"/>
      <c r="AA20" s="180"/>
    </row>
    <row r="21" spans="1:27" ht="15">
      <c r="A21" s="519">
        <v>14</v>
      </c>
      <c r="B21" s="523"/>
      <c r="C21" s="115" t="s">
        <v>87</v>
      </c>
      <c r="D21" s="214"/>
      <c r="E21" s="977">
        <v>0</v>
      </c>
      <c r="F21" s="236"/>
      <c r="G21" s="338"/>
      <c r="H21" s="338"/>
      <c r="S21" s="231"/>
      <c r="T21" s="231"/>
      <c r="U21" s="231"/>
      <c r="V21" s="231"/>
      <c r="W21" s="231"/>
      <c r="X21" s="231"/>
      <c r="Y21" s="231"/>
      <c r="Z21" s="231"/>
      <c r="AA21" s="180"/>
    </row>
    <row r="22" spans="1:27" ht="15">
      <c r="A22" s="519">
        <v>15</v>
      </c>
      <c r="B22" s="523"/>
      <c r="C22" s="115" t="s">
        <v>86</v>
      </c>
      <c r="D22" s="214"/>
      <c r="E22" s="977">
        <v>0</v>
      </c>
      <c r="F22" s="236"/>
      <c r="G22" s="338"/>
      <c r="H22" s="338"/>
      <c r="S22" s="231"/>
      <c r="T22" s="231"/>
      <c r="U22" s="231"/>
      <c r="V22" s="231"/>
      <c r="W22" s="231"/>
      <c r="X22" s="231"/>
      <c r="Y22" s="231"/>
      <c r="Z22" s="231"/>
      <c r="AA22" s="180"/>
    </row>
    <row r="23" spans="1:27" ht="15">
      <c r="A23" s="519">
        <v>16</v>
      </c>
      <c r="B23" s="523"/>
      <c r="C23" s="115" t="s">
        <v>78</v>
      </c>
      <c r="D23" s="214"/>
      <c r="E23" s="977">
        <v>0</v>
      </c>
      <c r="F23" s="236"/>
      <c r="G23" s="338"/>
      <c r="H23" s="338"/>
      <c r="S23" s="231"/>
      <c r="T23" s="231"/>
      <c r="U23" s="231"/>
      <c r="V23" s="231"/>
      <c r="W23" s="231"/>
      <c r="X23" s="231"/>
      <c r="Y23" s="231"/>
      <c r="Z23" s="231"/>
      <c r="AA23" s="180"/>
    </row>
    <row r="24" spans="1:27" ht="15">
      <c r="A24" s="519">
        <v>17</v>
      </c>
      <c r="B24" s="523"/>
      <c r="C24" s="115" t="s">
        <v>77</v>
      </c>
      <c r="D24" s="214"/>
      <c r="E24" s="977">
        <v>0</v>
      </c>
      <c r="F24" s="236"/>
      <c r="G24" s="338"/>
      <c r="H24" s="338"/>
      <c r="S24" s="231"/>
      <c r="T24" s="231"/>
      <c r="U24" s="231"/>
      <c r="V24" s="231"/>
      <c r="W24" s="231"/>
      <c r="X24" s="231"/>
      <c r="Y24" s="231"/>
      <c r="Z24" s="231"/>
      <c r="AA24" s="180"/>
    </row>
    <row r="25" spans="1:27" ht="15">
      <c r="A25" s="519"/>
      <c r="B25" s="523"/>
      <c r="C25" s="524"/>
      <c r="D25" s="339"/>
      <c r="E25" s="339"/>
      <c r="F25" s="339"/>
      <c r="G25" s="339"/>
      <c r="H25" s="339"/>
      <c r="S25" s="231"/>
      <c r="T25" s="231"/>
      <c r="U25" s="231"/>
      <c r="V25" s="238"/>
      <c r="W25" s="237"/>
      <c r="X25" s="231"/>
      <c r="Y25" s="231"/>
      <c r="Z25" s="231"/>
      <c r="AA25" s="180"/>
    </row>
    <row r="26" spans="1:27" ht="15">
      <c r="A26" s="519">
        <v>18</v>
      </c>
      <c r="B26" s="525" t="s">
        <v>718</v>
      </c>
      <c r="C26" s="526"/>
      <c r="D26" s="339"/>
      <c r="E26" s="214">
        <f>AVERAGE(E8:E24)</f>
        <v>0</v>
      </c>
      <c r="F26" s="339"/>
      <c r="G26" s="339"/>
      <c r="H26" s="339"/>
      <c r="S26" s="231"/>
      <c r="T26" s="231"/>
      <c r="U26" s="231"/>
      <c r="V26" s="238"/>
      <c r="W26" s="237"/>
      <c r="X26" s="231"/>
      <c r="Y26" s="231"/>
      <c r="Z26" s="231"/>
      <c r="AA26" s="180"/>
    </row>
    <row r="27" spans="1:27" ht="15">
      <c r="A27" s="523"/>
      <c r="B27" s="523"/>
      <c r="C27" s="526"/>
      <c r="D27" s="339"/>
      <c r="E27" s="339"/>
      <c r="F27" s="214"/>
      <c r="G27" s="214"/>
      <c r="H27" s="214"/>
      <c r="S27" s="231"/>
      <c r="T27" s="231"/>
      <c r="U27" s="231"/>
      <c r="V27" s="231"/>
      <c r="W27" s="231"/>
      <c r="X27" s="231"/>
      <c r="Y27" s="231"/>
      <c r="Z27" s="231"/>
      <c r="AA27" s="180"/>
    </row>
    <row r="28" spans="1:27" ht="15">
      <c r="A28" s="523" t="s">
        <v>434</v>
      </c>
      <c r="B28" s="523"/>
      <c r="C28" s="523"/>
      <c r="D28" s="523"/>
      <c r="E28" s="523"/>
      <c r="F28" s="523"/>
      <c r="G28" s="523"/>
      <c r="H28" s="523"/>
      <c r="S28" s="231"/>
      <c r="T28" s="231"/>
      <c r="U28" s="231"/>
      <c r="V28" s="231"/>
      <c r="W28" s="231"/>
      <c r="X28" s="231"/>
      <c r="Y28" s="231"/>
      <c r="Z28" s="231"/>
      <c r="AA28" s="180"/>
    </row>
    <row r="29" spans="1:27" ht="15">
      <c r="A29" s="523"/>
      <c r="B29" s="527" t="s">
        <v>716</v>
      </c>
      <c r="C29" s="523"/>
      <c r="D29" s="523"/>
      <c r="E29" s="523"/>
      <c r="F29" s="523"/>
      <c r="G29" s="523"/>
      <c r="H29" s="523"/>
      <c r="S29" s="230"/>
      <c r="T29" s="180"/>
      <c r="U29" s="231"/>
      <c r="V29" s="231"/>
      <c r="W29" s="231"/>
      <c r="X29" s="231"/>
      <c r="Y29" s="231"/>
      <c r="Z29" s="231"/>
      <c r="AA29" s="180"/>
    </row>
    <row r="30" spans="1:27" ht="15">
      <c r="A30" s="523"/>
      <c r="B30" s="527"/>
      <c r="C30" s="523"/>
      <c r="D30" s="523"/>
      <c r="E30" s="523"/>
      <c r="F30" s="523"/>
      <c r="G30" s="523"/>
      <c r="H30" s="523"/>
      <c r="S30" s="527"/>
      <c r="U30" s="527"/>
      <c r="V30" s="527"/>
      <c r="W30" s="527"/>
      <c r="X30" s="527"/>
      <c r="Y30" s="527"/>
      <c r="Z30" s="527"/>
    </row>
    <row r="31" spans="1:27" ht="15">
      <c r="A31" s="523"/>
      <c r="B31" s="527"/>
      <c r="C31" s="523"/>
      <c r="D31" s="523"/>
      <c r="E31" s="523"/>
      <c r="F31" s="523"/>
      <c r="G31" s="523"/>
      <c r="H31" s="523"/>
      <c r="S31" s="527"/>
      <c r="T31" s="527"/>
      <c r="U31" s="527"/>
      <c r="V31" s="527"/>
      <c r="W31" s="527"/>
      <c r="X31" s="527"/>
      <c r="Y31" s="527"/>
      <c r="Z31" s="527"/>
    </row>
    <row r="32" spans="1:27" ht="15">
      <c r="A32" s="523"/>
      <c r="B32" s="523"/>
      <c r="C32" s="523"/>
      <c r="D32" s="523"/>
      <c r="E32" s="523"/>
      <c r="F32" s="523"/>
      <c r="G32" s="523"/>
      <c r="H32" s="523"/>
    </row>
    <row r="33" spans="1:17">
      <c r="A33" s="209"/>
      <c r="B33" s="116"/>
      <c r="C33" s="116"/>
      <c r="D33" s="1035"/>
      <c r="E33" s="1035"/>
      <c r="F33" s="117"/>
      <c r="G33" s="117"/>
      <c r="H33" s="361"/>
      <c r="I33" s="117"/>
      <c r="J33" s="117"/>
      <c r="K33" s="117"/>
    </row>
    <row r="34" spans="1:17">
      <c r="A34" s="209">
        <v>19</v>
      </c>
      <c r="B34" s="116" t="s">
        <v>79</v>
      </c>
      <c r="C34" s="116"/>
      <c r="D34" s="1035"/>
      <c r="E34" s="1035"/>
      <c r="F34" s="1035"/>
      <c r="G34" s="1035"/>
      <c r="H34" s="361"/>
      <c r="I34" s="1035"/>
      <c r="J34" s="1035"/>
      <c r="K34" s="1035"/>
      <c r="L34" s="1035"/>
    </row>
    <row r="35" spans="1:17">
      <c r="A35" s="209">
        <v>20</v>
      </c>
      <c r="B35" s="116"/>
      <c r="C35" s="116"/>
      <c r="D35" s="117"/>
      <c r="E35" s="117"/>
      <c r="F35" s="118"/>
      <c r="G35" s="117"/>
      <c r="H35" s="117"/>
      <c r="I35" s="117"/>
      <c r="J35" s="117"/>
      <c r="K35" s="117"/>
      <c r="L35" s="117"/>
    </row>
    <row r="36" spans="1:17" ht="13.8">
      <c r="A36" s="169"/>
      <c r="B36" s="459" t="s">
        <v>62</v>
      </c>
      <c r="C36" s="343" t="s">
        <v>63</v>
      </c>
      <c r="D36" s="343" t="s">
        <v>64</v>
      </c>
      <c r="E36" s="343" t="s">
        <v>65</v>
      </c>
      <c r="F36" s="343" t="s">
        <v>66</v>
      </c>
      <c r="G36" s="344" t="s">
        <v>67</v>
      </c>
      <c r="H36" s="361"/>
      <c r="I36" s="361"/>
      <c r="J36" s="361"/>
      <c r="K36" s="361"/>
      <c r="L36" s="361"/>
      <c r="M36" s="361"/>
      <c r="N36" s="361"/>
      <c r="O36" s="361"/>
      <c r="P36" s="361"/>
      <c r="Q36" s="361"/>
    </row>
    <row r="37" spans="1:17" ht="13.8">
      <c r="A37" s="209"/>
      <c r="B37" s="352"/>
      <c r="C37" s="361"/>
      <c r="D37" s="361"/>
      <c r="E37" s="361"/>
      <c r="F37" s="361"/>
      <c r="G37" s="345"/>
      <c r="H37" s="361"/>
      <c r="I37" s="117"/>
      <c r="J37" s="361"/>
      <c r="K37" s="117"/>
      <c r="L37" s="117"/>
      <c r="M37" s="180"/>
      <c r="N37" s="180"/>
      <c r="O37" s="180"/>
      <c r="P37" s="180"/>
      <c r="Q37" s="180"/>
    </row>
    <row r="38" spans="1:17">
      <c r="A38" s="209"/>
      <c r="B38" s="458"/>
      <c r="C38" s="361"/>
      <c r="D38" s="361"/>
      <c r="E38" s="361"/>
      <c r="F38" s="361"/>
      <c r="G38" s="334"/>
      <c r="H38" s="361"/>
      <c r="I38" s="361"/>
      <c r="J38" s="361"/>
      <c r="K38" s="361"/>
      <c r="L38" s="361"/>
      <c r="M38" s="361"/>
      <c r="N38" s="361"/>
      <c r="O38" s="361"/>
      <c r="P38" s="361"/>
      <c r="Q38" s="361"/>
    </row>
    <row r="39" spans="1:17" ht="27.6">
      <c r="A39" s="209"/>
      <c r="B39" s="72" t="s">
        <v>462</v>
      </c>
      <c r="C39" s="353" t="s">
        <v>485</v>
      </c>
      <c r="D39" s="341" t="s">
        <v>11</v>
      </c>
      <c r="E39" s="361" t="s">
        <v>722</v>
      </c>
      <c r="F39" s="350" t="s">
        <v>376</v>
      </c>
      <c r="G39" s="346" t="s">
        <v>313</v>
      </c>
      <c r="H39" s="180"/>
      <c r="I39" s="180"/>
      <c r="J39" s="180"/>
      <c r="K39" s="180"/>
      <c r="L39" s="180"/>
      <c r="M39" s="180"/>
      <c r="N39" s="180"/>
      <c r="O39" s="180"/>
      <c r="P39" s="361"/>
      <c r="Q39" s="361"/>
    </row>
    <row r="40" spans="1:17" ht="30" customHeight="1">
      <c r="A40" s="209"/>
      <c r="B40" s="458"/>
      <c r="C40" s="361"/>
      <c r="D40" s="341" t="s">
        <v>858</v>
      </c>
      <c r="E40" s="361"/>
      <c r="F40" s="341" t="s">
        <v>723</v>
      </c>
      <c r="G40" s="528" t="s">
        <v>724</v>
      </c>
      <c r="H40" s="361"/>
      <c r="I40" s="361"/>
      <c r="J40" s="361"/>
      <c r="K40" s="361"/>
      <c r="L40" s="361"/>
      <c r="M40" s="361"/>
      <c r="N40" s="361"/>
      <c r="O40" s="361"/>
      <c r="P40" s="361"/>
      <c r="Q40" s="361"/>
    </row>
    <row r="41" spans="1:17">
      <c r="A41" s="209">
        <v>21</v>
      </c>
      <c r="B41" s="352" t="str">
        <f>+'1-Project Rev Req'!C66</f>
        <v xml:space="preserve">Zonal </v>
      </c>
      <c r="C41" s="117" t="str">
        <f>+'1-Project Rev Req'!D66</f>
        <v>Zonal</v>
      </c>
      <c r="D41" s="221">
        <f>+'3-Project True-up'!H18+'3-Project True-up'!I18</f>
        <v>0</v>
      </c>
      <c r="E41" s="191">
        <v>17</v>
      </c>
      <c r="F41" s="221">
        <f>+E26</f>
        <v>0</v>
      </c>
      <c r="G41" s="351">
        <f>+D41*E41*F41</f>
        <v>0</v>
      </c>
      <c r="H41" s="221"/>
      <c r="I41" s="39"/>
      <c r="J41" s="39"/>
      <c r="K41" s="39"/>
      <c r="L41" s="39"/>
      <c r="M41" s="180"/>
      <c r="N41" s="180"/>
      <c r="O41" s="180"/>
      <c r="P41" s="180"/>
      <c r="Q41" s="180"/>
    </row>
    <row r="42" spans="1:17">
      <c r="A42" s="209" t="s">
        <v>719</v>
      </c>
      <c r="B42" s="978" t="s">
        <v>711</v>
      </c>
      <c r="C42" s="979" t="s">
        <v>777</v>
      </c>
      <c r="D42" s="221">
        <f>+'3-Project True-up'!H19+'3-Project True-up'!I19</f>
        <v>0</v>
      </c>
      <c r="E42" s="191">
        <v>17</v>
      </c>
      <c r="F42" s="221">
        <f>+F41</f>
        <v>0</v>
      </c>
      <c r="G42" s="351">
        <f t="shared" ref="G42:G69" si="0">+D42*E42*F42</f>
        <v>0</v>
      </c>
      <c r="H42" s="221"/>
      <c r="I42" s="117"/>
      <c r="J42" s="221"/>
      <c r="K42" s="39"/>
      <c r="L42" s="39"/>
      <c r="M42" s="180"/>
      <c r="N42" s="180"/>
      <c r="O42" s="180"/>
      <c r="P42" s="15"/>
      <c r="Q42" s="340"/>
    </row>
    <row r="43" spans="1:17">
      <c r="A43" s="209" t="s">
        <v>720</v>
      </c>
      <c r="B43" s="978" t="s">
        <v>712</v>
      </c>
      <c r="C43" s="979" t="s">
        <v>778</v>
      </c>
      <c r="D43" s="221">
        <f>+'3-Project True-up'!H20+'3-Project True-up'!I20</f>
        <v>0</v>
      </c>
      <c r="E43" s="191">
        <v>17</v>
      </c>
      <c r="F43" s="221">
        <f t="shared" ref="F43:F69" si="1">+F42</f>
        <v>0</v>
      </c>
      <c r="G43" s="351">
        <f t="shared" si="0"/>
        <v>0</v>
      </c>
      <c r="H43" s="221"/>
      <c r="I43" s="117"/>
      <c r="J43" s="221"/>
      <c r="K43" s="39"/>
      <c r="L43" s="39"/>
      <c r="M43" s="180"/>
      <c r="N43" s="180"/>
      <c r="O43" s="180"/>
      <c r="P43" s="15"/>
      <c r="Q43" s="340"/>
    </row>
    <row r="44" spans="1:17">
      <c r="A44" s="209" t="s">
        <v>721</v>
      </c>
      <c r="B44" s="978" t="s">
        <v>713</v>
      </c>
      <c r="C44" s="979" t="s">
        <v>779</v>
      </c>
      <c r="D44" s="221">
        <f>+'3-Project True-up'!H21+'3-Project True-up'!I21</f>
        <v>0</v>
      </c>
      <c r="E44" s="191">
        <v>17</v>
      </c>
      <c r="F44" s="221">
        <f t="shared" si="1"/>
        <v>0</v>
      </c>
      <c r="G44" s="351">
        <f t="shared" si="0"/>
        <v>0</v>
      </c>
      <c r="H44" s="221"/>
      <c r="I44" s="117"/>
      <c r="J44" s="221"/>
      <c r="K44" s="39"/>
      <c r="L44" s="39"/>
      <c r="M44" s="180"/>
      <c r="N44" s="180"/>
      <c r="O44" s="180"/>
      <c r="P44" s="15"/>
      <c r="Q44" s="340"/>
    </row>
    <row r="45" spans="1:17">
      <c r="A45" s="209" t="s">
        <v>1359</v>
      </c>
      <c r="B45" s="978" t="s">
        <v>714</v>
      </c>
      <c r="C45" s="979" t="s">
        <v>780</v>
      </c>
      <c r="D45" s="221">
        <f>+'3-Project True-up'!H22+'3-Project True-up'!I22</f>
        <v>0</v>
      </c>
      <c r="E45" s="191">
        <v>17</v>
      </c>
      <c r="F45" s="221">
        <f t="shared" si="1"/>
        <v>0</v>
      </c>
      <c r="G45" s="351">
        <f t="shared" si="0"/>
        <v>0</v>
      </c>
      <c r="H45" s="221"/>
      <c r="I45" s="117"/>
      <c r="J45" s="221"/>
      <c r="K45" s="39"/>
      <c r="L45" s="39"/>
      <c r="M45" s="180"/>
      <c r="N45" s="180"/>
      <c r="O45" s="180"/>
      <c r="P45" s="15"/>
      <c r="Q45" s="340"/>
    </row>
    <row r="46" spans="1:17">
      <c r="A46" s="209" t="s">
        <v>1360</v>
      </c>
      <c r="B46" s="978" t="s">
        <v>801</v>
      </c>
      <c r="C46" s="979" t="s">
        <v>781</v>
      </c>
      <c r="D46" s="221">
        <f>+'3-Project True-up'!H23+'3-Project True-up'!I23</f>
        <v>0</v>
      </c>
      <c r="E46" s="191">
        <v>17</v>
      </c>
      <c r="F46" s="221">
        <f t="shared" si="1"/>
        <v>0</v>
      </c>
      <c r="G46" s="351">
        <f t="shared" si="0"/>
        <v>0</v>
      </c>
      <c r="H46" s="221"/>
      <c r="I46" s="117"/>
      <c r="J46" s="221"/>
      <c r="K46" s="39"/>
      <c r="L46" s="39"/>
      <c r="M46" s="180"/>
      <c r="N46" s="180"/>
      <c r="O46" s="180"/>
      <c r="P46" s="15"/>
      <c r="Q46" s="340"/>
    </row>
    <row r="47" spans="1:17">
      <c r="A47" s="209" t="s">
        <v>1361</v>
      </c>
      <c r="B47" s="978" t="s">
        <v>802</v>
      </c>
      <c r="C47" s="979" t="s">
        <v>782</v>
      </c>
      <c r="D47" s="221">
        <f>+'3-Project True-up'!H24+'3-Project True-up'!I24</f>
        <v>0</v>
      </c>
      <c r="E47" s="191">
        <v>17</v>
      </c>
      <c r="F47" s="221">
        <f t="shared" si="1"/>
        <v>0</v>
      </c>
      <c r="G47" s="351">
        <f t="shared" si="0"/>
        <v>0</v>
      </c>
      <c r="H47" s="221"/>
      <c r="I47" s="117"/>
      <c r="J47" s="221"/>
      <c r="K47" s="39"/>
      <c r="L47" s="39"/>
      <c r="M47" s="180"/>
      <c r="N47" s="180"/>
      <c r="O47" s="180"/>
      <c r="P47" s="15"/>
      <c r="Q47" s="340"/>
    </row>
    <row r="48" spans="1:17">
      <c r="A48" s="209" t="s">
        <v>1362</v>
      </c>
      <c r="B48" s="978" t="s">
        <v>803</v>
      </c>
      <c r="C48" s="979" t="s">
        <v>783</v>
      </c>
      <c r="D48" s="221">
        <f>+'3-Project True-up'!H25+'3-Project True-up'!I25</f>
        <v>0</v>
      </c>
      <c r="E48" s="191">
        <v>17</v>
      </c>
      <c r="F48" s="221">
        <f t="shared" si="1"/>
        <v>0</v>
      </c>
      <c r="G48" s="351">
        <f t="shared" ref="G48:G57" si="2">+D48*E48*F48</f>
        <v>0</v>
      </c>
      <c r="H48" s="221"/>
      <c r="I48" s="117"/>
      <c r="J48" s="221"/>
      <c r="K48" s="39"/>
      <c r="L48" s="39"/>
      <c r="M48" s="180"/>
      <c r="N48" s="180"/>
      <c r="O48" s="180"/>
      <c r="P48" s="15"/>
      <c r="Q48" s="340"/>
    </row>
    <row r="49" spans="1:17">
      <c r="A49" s="209" t="s">
        <v>1363</v>
      </c>
      <c r="B49" s="978" t="s">
        <v>804</v>
      </c>
      <c r="C49" s="979" t="s">
        <v>784</v>
      </c>
      <c r="D49" s="221">
        <f>+'3-Project True-up'!H26+'3-Project True-up'!I26</f>
        <v>0</v>
      </c>
      <c r="E49" s="191">
        <v>17</v>
      </c>
      <c r="F49" s="221">
        <f t="shared" si="1"/>
        <v>0</v>
      </c>
      <c r="G49" s="351">
        <f t="shared" si="2"/>
        <v>0</v>
      </c>
      <c r="H49" s="221"/>
      <c r="I49" s="117"/>
      <c r="J49" s="221"/>
      <c r="K49" s="39"/>
      <c r="L49" s="39"/>
      <c r="M49" s="180"/>
      <c r="N49" s="180"/>
      <c r="O49" s="180"/>
      <c r="P49" s="15"/>
      <c r="Q49" s="340"/>
    </row>
    <row r="50" spans="1:17">
      <c r="A50" s="209" t="s">
        <v>1364</v>
      </c>
      <c r="B50" s="978" t="s">
        <v>805</v>
      </c>
      <c r="C50" s="979" t="s">
        <v>785</v>
      </c>
      <c r="D50" s="221">
        <f>+'3-Project True-up'!H27+'3-Project True-up'!I27</f>
        <v>0</v>
      </c>
      <c r="E50" s="191">
        <v>17</v>
      </c>
      <c r="F50" s="221">
        <f t="shared" si="1"/>
        <v>0</v>
      </c>
      <c r="G50" s="351">
        <f t="shared" si="2"/>
        <v>0</v>
      </c>
      <c r="H50" s="221"/>
      <c r="I50" s="117"/>
      <c r="J50" s="221"/>
      <c r="K50" s="39"/>
      <c r="L50" s="39"/>
      <c r="M50" s="180"/>
      <c r="N50" s="180"/>
      <c r="O50" s="180"/>
      <c r="P50" s="15"/>
      <c r="Q50" s="340"/>
    </row>
    <row r="51" spans="1:17">
      <c r="A51" s="209" t="s">
        <v>1365</v>
      </c>
      <c r="B51" s="978" t="s">
        <v>806</v>
      </c>
      <c r="C51" s="979" t="s">
        <v>786</v>
      </c>
      <c r="D51" s="221">
        <f>+'3-Project True-up'!H28+'3-Project True-up'!I28</f>
        <v>0</v>
      </c>
      <c r="E51" s="191">
        <v>17</v>
      </c>
      <c r="F51" s="221">
        <f t="shared" si="1"/>
        <v>0</v>
      </c>
      <c r="G51" s="351">
        <f t="shared" si="2"/>
        <v>0</v>
      </c>
      <c r="H51" s="221"/>
      <c r="I51" s="117"/>
      <c r="J51" s="221"/>
      <c r="K51" s="39"/>
      <c r="L51" s="39"/>
      <c r="M51" s="180"/>
      <c r="N51" s="180"/>
      <c r="O51" s="180"/>
      <c r="P51" s="15"/>
      <c r="Q51" s="340"/>
    </row>
    <row r="52" spans="1:17">
      <c r="A52" s="209" t="s">
        <v>1366</v>
      </c>
      <c r="B52" s="978" t="s">
        <v>807</v>
      </c>
      <c r="C52" s="979" t="s">
        <v>777</v>
      </c>
      <c r="D52" s="221">
        <f>+'3-Project True-up'!H29+'3-Project True-up'!I29</f>
        <v>0</v>
      </c>
      <c r="E52" s="191">
        <v>17</v>
      </c>
      <c r="F52" s="221">
        <f t="shared" si="1"/>
        <v>0</v>
      </c>
      <c r="G52" s="351">
        <f t="shared" si="2"/>
        <v>0</v>
      </c>
      <c r="H52" s="221"/>
      <c r="I52" s="117"/>
      <c r="J52" s="221"/>
      <c r="K52" s="39"/>
      <c r="L52" s="39"/>
      <c r="M52" s="180"/>
      <c r="N52" s="180"/>
      <c r="O52" s="180"/>
      <c r="P52" s="15"/>
      <c r="Q52" s="340"/>
    </row>
    <row r="53" spans="1:17">
      <c r="A53" s="209" t="s">
        <v>1367</v>
      </c>
      <c r="B53" s="978" t="s">
        <v>808</v>
      </c>
      <c r="C53" s="979" t="s">
        <v>787</v>
      </c>
      <c r="D53" s="221">
        <f>+'3-Project True-up'!H30+'3-Project True-up'!I30</f>
        <v>0</v>
      </c>
      <c r="E53" s="191">
        <v>17</v>
      </c>
      <c r="F53" s="221">
        <f t="shared" si="1"/>
        <v>0</v>
      </c>
      <c r="G53" s="351">
        <f t="shared" si="2"/>
        <v>0</v>
      </c>
      <c r="H53" s="221"/>
      <c r="I53" s="117"/>
      <c r="J53" s="221"/>
      <c r="K53" s="39"/>
      <c r="L53" s="39"/>
      <c r="M53" s="180"/>
      <c r="N53" s="180"/>
      <c r="O53" s="180"/>
      <c r="P53" s="15"/>
      <c r="Q53" s="340"/>
    </row>
    <row r="54" spans="1:17">
      <c r="A54" s="209" t="s">
        <v>1368</v>
      </c>
      <c r="B54" s="978" t="s">
        <v>809</v>
      </c>
      <c r="C54" s="979" t="s">
        <v>788</v>
      </c>
      <c r="D54" s="221">
        <f>+'3-Project True-up'!H31+'3-Project True-up'!I31</f>
        <v>0</v>
      </c>
      <c r="E54" s="191">
        <v>17</v>
      </c>
      <c r="F54" s="221">
        <f t="shared" si="1"/>
        <v>0</v>
      </c>
      <c r="G54" s="351">
        <f t="shared" si="2"/>
        <v>0</v>
      </c>
      <c r="H54" s="221"/>
      <c r="I54" s="117"/>
      <c r="J54" s="221"/>
      <c r="K54" s="39"/>
      <c r="L54" s="39"/>
      <c r="M54" s="180"/>
      <c r="N54" s="180"/>
      <c r="O54" s="180"/>
      <c r="P54" s="15"/>
      <c r="Q54" s="340"/>
    </row>
    <row r="55" spans="1:17">
      <c r="A55" s="209" t="s">
        <v>1369</v>
      </c>
      <c r="B55" s="978" t="s">
        <v>810</v>
      </c>
      <c r="C55" s="979" t="s">
        <v>789</v>
      </c>
      <c r="D55" s="221">
        <f>+'3-Project True-up'!H32+'3-Project True-up'!I32</f>
        <v>0</v>
      </c>
      <c r="E55" s="191">
        <v>17</v>
      </c>
      <c r="F55" s="221">
        <f t="shared" si="1"/>
        <v>0</v>
      </c>
      <c r="G55" s="351">
        <f t="shared" si="2"/>
        <v>0</v>
      </c>
      <c r="H55" s="221"/>
      <c r="I55" s="117"/>
      <c r="J55" s="221"/>
      <c r="K55" s="39"/>
      <c r="L55" s="39"/>
      <c r="M55" s="180"/>
      <c r="N55" s="180"/>
      <c r="O55" s="180"/>
      <c r="P55" s="15"/>
      <c r="Q55" s="340"/>
    </row>
    <row r="56" spans="1:17">
      <c r="A56" s="209" t="s">
        <v>1370</v>
      </c>
      <c r="B56" s="978" t="s">
        <v>811</v>
      </c>
      <c r="C56" s="979" t="s">
        <v>790</v>
      </c>
      <c r="D56" s="221">
        <f>+'3-Project True-up'!H33+'3-Project True-up'!I33</f>
        <v>0</v>
      </c>
      <c r="E56" s="191">
        <v>17</v>
      </c>
      <c r="F56" s="221">
        <f t="shared" si="1"/>
        <v>0</v>
      </c>
      <c r="G56" s="351">
        <f t="shared" si="2"/>
        <v>0</v>
      </c>
      <c r="H56" s="221"/>
      <c r="I56" s="117"/>
      <c r="J56" s="221"/>
      <c r="K56" s="39"/>
      <c r="L56" s="39"/>
      <c r="M56" s="180"/>
      <c r="N56" s="180"/>
      <c r="O56" s="180"/>
      <c r="P56" s="15"/>
      <c r="Q56" s="340"/>
    </row>
    <row r="57" spans="1:17">
      <c r="A57" s="209" t="s">
        <v>1371</v>
      </c>
      <c r="B57" s="978" t="s">
        <v>812</v>
      </c>
      <c r="C57" s="979" t="s">
        <v>791</v>
      </c>
      <c r="D57" s="221">
        <f>+'3-Project True-up'!H34+'3-Project True-up'!I34</f>
        <v>0</v>
      </c>
      <c r="E57" s="191">
        <v>17</v>
      </c>
      <c r="F57" s="221">
        <f t="shared" si="1"/>
        <v>0</v>
      </c>
      <c r="G57" s="351">
        <f t="shared" si="2"/>
        <v>0</v>
      </c>
      <c r="H57" s="221"/>
      <c r="I57" s="117"/>
      <c r="J57" s="221"/>
      <c r="K57" s="39"/>
      <c r="L57" s="39"/>
      <c r="M57" s="180"/>
      <c r="N57" s="180"/>
      <c r="O57" s="180"/>
      <c r="P57" s="15"/>
      <c r="Q57" s="340"/>
    </row>
    <row r="58" spans="1:17">
      <c r="A58" s="209" t="s">
        <v>1372</v>
      </c>
      <c r="B58" s="978" t="s">
        <v>813</v>
      </c>
      <c r="C58" s="979" t="s">
        <v>792</v>
      </c>
      <c r="D58" s="221">
        <f>+'3-Project True-up'!H35+'3-Project True-up'!I35</f>
        <v>0</v>
      </c>
      <c r="E58" s="191">
        <v>17</v>
      </c>
      <c r="F58" s="221">
        <f>+F47</f>
        <v>0</v>
      </c>
      <c r="G58" s="351">
        <f t="shared" si="0"/>
        <v>0</v>
      </c>
      <c r="H58" s="221"/>
      <c r="I58" s="180"/>
      <c r="J58" s="180"/>
      <c r="K58" s="39"/>
      <c r="L58" s="39"/>
      <c r="M58" s="180"/>
      <c r="N58" s="180"/>
      <c r="O58" s="180"/>
      <c r="P58" s="15"/>
      <c r="Q58" s="340"/>
    </row>
    <row r="59" spans="1:17">
      <c r="A59" s="209" t="s">
        <v>1373</v>
      </c>
      <c r="B59" s="978" t="s">
        <v>814</v>
      </c>
      <c r="C59" s="979" t="s">
        <v>793</v>
      </c>
      <c r="D59" s="221">
        <f>+'3-Project True-up'!H36+'3-Project True-up'!I36</f>
        <v>0</v>
      </c>
      <c r="E59" s="191">
        <v>17</v>
      </c>
      <c r="F59" s="221">
        <f t="shared" si="1"/>
        <v>0</v>
      </c>
      <c r="G59" s="351">
        <f t="shared" si="0"/>
        <v>0</v>
      </c>
      <c r="H59" s="221"/>
      <c r="I59" s="180"/>
      <c r="J59" s="180"/>
      <c r="K59" s="39"/>
      <c r="L59" s="39"/>
      <c r="M59" s="180"/>
      <c r="N59" s="180"/>
      <c r="O59" s="180"/>
      <c r="P59" s="15"/>
      <c r="Q59" s="340"/>
    </row>
    <row r="60" spans="1:17">
      <c r="A60" s="209" t="s">
        <v>1374</v>
      </c>
      <c r="B60" s="978" t="s">
        <v>815</v>
      </c>
      <c r="C60" s="979" t="s">
        <v>794</v>
      </c>
      <c r="D60" s="221">
        <f>+'3-Project True-up'!H37+'3-Project True-up'!I37</f>
        <v>0</v>
      </c>
      <c r="E60" s="191">
        <v>17</v>
      </c>
      <c r="F60" s="221">
        <f t="shared" si="1"/>
        <v>0</v>
      </c>
      <c r="G60" s="351">
        <f t="shared" si="0"/>
        <v>0</v>
      </c>
      <c r="H60" s="221"/>
      <c r="I60" s="180"/>
      <c r="J60" s="180"/>
      <c r="K60" s="39"/>
      <c r="L60" s="39"/>
      <c r="M60" s="180"/>
      <c r="N60" s="180"/>
      <c r="O60" s="180"/>
      <c r="P60" s="15"/>
      <c r="Q60" s="340"/>
    </row>
    <row r="61" spans="1:17">
      <c r="A61" s="209" t="s">
        <v>1375</v>
      </c>
      <c r="B61" s="978" t="s">
        <v>816</v>
      </c>
      <c r="C61" s="979" t="s">
        <v>795</v>
      </c>
      <c r="D61" s="221">
        <f>+'3-Project True-up'!H38+'3-Project True-up'!I38</f>
        <v>0</v>
      </c>
      <c r="E61" s="191">
        <v>17</v>
      </c>
      <c r="F61" s="221">
        <f t="shared" si="1"/>
        <v>0</v>
      </c>
      <c r="G61" s="351">
        <f t="shared" si="0"/>
        <v>0</v>
      </c>
      <c r="H61" s="221"/>
      <c r="K61" s="39"/>
      <c r="L61" s="39"/>
      <c r="M61" s="180"/>
      <c r="N61" s="180"/>
      <c r="O61" s="180"/>
      <c r="P61" s="15"/>
      <c r="Q61" s="340"/>
    </row>
    <row r="62" spans="1:17">
      <c r="A62" s="209" t="s">
        <v>1376</v>
      </c>
      <c r="B62" s="978" t="s">
        <v>817</v>
      </c>
      <c r="C62" s="979" t="s">
        <v>796</v>
      </c>
      <c r="D62" s="221">
        <f>+'3-Project True-up'!H39+'3-Project True-up'!I39</f>
        <v>0</v>
      </c>
      <c r="E62" s="191">
        <v>17</v>
      </c>
      <c r="F62" s="221">
        <f t="shared" si="1"/>
        <v>0</v>
      </c>
      <c r="G62" s="351">
        <f t="shared" si="0"/>
        <v>0</v>
      </c>
      <c r="H62" s="221"/>
      <c r="K62" s="39"/>
      <c r="L62" s="39"/>
      <c r="M62" s="180"/>
      <c r="N62" s="180"/>
      <c r="O62" s="180"/>
      <c r="P62" s="15"/>
      <c r="Q62" s="340"/>
    </row>
    <row r="63" spans="1:17">
      <c r="A63" s="209" t="s">
        <v>1377</v>
      </c>
      <c r="B63" s="978" t="s">
        <v>818</v>
      </c>
      <c r="C63" s="979" t="s">
        <v>797</v>
      </c>
      <c r="D63" s="221">
        <f>+'3-Project True-up'!H40+'3-Project True-up'!I40</f>
        <v>0</v>
      </c>
      <c r="E63" s="191">
        <v>17</v>
      </c>
      <c r="F63" s="221">
        <f t="shared" si="1"/>
        <v>0</v>
      </c>
      <c r="G63" s="351">
        <f t="shared" si="0"/>
        <v>0</v>
      </c>
      <c r="H63" s="221"/>
      <c r="K63" s="39"/>
      <c r="L63" s="39"/>
      <c r="M63" s="180"/>
      <c r="N63" s="180"/>
      <c r="O63" s="180"/>
      <c r="P63" s="15"/>
      <c r="Q63" s="340"/>
    </row>
    <row r="64" spans="1:17">
      <c r="A64" s="209" t="s">
        <v>1378</v>
      </c>
      <c r="B64" s="978" t="s">
        <v>819</v>
      </c>
      <c r="C64" s="979" t="s">
        <v>798</v>
      </c>
      <c r="D64" s="221">
        <f>+'3-Project True-up'!H41+'3-Project True-up'!I41</f>
        <v>0</v>
      </c>
      <c r="E64" s="191">
        <v>17</v>
      </c>
      <c r="F64" s="221">
        <f t="shared" si="1"/>
        <v>0</v>
      </c>
      <c r="G64" s="351">
        <f t="shared" si="0"/>
        <v>0</v>
      </c>
      <c r="H64" s="221"/>
      <c r="K64" s="39"/>
      <c r="L64" s="39"/>
      <c r="M64" s="180"/>
      <c r="N64" s="180"/>
      <c r="O64" s="180"/>
      <c r="P64" s="15"/>
      <c r="Q64" s="340"/>
    </row>
    <row r="65" spans="1:17">
      <c r="A65" s="209" t="s">
        <v>1379</v>
      </c>
      <c r="B65" s="978" t="s">
        <v>820</v>
      </c>
      <c r="C65" s="979" t="s">
        <v>799</v>
      </c>
      <c r="D65" s="221">
        <f>+'3-Project True-up'!H42+'3-Project True-up'!I42</f>
        <v>0</v>
      </c>
      <c r="E65" s="191">
        <v>17</v>
      </c>
      <c r="F65" s="221">
        <f t="shared" si="1"/>
        <v>0</v>
      </c>
      <c r="G65" s="351">
        <f t="shared" si="0"/>
        <v>0</v>
      </c>
      <c r="H65" s="221"/>
      <c r="K65" s="39"/>
      <c r="L65" s="39"/>
      <c r="M65" s="180"/>
      <c r="N65" s="180"/>
      <c r="O65" s="180"/>
      <c r="P65" s="15"/>
      <c r="Q65" s="340"/>
    </row>
    <row r="66" spans="1:17">
      <c r="A66" s="209"/>
      <c r="B66" s="978" t="s">
        <v>821</v>
      </c>
      <c r="C66" s="979" t="s">
        <v>800</v>
      </c>
      <c r="D66" s="221">
        <f>+'3-Project True-up'!H43+'3-Project True-up'!I43</f>
        <v>0</v>
      </c>
      <c r="E66" s="191">
        <v>17</v>
      </c>
      <c r="F66" s="221">
        <f t="shared" si="1"/>
        <v>0</v>
      </c>
      <c r="G66" s="351">
        <f t="shared" si="0"/>
        <v>0</v>
      </c>
      <c r="H66" s="221"/>
      <c r="K66" s="39"/>
      <c r="L66" s="39"/>
      <c r="M66" s="180"/>
      <c r="N66" s="180"/>
      <c r="O66" s="180"/>
      <c r="P66" s="15"/>
      <c r="Q66" s="340"/>
    </row>
    <row r="67" spans="1:17">
      <c r="A67" s="209"/>
      <c r="B67" s="978"/>
      <c r="C67" s="979"/>
      <c r="D67" s="221">
        <f>+'3-Project True-up'!H44+'3-Project True-up'!I44</f>
        <v>0</v>
      </c>
      <c r="E67" s="191">
        <v>17</v>
      </c>
      <c r="F67" s="221">
        <f t="shared" si="1"/>
        <v>0</v>
      </c>
      <c r="G67" s="351">
        <f t="shared" si="0"/>
        <v>0</v>
      </c>
      <c r="H67" s="221"/>
      <c r="K67" s="39"/>
      <c r="L67" s="39"/>
      <c r="M67" s="180"/>
      <c r="N67" s="180"/>
      <c r="O67" s="180"/>
      <c r="P67" s="15"/>
      <c r="Q67" s="340"/>
    </row>
    <row r="68" spans="1:17">
      <c r="A68" s="209"/>
      <c r="B68" s="978"/>
      <c r="C68" s="979"/>
      <c r="D68" s="221">
        <f>+'3-Project True-up'!H45+'3-Project True-up'!I45</f>
        <v>0</v>
      </c>
      <c r="E68" s="191">
        <v>17</v>
      </c>
      <c r="F68" s="221">
        <f t="shared" si="1"/>
        <v>0</v>
      </c>
      <c r="G68" s="351">
        <f t="shared" si="0"/>
        <v>0</v>
      </c>
      <c r="H68" s="221"/>
      <c r="K68" s="39"/>
      <c r="L68" s="39"/>
      <c r="M68" s="180"/>
      <c r="N68" s="180"/>
      <c r="O68" s="180"/>
      <c r="P68" s="15"/>
      <c r="Q68" s="340"/>
    </row>
    <row r="69" spans="1:17">
      <c r="A69" s="209"/>
      <c r="B69" s="978"/>
      <c r="C69" s="979"/>
      <c r="D69" s="221">
        <f>+'3-Project True-up'!H46+'3-Project True-up'!I46</f>
        <v>0</v>
      </c>
      <c r="E69" s="191">
        <v>17</v>
      </c>
      <c r="F69" s="221">
        <f t="shared" si="1"/>
        <v>0</v>
      </c>
      <c r="G69" s="351">
        <f t="shared" si="0"/>
        <v>0</v>
      </c>
      <c r="H69" s="221"/>
      <c r="K69" s="39"/>
      <c r="L69" s="39"/>
      <c r="M69" s="180"/>
      <c r="N69" s="180"/>
      <c r="O69" s="180"/>
      <c r="P69" s="15"/>
      <c r="Q69" s="340"/>
    </row>
    <row r="70" spans="1:17">
      <c r="A70" s="209"/>
      <c r="B70" s="348"/>
      <c r="C70" s="119"/>
      <c r="D70" s="347"/>
      <c r="E70" s="347"/>
      <c r="F70" s="347"/>
      <c r="G70" s="349"/>
      <c r="H70" s="221"/>
      <c r="K70" s="39"/>
      <c r="L70" s="39"/>
      <c r="M70" s="180"/>
      <c r="N70" s="180"/>
      <c r="O70" s="180"/>
      <c r="P70" s="15"/>
      <c r="Q70" s="340"/>
    </row>
    <row r="71" spans="1:17">
      <c r="A71" s="209"/>
      <c r="B71" s="117"/>
      <c r="C71" s="117"/>
      <c r="D71" s="118"/>
      <c r="E71" s="342"/>
      <c r="F71" s="117"/>
      <c r="G71" s="342"/>
      <c r="H71" s="118"/>
      <c r="K71" s="117"/>
      <c r="L71" s="117"/>
      <c r="M71" s="180"/>
      <c r="N71" s="180"/>
      <c r="O71" s="180"/>
      <c r="P71" s="15"/>
      <c r="Q71" s="180"/>
    </row>
    <row r="72" spans="1:17">
      <c r="A72" s="209"/>
      <c r="B72" s="116"/>
      <c r="C72" s="116"/>
      <c r="D72" s="221"/>
      <c r="E72" s="221"/>
      <c r="F72" s="221"/>
      <c r="G72" s="221"/>
      <c r="H72" s="221"/>
      <c r="K72" s="221"/>
      <c r="L72" s="221"/>
      <c r="M72" s="180"/>
      <c r="N72" s="180"/>
      <c r="O72" s="180"/>
      <c r="P72" s="180"/>
      <c r="Q72" s="180"/>
    </row>
    <row r="73" spans="1:17">
      <c r="A73" s="209"/>
      <c r="B73" s="116"/>
      <c r="C73" s="116"/>
      <c r="D73" s="79"/>
      <c r="E73" s="79"/>
      <c r="F73" s="79"/>
      <c r="G73" s="79"/>
      <c r="H73" s="79"/>
      <c r="K73" s="79"/>
      <c r="L73" s="79"/>
    </row>
    <row r="74" spans="1:17">
      <c r="A74" s="209"/>
      <c r="B74" s="116"/>
      <c r="C74" s="116"/>
      <c r="D74" s="79"/>
      <c r="E74" s="79"/>
      <c r="F74" s="79"/>
      <c r="G74" s="79"/>
      <c r="H74" s="79"/>
      <c r="K74" s="79"/>
      <c r="L74" s="79"/>
    </row>
    <row r="75" spans="1:17">
      <c r="A75" s="209"/>
      <c r="B75" s="116"/>
      <c r="C75" s="116"/>
      <c r="D75" s="79"/>
      <c r="E75" s="79"/>
      <c r="F75" s="79"/>
      <c r="G75" s="79"/>
      <c r="H75" s="79"/>
      <c r="K75" s="79"/>
      <c r="L75" s="79"/>
    </row>
    <row r="89" ht="24" customHeight="1"/>
  </sheetData>
  <sheetProtection algorithmName="SHA-512" hashValue="KXiUC5L41DFU/H3F4mvOskhdp0VByZIH2XAPWCdam/rNvbW+Ny2AgV+L9uhLBX4HHtvPFYhEwYtJnctGM7trkw==" saltValue="tLBaTG/kI7wsurXfcMPDwQ==" spinCount="100000" sheet="1" objects="1" scenarios="1"/>
  <customSheetViews>
    <customSheetView guid="{F04A2B9A-C6FE-4FEB-AD1E-2CF9AC309BE4}" scale="60" showPageBreaks="1" view="pageBreakPreview">
      <selection activeCell="G20" sqref="G20"/>
      <pageMargins left="0.7" right="0.7" top="0.75" bottom="0.75" header="0.3" footer="0.3"/>
      <pageSetup scale="79" orientation="landscape" r:id="rId1"/>
    </customSheetView>
  </customSheetViews>
  <mergeCells count="4">
    <mergeCell ref="D33:E33"/>
    <mergeCell ref="D34:E34"/>
    <mergeCell ref="F34:G34"/>
    <mergeCell ref="I34:L34"/>
  </mergeCells>
  <phoneticPr fontId="0" type="noConversion"/>
  <pageMargins left="0.25" right="0.25" top="0.75" bottom="0.75" header="0.3" footer="0.3"/>
  <pageSetup scale="49"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65"/>
  <sheetViews>
    <sheetView zoomScaleNormal="100" zoomScaleSheetLayoutView="75" workbookViewId="0"/>
  </sheetViews>
  <sheetFormatPr defaultColWidth="8.90625" defaultRowHeight="13.8"/>
  <cols>
    <col min="1" max="1" width="8.90625" style="593"/>
    <col min="2" max="2" width="43.81640625" style="593" customWidth="1"/>
    <col min="3" max="3" width="15.54296875" style="593" customWidth="1"/>
    <col min="4" max="4" width="16.36328125" style="593" customWidth="1"/>
    <col min="5" max="5" width="13.54296875" style="593" customWidth="1"/>
    <col min="6" max="6" width="14.453125" style="593" customWidth="1"/>
    <col min="7" max="16384" width="8.90625" style="593"/>
  </cols>
  <sheetData>
    <row r="1" spans="1:13">
      <c r="A1" s="604"/>
      <c r="C1" s="601" t="s">
        <v>200</v>
      </c>
      <c r="F1" s="605" t="s">
        <v>454</v>
      </c>
    </row>
    <row r="2" spans="1:13">
      <c r="C2" s="606" t="s">
        <v>297</v>
      </c>
    </row>
    <row r="3" spans="1:13">
      <c r="A3" s="613"/>
      <c r="C3" s="601" t="str">
        <f>+'Attachment H-7'!D5</f>
        <v>PECO Energy Company</v>
      </c>
    </row>
    <row r="4" spans="1:13">
      <c r="A4" s="613"/>
      <c r="C4" s="607"/>
    </row>
    <row r="5" spans="1:13">
      <c r="A5" s="613"/>
      <c r="C5" s="607"/>
    </row>
    <row r="6" spans="1:13">
      <c r="A6" s="610"/>
      <c r="B6" s="608" t="s">
        <v>294</v>
      </c>
      <c r="C6" s="609"/>
      <c r="D6" s="610"/>
    </row>
    <row r="7" spans="1:13">
      <c r="A7" s="610"/>
      <c r="B7" s="611" t="s">
        <v>205</v>
      </c>
      <c r="C7" s="609"/>
      <c r="D7" s="611" t="s">
        <v>206</v>
      </c>
      <c r="E7" s="611" t="s">
        <v>207</v>
      </c>
      <c r="F7" s="758" t="s">
        <v>208</v>
      </c>
    </row>
    <row r="8" spans="1:13">
      <c r="A8" s="610"/>
      <c r="B8" s="612"/>
      <c r="C8" s="612"/>
      <c r="D8" s="615" t="s">
        <v>855</v>
      </c>
      <c r="F8" s="616" t="s">
        <v>751</v>
      </c>
    </row>
    <row r="9" spans="1:13" ht="36" customHeight="1">
      <c r="A9" s="613"/>
      <c r="B9" s="613"/>
      <c r="C9" s="614"/>
      <c r="E9" s="750" t="s">
        <v>1073</v>
      </c>
      <c r="F9" s="634" t="s">
        <v>1299</v>
      </c>
    </row>
    <row r="10" spans="1:13">
      <c r="A10" s="610">
        <v>1</v>
      </c>
      <c r="B10" s="617" t="s">
        <v>725</v>
      </c>
      <c r="C10" s="617"/>
      <c r="D10" s="980">
        <v>1066173</v>
      </c>
      <c r="E10" s="980">
        <v>679716.20693636674</v>
      </c>
      <c r="F10" s="597">
        <f>+E10*D19</f>
        <v>544398.21878954081</v>
      </c>
      <c r="G10" s="757"/>
    </row>
    <row r="11" spans="1:13">
      <c r="A11" s="610">
        <v>2</v>
      </c>
      <c r="B11" s="617" t="s">
        <v>726</v>
      </c>
      <c r="C11" s="617"/>
      <c r="D11" s="981"/>
      <c r="E11" s="982">
        <v>-568579.0836037707</v>
      </c>
      <c r="F11" s="734">
        <f>+E11*D19</f>
        <v>-455386.28797747631</v>
      </c>
    </row>
    <row r="12" spans="1:13">
      <c r="A12" s="610">
        <v>3</v>
      </c>
      <c r="B12" s="617" t="s">
        <v>727</v>
      </c>
      <c r="C12" s="617" t="s">
        <v>728</v>
      </c>
      <c r="D12" s="618"/>
      <c r="F12" s="618">
        <f t="shared" ref="F12" si="0">+F10-F11</f>
        <v>999784.50676701707</v>
      </c>
    </row>
    <row r="14" spans="1:13">
      <c r="A14" s="619" t="s">
        <v>60</v>
      </c>
      <c r="B14" s="619"/>
      <c r="C14" s="619"/>
      <c r="D14" s="619"/>
      <c r="E14" s="619"/>
      <c r="F14" s="619"/>
      <c r="G14" s="619"/>
      <c r="H14" s="619"/>
      <c r="I14" s="619"/>
      <c r="J14" s="619"/>
      <c r="K14" s="619"/>
      <c r="L14" s="619"/>
      <c r="M14" s="619"/>
    </row>
    <row r="15" spans="1:13" ht="14.4" thickBot="1">
      <c r="A15" s="620" t="s">
        <v>61</v>
      </c>
      <c r="B15" s="619"/>
      <c r="C15" s="619"/>
      <c r="D15" s="619"/>
      <c r="E15" s="619"/>
      <c r="F15" s="619"/>
      <c r="G15" s="619"/>
      <c r="H15" s="619"/>
      <c r="I15" s="619"/>
      <c r="J15" s="619"/>
      <c r="K15" s="619"/>
      <c r="L15" s="619"/>
      <c r="M15" s="619"/>
    </row>
    <row r="16" spans="1:13">
      <c r="A16" s="621" t="s">
        <v>62</v>
      </c>
      <c r="B16" s="769" t="s">
        <v>1074</v>
      </c>
      <c r="C16" s="749"/>
      <c r="D16" s="749"/>
      <c r="E16" s="749"/>
      <c r="F16" s="749"/>
      <c r="G16" s="622"/>
      <c r="H16" s="622"/>
      <c r="I16" s="622"/>
      <c r="J16" s="622"/>
      <c r="K16" s="622"/>
      <c r="L16" s="622"/>
      <c r="M16" s="622"/>
    </row>
    <row r="17" spans="1:13" s="746" customFormat="1">
      <c r="A17" s="748"/>
      <c r="B17" s="769" t="s">
        <v>1077</v>
      </c>
      <c r="C17" s="749"/>
      <c r="D17" s="749"/>
      <c r="E17" s="749"/>
      <c r="F17" s="749"/>
      <c r="G17" s="749"/>
      <c r="H17" s="749"/>
      <c r="I17" s="749"/>
      <c r="J17" s="749"/>
      <c r="K17" s="749"/>
      <c r="L17" s="749"/>
      <c r="M17" s="749"/>
    </row>
    <row r="18" spans="1:13">
      <c r="A18" s="623"/>
      <c r="C18" s="601" t="s">
        <v>46</v>
      </c>
      <c r="D18" s="593" t="s">
        <v>55</v>
      </c>
      <c r="E18" s="601"/>
    </row>
    <row r="19" spans="1:13">
      <c r="A19" s="758" t="s">
        <v>63</v>
      </c>
      <c r="B19" s="754" t="s">
        <v>1075</v>
      </c>
      <c r="C19" s="950">
        <v>174664333</v>
      </c>
      <c r="D19" s="757">
        <f>C19/C21</f>
        <v>0.80091987396220199</v>
      </c>
      <c r="E19" s="739"/>
    </row>
    <row r="20" spans="1:13">
      <c r="A20" s="754"/>
      <c r="B20" s="754" t="s">
        <v>1076</v>
      </c>
      <c r="C20" s="982">
        <v>43415326</v>
      </c>
      <c r="D20" s="757">
        <f>C20/C21</f>
        <v>0.19908012603779796</v>
      </c>
      <c r="E20" s="739"/>
    </row>
    <row r="21" spans="1:13">
      <c r="A21" s="754"/>
      <c r="B21" s="754" t="s">
        <v>13</v>
      </c>
      <c r="C21" s="755">
        <f>+C19+C20</f>
        <v>218079659</v>
      </c>
      <c r="D21" s="756"/>
    </row>
    <row r="23" spans="1:13" ht="15.6">
      <c r="A23" s="760" t="s">
        <v>64</v>
      </c>
      <c r="B23" s="131" t="s">
        <v>1300</v>
      </c>
    </row>
    <row r="24" spans="1:13">
      <c r="A24" s="754"/>
      <c r="B24" s="754" t="s">
        <v>1301</v>
      </c>
    </row>
    <row r="65" ht="24" customHeight="1"/>
  </sheetData>
  <sheetProtection algorithmName="SHA-512" hashValue="Aa1huqhyeE0O9rDwb0uVnT7+k5aSxXKIwWxSrotXDs6go36cEbjf9glJAbZswumgzJo+NtVtewo/O/YSgu85cQ==" saltValue="dowHC1ZIDwKbYfVn8DuVZQ==" spinCount="100000" sheet="1" objects="1" scenarios="1"/>
  <phoneticPr fontId="0" type="noConversion"/>
  <pageMargins left="0.7" right="0.7" top="0.75" bottom="0.75" header="0.3" footer="0.3"/>
  <pageSetup scale="9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84"/>
  <sheetViews>
    <sheetView zoomScale="80" zoomScaleNormal="80" zoomScaleSheetLayoutView="70" workbookViewId="0"/>
  </sheetViews>
  <sheetFormatPr defaultColWidth="8.81640625" defaultRowHeight="15"/>
  <cols>
    <col min="1" max="1" width="6.81640625" style="770" customWidth="1"/>
    <col min="2" max="2" width="56.6328125" style="770" customWidth="1"/>
    <col min="3" max="3" width="8.08984375" style="770" customWidth="1"/>
    <col min="4" max="4" width="8.81640625" style="770"/>
    <col min="5" max="5" width="16.36328125" style="770" customWidth="1"/>
    <col min="6" max="6" width="15.81640625" style="770" customWidth="1"/>
    <col min="7" max="7" width="17.08984375" style="770" bestFit="1" customWidth="1"/>
    <col min="8" max="8" width="17" style="842" customWidth="1"/>
    <col min="9" max="10" width="14.6328125" style="842" customWidth="1"/>
    <col min="11" max="11" width="18.90625" style="842" customWidth="1"/>
    <col min="12" max="14" width="8.81640625" style="770"/>
    <col min="15" max="15" width="9.453125" style="770" customWidth="1"/>
    <col min="16" max="16" width="9.08984375" style="770" customWidth="1"/>
    <col min="17" max="16384" width="8.81640625" style="770"/>
  </cols>
  <sheetData>
    <row r="1" spans="1:12" ht="15.6">
      <c r="K1" s="783" t="s">
        <v>457</v>
      </c>
    </row>
    <row r="2" spans="1:12" ht="15.6">
      <c r="A2" s="1037" t="s">
        <v>729</v>
      </c>
      <c r="B2" s="1037"/>
      <c r="C2" s="1037"/>
      <c r="D2" s="1037"/>
      <c r="E2" s="1037"/>
      <c r="F2" s="1037"/>
      <c r="G2" s="1037"/>
      <c r="H2" s="1037"/>
      <c r="I2" s="1037"/>
      <c r="J2" s="1037"/>
      <c r="K2" s="1037"/>
      <c r="L2" s="780"/>
    </row>
    <row r="3" spans="1:12" ht="15.6">
      <c r="A3" s="1037" t="s">
        <v>1150</v>
      </c>
      <c r="B3" s="1037"/>
      <c r="C3" s="1037"/>
      <c r="D3" s="1037"/>
      <c r="E3" s="1037"/>
      <c r="F3" s="1037"/>
      <c r="G3" s="1037"/>
      <c r="H3" s="1037"/>
      <c r="I3" s="1037"/>
      <c r="J3" s="1037"/>
      <c r="K3" s="1037"/>
      <c r="L3" s="780"/>
    </row>
    <row r="4" spans="1:12" ht="15.6">
      <c r="A4" s="780"/>
      <c r="B4" s="780"/>
      <c r="C4" s="780"/>
      <c r="D4" s="780"/>
      <c r="E4" s="780"/>
      <c r="F4" s="780"/>
      <c r="G4" s="780"/>
      <c r="H4" s="782"/>
      <c r="I4" s="782"/>
      <c r="J4" s="782"/>
      <c r="K4" s="770"/>
      <c r="L4" s="780"/>
    </row>
    <row r="5" spans="1:12" ht="15.6">
      <c r="A5" s="780"/>
      <c r="B5" s="780"/>
      <c r="C5" s="780"/>
      <c r="D5" s="780"/>
      <c r="E5" s="780"/>
      <c r="F5" s="780"/>
      <c r="G5" s="780"/>
      <c r="H5" s="782"/>
      <c r="I5" s="782"/>
      <c r="J5" s="782"/>
      <c r="K5" s="782"/>
      <c r="L5" s="780"/>
    </row>
    <row r="6" spans="1:12" ht="15.6">
      <c r="A6" s="780"/>
      <c r="B6" s="780"/>
      <c r="C6" s="780"/>
      <c r="D6" s="780"/>
      <c r="E6" s="780"/>
      <c r="F6" s="784"/>
      <c r="G6" s="780"/>
      <c r="H6" s="782"/>
      <c r="I6" s="782"/>
      <c r="J6" s="782"/>
      <c r="K6" s="785"/>
      <c r="L6" s="780"/>
    </row>
    <row r="7" spans="1:12" ht="15.6">
      <c r="A7" s="786" t="s">
        <v>1079</v>
      </c>
      <c r="B7" s="786" t="s">
        <v>1080</v>
      </c>
      <c r="C7" s="786" t="s">
        <v>1081</v>
      </c>
      <c r="D7" s="786" t="s">
        <v>1082</v>
      </c>
      <c r="E7" s="785" t="s">
        <v>1083</v>
      </c>
      <c r="F7" s="787" t="s">
        <v>1084</v>
      </c>
      <c r="G7" s="788" t="s">
        <v>1085</v>
      </c>
      <c r="H7" s="785" t="s">
        <v>1086</v>
      </c>
      <c r="I7" s="785" t="s">
        <v>1087</v>
      </c>
      <c r="J7" s="785" t="s">
        <v>1088</v>
      </c>
      <c r="K7" s="782"/>
      <c r="L7" s="780"/>
    </row>
    <row r="8" spans="1:12" ht="15.6">
      <c r="A8" s="780"/>
      <c r="B8" s="781"/>
      <c r="C8" s="786"/>
      <c r="D8" s="786"/>
      <c r="E8" s="787"/>
      <c r="F8" s="788"/>
      <c r="G8" s="785" t="s">
        <v>1089</v>
      </c>
      <c r="H8" s="785" t="s">
        <v>1090</v>
      </c>
      <c r="I8" s="785" t="s">
        <v>1154</v>
      </c>
      <c r="J8" s="785" t="s">
        <v>1091</v>
      </c>
      <c r="K8" s="782"/>
      <c r="L8" s="780"/>
    </row>
    <row r="9" spans="1:12" ht="15.6">
      <c r="A9" s="780"/>
      <c r="B9" s="781"/>
      <c r="C9" s="786" t="s">
        <v>1092</v>
      </c>
      <c r="D9" s="786" t="s">
        <v>1093</v>
      </c>
      <c r="E9" s="787" t="s">
        <v>1094</v>
      </c>
      <c r="F9" s="788" t="s">
        <v>1095</v>
      </c>
      <c r="G9" s="785" t="s">
        <v>497</v>
      </c>
      <c r="H9" s="785" t="s">
        <v>1091</v>
      </c>
      <c r="I9" s="785" t="s">
        <v>497</v>
      </c>
      <c r="J9" s="785" t="s">
        <v>1096</v>
      </c>
      <c r="K9" s="782"/>
      <c r="L9" s="780"/>
    </row>
    <row r="10" spans="1:12" ht="15.6">
      <c r="A10" s="789" t="s">
        <v>1097</v>
      </c>
      <c r="B10" s="789" t="s">
        <v>1098</v>
      </c>
      <c r="C10" s="789" t="s">
        <v>1099</v>
      </c>
      <c r="D10" s="789" t="s">
        <v>1100</v>
      </c>
      <c r="E10" s="790" t="s">
        <v>1101</v>
      </c>
      <c r="F10" s="791" t="s">
        <v>1102</v>
      </c>
      <c r="G10" s="792" t="s">
        <v>46</v>
      </c>
      <c r="H10" s="792" t="s">
        <v>46</v>
      </c>
      <c r="I10" s="792" t="s">
        <v>46</v>
      </c>
      <c r="J10" s="792" t="s">
        <v>46</v>
      </c>
      <c r="K10" s="782"/>
      <c r="L10" s="780"/>
    </row>
    <row r="11" spans="1:12" ht="15.6">
      <c r="A11" s="786"/>
      <c r="B11" s="793"/>
      <c r="C11" s="794" t="s">
        <v>1254</v>
      </c>
      <c r="D11" s="794" t="s">
        <v>1254</v>
      </c>
      <c r="E11" s="795" t="s">
        <v>1155</v>
      </c>
      <c r="F11" s="796" t="s">
        <v>1156</v>
      </c>
      <c r="G11" s="795" t="s">
        <v>1252</v>
      </c>
      <c r="H11" s="795" t="s">
        <v>1252</v>
      </c>
      <c r="I11" s="797" t="s">
        <v>1157</v>
      </c>
      <c r="J11" s="795" t="s">
        <v>1253</v>
      </c>
      <c r="K11" s="782"/>
      <c r="L11" s="780"/>
    </row>
    <row r="12" spans="1:12" ht="16.2" thickBot="1">
      <c r="A12" s="786"/>
      <c r="B12" s="798"/>
      <c r="C12" s="799"/>
      <c r="D12" s="799"/>
      <c r="E12" s="800"/>
      <c r="F12" s="801"/>
      <c r="G12" s="802"/>
      <c r="H12" s="802"/>
      <c r="I12" s="802"/>
      <c r="J12" s="802"/>
      <c r="K12" s="782"/>
      <c r="L12" s="780"/>
    </row>
    <row r="13" spans="1:12" ht="16.2" thickBot="1">
      <c r="A13" s="803"/>
      <c r="B13" s="780"/>
      <c r="C13" s="804"/>
      <c r="D13" s="805"/>
      <c r="E13" s="806"/>
      <c r="F13" s="807"/>
      <c r="G13" s="1040" t="s">
        <v>1344</v>
      </c>
      <c r="H13" s="1041"/>
      <c r="I13" s="1042"/>
      <c r="J13" s="808" t="s">
        <v>1345</v>
      </c>
      <c r="K13" s="782"/>
      <c r="L13" s="780"/>
    </row>
    <row r="14" spans="1:12" ht="15.6">
      <c r="A14" s="803"/>
      <c r="B14" s="809" t="s">
        <v>883</v>
      </c>
      <c r="C14" s="804"/>
      <c r="D14" s="805"/>
      <c r="E14" s="806"/>
      <c r="F14" s="810"/>
      <c r="G14" s="811"/>
      <c r="H14" s="811"/>
      <c r="I14" s="812"/>
      <c r="J14" s="813"/>
      <c r="K14" s="782"/>
      <c r="L14" s="780"/>
    </row>
    <row r="15" spans="1:12" ht="15.6">
      <c r="A15" s="803">
        <v>352</v>
      </c>
      <c r="B15" s="814" t="s">
        <v>1103</v>
      </c>
      <c r="C15" s="804">
        <v>50</v>
      </c>
      <c r="D15" s="805" t="s">
        <v>1104</v>
      </c>
      <c r="E15" s="983">
        <v>37.49</v>
      </c>
      <c r="F15" s="815">
        <f>J15/I15</f>
        <v>2.5747208653608009E-2</v>
      </c>
      <c r="G15" s="984">
        <v>75390205</v>
      </c>
      <c r="H15" s="984">
        <v>20575797</v>
      </c>
      <c r="I15" s="816">
        <f t="shared" ref="I15:I22" si="0">G15-H15</f>
        <v>54814408</v>
      </c>
      <c r="J15" s="986">
        <v>1411318</v>
      </c>
      <c r="K15" s="782"/>
      <c r="L15" s="780"/>
    </row>
    <row r="16" spans="1:12" ht="15.6">
      <c r="A16" s="803">
        <v>353</v>
      </c>
      <c r="B16" s="814" t="s">
        <v>1105</v>
      </c>
      <c r="C16" s="804">
        <v>57</v>
      </c>
      <c r="D16" s="805" t="s">
        <v>1104</v>
      </c>
      <c r="E16" s="983">
        <v>42.96</v>
      </c>
      <c r="F16" s="815">
        <f t="shared" ref="F16:F22" si="1">J16/I16</f>
        <v>2.2691079979841471E-2</v>
      </c>
      <c r="G16" s="984">
        <v>854998094</v>
      </c>
      <c r="H16" s="984">
        <v>195819068</v>
      </c>
      <c r="I16" s="816">
        <f t="shared" si="0"/>
        <v>659179026</v>
      </c>
      <c r="J16" s="986">
        <v>14957484</v>
      </c>
      <c r="K16" s="782"/>
      <c r="L16" s="780"/>
    </row>
    <row r="17" spans="1:16" ht="15.6">
      <c r="A17" s="803">
        <v>354</v>
      </c>
      <c r="B17" s="814" t="s">
        <v>1106</v>
      </c>
      <c r="C17" s="804">
        <v>65</v>
      </c>
      <c r="D17" s="805" t="s">
        <v>1107</v>
      </c>
      <c r="E17" s="983">
        <v>31.25</v>
      </c>
      <c r="F17" s="815">
        <f t="shared" si="1"/>
        <v>2.8455833496697995E-2</v>
      </c>
      <c r="G17" s="984">
        <v>286188012</v>
      </c>
      <c r="H17" s="984">
        <v>157330075</v>
      </c>
      <c r="I17" s="816">
        <f t="shared" si="0"/>
        <v>128857937</v>
      </c>
      <c r="J17" s="986">
        <v>3666760</v>
      </c>
      <c r="K17" s="782"/>
      <c r="L17" s="780"/>
    </row>
    <row r="18" spans="1:16" ht="15.6">
      <c r="A18" s="803">
        <v>355</v>
      </c>
      <c r="B18" s="814" t="s">
        <v>1108</v>
      </c>
      <c r="C18" s="804">
        <v>65</v>
      </c>
      <c r="D18" s="805" t="s">
        <v>1107</v>
      </c>
      <c r="E18" s="983">
        <v>53.78</v>
      </c>
      <c r="F18" s="815">
        <f t="shared" si="1"/>
        <v>1.7933004324273954E-2</v>
      </c>
      <c r="G18" s="984">
        <v>17313544</v>
      </c>
      <c r="H18" s="984">
        <v>2740693</v>
      </c>
      <c r="I18" s="816">
        <f t="shared" si="0"/>
        <v>14572851</v>
      </c>
      <c r="J18" s="986">
        <v>261335</v>
      </c>
      <c r="K18" s="782"/>
      <c r="L18" s="780"/>
    </row>
    <row r="19" spans="1:16" ht="15.6">
      <c r="A19" s="803">
        <v>356</v>
      </c>
      <c r="B19" s="814" t="s">
        <v>1109</v>
      </c>
      <c r="C19" s="804">
        <v>60</v>
      </c>
      <c r="D19" s="805" t="s">
        <v>1107</v>
      </c>
      <c r="E19" s="983">
        <v>35.92</v>
      </c>
      <c r="F19" s="815">
        <f t="shared" si="1"/>
        <v>2.6824432022368724E-2</v>
      </c>
      <c r="G19" s="984">
        <v>195917893</v>
      </c>
      <c r="H19" s="984">
        <v>81514576</v>
      </c>
      <c r="I19" s="816">
        <f t="shared" si="0"/>
        <v>114403317</v>
      </c>
      <c r="J19" s="986">
        <v>3068804</v>
      </c>
      <c r="K19" s="782"/>
      <c r="L19" s="780"/>
    </row>
    <row r="20" spans="1:16" ht="15.6">
      <c r="A20" s="803">
        <v>357</v>
      </c>
      <c r="B20" s="814" t="s">
        <v>1110</v>
      </c>
      <c r="C20" s="804">
        <v>65</v>
      </c>
      <c r="D20" s="805" t="s">
        <v>1107</v>
      </c>
      <c r="E20" s="983">
        <v>45.68</v>
      </c>
      <c r="F20" s="815">
        <f t="shared" si="1"/>
        <v>2.1387265061711354E-2</v>
      </c>
      <c r="G20" s="984">
        <v>15245948</v>
      </c>
      <c r="H20" s="984">
        <v>3987566</v>
      </c>
      <c r="I20" s="816">
        <f t="shared" si="0"/>
        <v>11258382</v>
      </c>
      <c r="J20" s="986">
        <v>240786</v>
      </c>
      <c r="K20" s="782"/>
      <c r="L20" s="780"/>
    </row>
    <row r="21" spans="1:16" ht="15.6">
      <c r="A21" s="803">
        <v>358</v>
      </c>
      <c r="B21" s="814" t="s">
        <v>1111</v>
      </c>
      <c r="C21" s="804">
        <v>60</v>
      </c>
      <c r="D21" s="805" t="s">
        <v>1112</v>
      </c>
      <c r="E21" s="983">
        <v>37.6</v>
      </c>
      <c r="F21" s="815">
        <f t="shared" si="1"/>
        <v>2.777955000595626E-2</v>
      </c>
      <c r="G21" s="984">
        <v>101104523</v>
      </c>
      <c r="H21" s="985">
        <v>43879010</v>
      </c>
      <c r="I21" s="817">
        <f t="shared" si="0"/>
        <v>57225513</v>
      </c>
      <c r="J21" s="987">
        <v>1589699</v>
      </c>
      <c r="K21" s="782"/>
      <c r="L21" s="780"/>
    </row>
    <row r="22" spans="1:16" ht="15.6">
      <c r="A22" s="803">
        <v>359</v>
      </c>
      <c r="B22" s="814" t="s">
        <v>1113</v>
      </c>
      <c r="C22" s="804">
        <v>50</v>
      </c>
      <c r="D22" s="805" t="s">
        <v>1107</v>
      </c>
      <c r="E22" s="983">
        <v>10.73</v>
      </c>
      <c r="F22" s="815">
        <f t="shared" si="1"/>
        <v>2.1345829653084146E-2</v>
      </c>
      <c r="G22" s="984">
        <v>2491293</v>
      </c>
      <c r="H22" s="985">
        <v>2057672</v>
      </c>
      <c r="I22" s="817">
        <f t="shared" si="0"/>
        <v>433621</v>
      </c>
      <c r="J22" s="987">
        <v>9256</v>
      </c>
      <c r="K22" s="782"/>
      <c r="L22" s="780"/>
    </row>
    <row r="23" spans="1:16" ht="16.2" thickBot="1">
      <c r="A23" s="803"/>
      <c r="B23" s="814"/>
      <c r="C23" s="804"/>
      <c r="D23" s="804"/>
      <c r="E23" s="804"/>
      <c r="F23" s="815"/>
      <c r="G23" s="818">
        <f>SUM(G15:G22)</f>
        <v>1548649512</v>
      </c>
      <c r="H23" s="818">
        <f>SUM(H15:H22)</f>
        <v>507904457</v>
      </c>
      <c r="I23" s="818">
        <f>SUM(I15:I22)</f>
        <v>1040745055</v>
      </c>
      <c r="J23" s="818">
        <f>SUM(J15:J22)</f>
        <v>25205442</v>
      </c>
      <c r="K23" s="782"/>
      <c r="L23" s="819"/>
    </row>
    <row r="24" spans="1:16" ht="16.2" thickTop="1">
      <c r="A24" s="803"/>
      <c r="B24" s="814"/>
      <c r="C24" s="804"/>
      <c r="D24" s="804"/>
      <c r="E24" s="804"/>
      <c r="F24" s="815"/>
      <c r="G24" s="817"/>
      <c r="H24" s="817"/>
      <c r="I24" s="817"/>
      <c r="J24" s="820"/>
      <c r="K24" s="782"/>
      <c r="L24" s="780"/>
    </row>
    <row r="25" spans="1:16" ht="15.6">
      <c r="A25" s="803"/>
      <c r="B25" s="809" t="s">
        <v>992</v>
      </c>
      <c r="C25" s="780"/>
      <c r="D25" s="780"/>
      <c r="E25" s="821"/>
      <c r="F25" s="810"/>
      <c r="G25" s="782"/>
      <c r="H25" s="782"/>
      <c r="I25" s="812"/>
      <c r="J25" s="813"/>
      <c r="K25" s="782"/>
      <c r="L25" s="780"/>
    </row>
    <row r="26" spans="1:16" ht="15" customHeight="1">
      <c r="A26" s="803">
        <v>390</v>
      </c>
      <c r="B26" s="814" t="s">
        <v>1103</v>
      </c>
      <c r="C26" s="804">
        <v>40</v>
      </c>
      <c r="D26" s="805" t="s">
        <v>1114</v>
      </c>
      <c r="E26" s="983">
        <v>27.09</v>
      </c>
      <c r="F26" s="822">
        <f t="shared" ref="F26:F68" si="2">J26/I26</f>
        <v>3.7257046114476444E-2</v>
      </c>
      <c r="G26" s="988">
        <v>49393587</v>
      </c>
      <c r="H26" s="988">
        <v>11771540</v>
      </c>
      <c r="I26" s="823">
        <f t="shared" ref="I26:I37" si="3">G26-H26</f>
        <v>37622047</v>
      </c>
      <c r="J26" s="988">
        <v>1401686.34</v>
      </c>
      <c r="K26" s="782"/>
      <c r="L26" s="780"/>
    </row>
    <row r="27" spans="1:16" ht="15" customHeight="1">
      <c r="A27" s="803">
        <v>391.1</v>
      </c>
      <c r="B27" s="814" t="s">
        <v>1115</v>
      </c>
      <c r="C27" s="804">
        <v>10</v>
      </c>
      <c r="D27" s="805" t="s">
        <v>1116</v>
      </c>
      <c r="E27" s="983">
        <v>2.2599999999999998</v>
      </c>
      <c r="F27" s="822">
        <f t="shared" si="2"/>
        <v>0.56969980036912871</v>
      </c>
      <c r="G27" s="988">
        <v>83462</v>
      </c>
      <c r="H27" s="988">
        <v>56913</v>
      </c>
      <c r="I27" s="823">
        <f t="shared" si="3"/>
        <v>26549</v>
      </c>
      <c r="J27" s="988">
        <v>15124.96</v>
      </c>
      <c r="K27" s="782"/>
      <c r="L27" s="780"/>
    </row>
    <row r="28" spans="1:16" ht="15" customHeight="1">
      <c r="A28" s="803">
        <v>391.2</v>
      </c>
      <c r="B28" s="814" t="s">
        <v>1117</v>
      </c>
      <c r="C28" s="804">
        <v>15</v>
      </c>
      <c r="D28" s="805" t="s">
        <v>1116</v>
      </c>
      <c r="E28" s="983">
        <v>7.38</v>
      </c>
      <c r="F28" s="822">
        <f t="shared" si="2"/>
        <v>0.14124243608984627</v>
      </c>
      <c r="G28" s="988">
        <v>509566</v>
      </c>
      <c r="H28" s="988">
        <v>113111</v>
      </c>
      <c r="I28" s="823">
        <f t="shared" si="3"/>
        <v>396455</v>
      </c>
      <c r="J28" s="988">
        <v>55996.27</v>
      </c>
      <c r="K28" s="782"/>
      <c r="L28" s="780"/>
      <c r="N28" s="772"/>
      <c r="O28" s="773"/>
      <c r="P28" s="771"/>
    </row>
    <row r="29" spans="1:16" ht="15" customHeight="1">
      <c r="A29" s="803">
        <v>391.3</v>
      </c>
      <c r="B29" s="814" t="s">
        <v>1118</v>
      </c>
      <c r="C29" s="804">
        <v>5</v>
      </c>
      <c r="D29" s="805" t="s">
        <v>1116</v>
      </c>
      <c r="E29" s="983">
        <v>3.3</v>
      </c>
      <c r="F29" s="822">
        <f t="shared" si="2"/>
        <v>0.27531211224547042</v>
      </c>
      <c r="G29" s="988">
        <v>22992598</v>
      </c>
      <c r="H29" s="988">
        <v>7539039</v>
      </c>
      <c r="I29" s="823">
        <f t="shared" si="3"/>
        <v>15453559</v>
      </c>
      <c r="J29" s="988">
        <v>4254551.97</v>
      </c>
      <c r="K29" s="782"/>
      <c r="L29" s="780"/>
      <c r="N29" s="772"/>
      <c r="O29" s="773"/>
    </row>
    <row r="30" spans="1:16" ht="15" customHeight="1">
      <c r="A30" s="803">
        <v>391.4</v>
      </c>
      <c r="B30" s="814" t="s">
        <v>1119</v>
      </c>
      <c r="C30" s="804">
        <v>5</v>
      </c>
      <c r="D30" s="805" t="s">
        <v>1116</v>
      </c>
      <c r="E30" s="983">
        <v>3.3</v>
      </c>
      <c r="F30" s="822">
        <f t="shared" si="2"/>
        <v>0.34332480458134856</v>
      </c>
      <c r="G30" s="988">
        <v>2902800</v>
      </c>
      <c r="H30" s="988">
        <v>1901872</v>
      </c>
      <c r="I30" s="823">
        <f t="shared" si="3"/>
        <v>1000928</v>
      </c>
      <c r="J30" s="988">
        <v>343643.41000000003</v>
      </c>
      <c r="K30" s="782"/>
      <c r="L30" s="780"/>
      <c r="N30" s="772"/>
      <c r="O30" s="773"/>
    </row>
    <row r="31" spans="1:16" ht="15" customHeight="1">
      <c r="A31" s="803">
        <v>393</v>
      </c>
      <c r="B31" s="814" t="s">
        <v>1120</v>
      </c>
      <c r="C31" s="804">
        <v>15</v>
      </c>
      <c r="D31" s="805" t="s">
        <v>1116</v>
      </c>
      <c r="E31" s="983">
        <v>10.32</v>
      </c>
      <c r="F31" s="822">
        <f t="shared" si="2"/>
        <v>0.10216698743922203</v>
      </c>
      <c r="G31" s="988">
        <v>46470</v>
      </c>
      <c r="H31" s="988">
        <v>6982</v>
      </c>
      <c r="I31" s="823">
        <f t="shared" si="3"/>
        <v>39488</v>
      </c>
      <c r="J31" s="988">
        <v>4034.37</v>
      </c>
      <c r="K31" s="782"/>
      <c r="L31" s="780"/>
    </row>
    <row r="32" spans="1:16" ht="15" customHeight="1">
      <c r="A32" s="803">
        <v>394</v>
      </c>
      <c r="B32" s="814" t="s">
        <v>1121</v>
      </c>
      <c r="C32" s="804">
        <v>15</v>
      </c>
      <c r="D32" s="805" t="s">
        <v>1116</v>
      </c>
      <c r="E32" s="983">
        <v>9.9499999999999993</v>
      </c>
      <c r="F32" s="822">
        <f t="shared" si="2"/>
        <v>9.8750065491990557E-2</v>
      </c>
      <c r="G32" s="988">
        <v>34588353</v>
      </c>
      <c r="H32" s="988">
        <v>10806819</v>
      </c>
      <c r="I32" s="823">
        <f t="shared" si="3"/>
        <v>23781534</v>
      </c>
      <c r="J32" s="988">
        <v>2348428.04</v>
      </c>
      <c r="K32" s="782"/>
      <c r="L32" s="780"/>
    </row>
    <row r="33" spans="1:12" ht="15" customHeight="1">
      <c r="A33" s="803">
        <v>395.1</v>
      </c>
      <c r="B33" s="814" t="s">
        <v>1122</v>
      </c>
      <c r="C33" s="804">
        <v>20</v>
      </c>
      <c r="D33" s="805" t="s">
        <v>1116</v>
      </c>
      <c r="E33" s="983">
        <v>7.58</v>
      </c>
      <c r="F33" s="822">
        <f t="shared" si="2"/>
        <v>0.14195004922534846</v>
      </c>
      <c r="G33" s="988">
        <v>311026</v>
      </c>
      <c r="H33" s="988">
        <v>214531</v>
      </c>
      <c r="I33" s="823">
        <f t="shared" si="3"/>
        <v>96495</v>
      </c>
      <c r="J33" s="988">
        <v>13697.47</v>
      </c>
      <c r="K33" s="782"/>
      <c r="L33" s="780"/>
    </row>
    <row r="34" spans="1:12" ht="15" customHeight="1">
      <c r="A34" s="803">
        <v>395.2</v>
      </c>
      <c r="B34" s="814" t="s">
        <v>1123</v>
      </c>
      <c r="C34" s="804">
        <v>15</v>
      </c>
      <c r="D34" s="805" t="s">
        <v>1116</v>
      </c>
      <c r="E34" s="983">
        <v>4.5</v>
      </c>
      <c r="F34" s="822">
        <f t="shared" si="2"/>
        <v>0.25145663411832281</v>
      </c>
      <c r="G34" s="988">
        <v>101381</v>
      </c>
      <c r="H34" s="988">
        <v>75266</v>
      </c>
      <c r="I34" s="823">
        <f t="shared" si="3"/>
        <v>26115</v>
      </c>
      <c r="J34" s="988">
        <v>6566.79</v>
      </c>
      <c r="K34" s="782"/>
      <c r="L34" s="780"/>
    </row>
    <row r="35" spans="1:12" ht="15" customHeight="1">
      <c r="A35" s="803">
        <v>397</v>
      </c>
      <c r="B35" s="814" t="s">
        <v>1124</v>
      </c>
      <c r="C35" s="804">
        <v>20</v>
      </c>
      <c r="D35" s="805" t="s">
        <v>1125</v>
      </c>
      <c r="E35" s="983">
        <v>14.79</v>
      </c>
      <c r="F35" s="822">
        <f t="shared" si="2"/>
        <v>6.3484996327264898E-2</v>
      </c>
      <c r="G35" s="988">
        <v>125639703</v>
      </c>
      <c r="H35" s="988">
        <v>29840526</v>
      </c>
      <c r="I35" s="823">
        <f t="shared" si="3"/>
        <v>95799177</v>
      </c>
      <c r="J35" s="988">
        <v>6081810.4000000004</v>
      </c>
      <c r="K35" s="782"/>
      <c r="L35" s="780"/>
    </row>
    <row r="36" spans="1:12" ht="15" customHeight="1">
      <c r="A36" s="803">
        <v>397.1</v>
      </c>
      <c r="B36" s="814" t="s">
        <v>1126</v>
      </c>
      <c r="C36" s="804">
        <v>15</v>
      </c>
      <c r="D36" s="805" t="s">
        <v>1127</v>
      </c>
      <c r="E36" s="983">
        <v>10.64</v>
      </c>
      <c r="F36" s="822">
        <f t="shared" si="2"/>
        <v>0.1000227331197231</v>
      </c>
      <c r="G36" s="988">
        <v>35480218</v>
      </c>
      <c r="H36" s="988">
        <v>12177653</v>
      </c>
      <c r="I36" s="823">
        <f t="shared" si="3"/>
        <v>23302565</v>
      </c>
      <c r="J36" s="988">
        <v>2330786.2400000002</v>
      </c>
      <c r="K36" s="782"/>
      <c r="L36" s="780"/>
    </row>
    <row r="37" spans="1:12" ht="15" customHeight="1">
      <c r="A37" s="803">
        <v>398</v>
      </c>
      <c r="B37" s="814" t="s">
        <v>1128</v>
      </c>
      <c r="C37" s="804">
        <v>15</v>
      </c>
      <c r="D37" s="805" t="s">
        <v>1116</v>
      </c>
      <c r="E37" s="983">
        <v>1.29</v>
      </c>
      <c r="F37" s="822">
        <f t="shared" si="2"/>
        <v>1.2345357257289331</v>
      </c>
      <c r="G37" s="988">
        <v>652693</v>
      </c>
      <c r="H37" s="988">
        <v>590273</v>
      </c>
      <c r="I37" s="823">
        <f t="shared" si="3"/>
        <v>62420</v>
      </c>
      <c r="J37" s="988">
        <v>77059.72</v>
      </c>
      <c r="K37" s="782"/>
      <c r="L37" s="780"/>
    </row>
    <row r="38" spans="1:12" ht="15" customHeight="1" thickBot="1">
      <c r="A38" s="803"/>
      <c r="B38" s="814"/>
      <c r="C38" s="804"/>
      <c r="D38" s="804"/>
      <c r="E38" s="804"/>
      <c r="F38" s="824"/>
      <c r="G38" s="825">
        <f>SUM(G26:G37)</f>
        <v>272701857</v>
      </c>
      <c r="H38" s="825">
        <f>SUM(H26:H37)</f>
        <v>75094525</v>
      </c>
      <c r="I38" s="825">
        <f>SUM(I26:I37)</f>
        <v>197607332</v>
      </c>
      <c r="J38" s="825">
        <f>SUM(J26:J37)</f>
        <v>16933385.979999997</v>
      </c>
      <c r="K38" s="782"/>
      <c r="L38" s="819"/>
    </row>
    <row r="39" spans="1:12" ht="15" customHeight="1" thickTop="1">
      <c r="A39" s="781"/>
      <c r="B39" s="814"/>
      <c r="C39" s="826"/>
      <c r="D39" s="826"/>
      <c r="E39" s="826"/>
      <c r="F39" s="824"/>
      <c r="G39" s="823"/>
      <c r="H39" s="823"/>
      <c r="I39" s="823"/>
      <c r="J39" s="823"/>
      <c r="K39" s="782"/>
      <c r="L39" s="780"/>
    </row>
    <row r="40" spans="1:12" ht="15" customHeight="1">
      <c r="A40" s="781"/>
      <c r="B40" s="809" t="s">
        <v>1129</v>
      </c>
      <c r="C40" s="821"/>
      <c r="D40" s="821"/>
      <c r="E40" s="821"/>
      <c r="F40" s="810"/>
      <c r="G40" s="827"/>
      <c r="H40" s="827"/>
      <c r="I40" s="812"/>
      <c r="J40" s="813"/>
      <c r="K40" s="782"/>
      <c r="L40" s="780"/>
    </row>
    <row r="41" spans="1:12" ht="15" customHeight="1">
      <c r="A41" s="828">
        <v>303</v>
      </c>
      <c r="B41" s="829" t="s">
        <v>1130</v>
      </c>
      <c r="C41" s="804" t="s">
        <v>1131</v>
      </c>
      <c r="D41" s="804" t="s">
        <v>1131</v>
      </c>
      <c r="E41" s="830" t="s">
        <v>1131</v>
      </c>
      <c r="F41" s="831" t="s">
        <v>1158</v>
      </c>
      <c r="G41" s="988">
        <v>144986799</v>
      </c>
      <c r="H41" s="988">
        <v>104115380</v>
      </c>
      <c r="I41" s="823">
        <f>G41-H41</f>
        <v>40871419</v>
      </c>
      <c r="J41" s="988">
        <v>18804420</v>
      </c>
      <c r="K41" s="832"/>
      <c r="L41" s="780"/>
    </row>
    <row r="42" spans="1:12" ht="15" customHeight="1">
      <c r="A42" s="828">
        <v>303</v>
      </c>
      <c r="B42" s="829" t="s">
        <v>1132</v>
      </c>
      <c r="C42" s="804" t="s">
        <v>1131</v>
      </c>
      <c r="D42" s="804" t="s">
        <v>1131</v>
      </c>
      <c r="E42" s="830" t="s">
        <v>1131</v>
      </c>
      <c r="F42" s="831">
        <v>0</v>
      </c>
      <c r="G42" s="988">
        <v>17796758</v>
      </c>
      <c r="H42" s="988">
        <v>6870119</v>
      </c>
      <c r="I42" s="823">
        <f>G42-H42</f>
        <v>10926639</v>
      </c>
      <c r="J42" s="833" t="s">
        <v>753</v>
      </c>
      <c r="K42" s="782"/>
      <c r="L42" s="780"/>
    </row>
    <row r="43" spans="1:12" ht="15" customHeight="1" thickBot="1">
      <c r="A43" s="828"/>
      <c r="B43" s="829"/>
      <c r="C43" s="804"/>
      <c r="D43" s="804"/>
      <c r="E43" s="804"/>
      <c r="F43" s="831"/>
      <c r="G43" s="825">
        <f>SUM(G41:G42)</f>
        <v>162783557</v>
      </c>
      <c r="H43" s="825">
        <f t="shared" ref="H43:J43" si="4">SUM(H41:H42)</f>
        <v>110985499</v>
      </c>
      <c r="I43" s="825">
        <f t="shared" si="4"/>
        <v>51798058</v>
      </c>
      <c r="J43" s="825">
        <f t="shared" si="4"/>
        <v>18804420</v>
      </c>
      <c r="K43" s="782"/>
      <c r="L43" s="819"/>
    </row>
    <row r="44" spans="1:12" ht="15" customHeight="1" thickTop="1">
      <c r="A44" s="828"/>
      <c r="B44" s="829"/>
      <c r="C44" s="804"/>
      <c r="D44" s="804"/>
      <c r="E44" s="804"/>
      <c r="F44" s="831"/>
      <c r="G44" s="855"/>
      <c r="H44" s="855"/>
      <c r="I44" s="855"/>
      <c r="J44" s="855"/>
      <c r="K44" s="783" t="s">
        <v>160</v>
      </c>
      <c r="L44" s="819"/>
    </row>
    <row r="45" spans="1:12" ht="15" customHeight="1">
      <c r="A45" s="1037" t="s">
        <v>729</v>
      </c>
      <c r="B45" s="1037"/>
      <c r="C45" s="1037"/>
      <c r="D45" s="1037"/>
      <c r="E45" s="1037"/>
      <c r="F45" s="1037"/>
      <c r="G45" s="1037"/>
      <c r="H45" s="1037"/>
      <c r="I45" s="1037"/>
      <c r="J45" s="1037"/>
      <c r="K45" s="1037"/>
      <c r="L45" s="819"/>
    </row>
    <row r="46" spans="1:12" ht="15" customHeight="1">
      <c r="A46" s="1037" t="s">
        <v>1150</v>
      </c>
      <c r="B46" s="1037"/>
      <c r="C46" s="1037"/>
      <c r="D46" s="1037"/>
      <c r="E46" s="1037"/>
      <c r="F46" s="1037"/>
      <c r="G46" s="1037"/>
      <c r="H46" s="1037"/>
      <c r="I46" s="1037"/>
      <c r="J46" s="1037"/>
      <c r="K46" s="1037"/>
      <c r="L46" s="819"/>
    </row>
    <row r="47" spans="1:12" ht="15" customHeight="1">
      <c r="A47" s="781"/>
      <c r="B47" s="814"/>
      <c r="C47" s="826"/>
      <c r="D47" s="826"/>
      <c r="E47" s="826"/>
      <c r="F47" s="822"/>
      <c r="G47" s="823"/>
      <c r="H47" s="823"/>
      <c r="I47" s="823"/>
      <c r="J47" s="823"/>
      <c r="K47" s="782"/>
      <c r="L47" s="780"/>
    </row>
    <row r="48" spans="1:12" ht="15.6">
      <c r="A48" s="781"/>
      <c r="B48" s="809" t="s">
        <v>1133</v>
      </c>
      <c r="C48" s="821"/>
      <c r="D48" s="821"/>
      <c r="E48" s="821"/>
      <c r="F48" s="810"/>
      <c r="G48" s="827"/>
      <c r="H48" s="827"/>
      <c r="I48" s="812"/>
      <c r="J48" s="813"/>
      <c r="K48" s="782"/>
      <c r="L48" s="780"/>
    </row>
    <row r="49" spans="1:12" ht="15.6">
      <c r="A49" s="803">
        <v>303</v>
      </c>
      <c r="B49" s="829" t="s">
        <v>1130</v>
      </c>
      <c r="C49" s="804" t="s">
        <v>1131</v>
      </c>
      <c r="D49" s="804" t="s">
        <v>1131</v>
      </c>
      <c r="E49" s="830" t="s">
        <v>1131</v>
      </c>
      <c r="F49" s="831" t="str">
        <f>+F41</f>
        <v>Note 10</v>
      </c>
      <c r="G49" s="988">
        <v>234268379</v>
      </c>
      <c r="H49" s="988">
        <f>192303821</f>
        <v>192303821</v>
      </c>
      <c r="I49" s="823">
        <f t="shared" ref="I49:I68" si="5">G49-H49</f>
        <v>41964558</v>
      </c>
      <c r="J49" s="988">
        <v>17164782</v>
      </c>
      <c r="K49" s="832"/>
      <c r="L49" s="780"/>
    </row>
    <row r="50" spans="1:12" ht="15.6">
      <c r="A50" s="803">
        <v>303</v>
      </c>
      <c r="B50" s="829" t="s">
        <v>1132</v>
      </c>
      <c r="C50" s="804" t="s">
        <v>1131</v>
      </c>
      <c r="D50" s="804" t="s">
        <v>1131</v>
      </c>
      <c r="E50" s="830" t="s">
        <v>1131</v>
      </c>
      <c r="F50" s="831">
        <v>0</v>
      </c>
      <c r="G50" s="988">
        <v>190679</v>
      </c>
      <c r="H50" s="988">
        <v>154132</v>
      </c>
      <c r="I50" s="823">
        <f t="shared" si="5"/>
        <v>36547</v>
      </c>
      <c r="J50" s="834" t="s">
        <v>753</v>
      </c>
      <c r="K50" s="782"/>
      <c r="L50" s="780"/>
    </row>
    <row r="51" spans="1:12" ht="15.6">
      <c r="A51" s="803">
        <v>390</v>
      </c>
      <c r="B51" s="814" t="s">
        <v>1103</v>
      </c>
      <c r="C51" s="804">
        <v>50</v>
      </c>
      <c r="D51" s="805" t="s">
        <v>1114</v>
      </c>
      <c r="E51" s="989">
        <v>36.57</v>
      </c>
      <c r="F51" s="831">
        <f t="shared" si="2"/>
        <v>2.7058467680082049E-2</v>
      </c>
      <c r="G51" s="988">
        <v>276613564</v>
      </c>
      <c r="H51" s="988">
        <v>77358711</v>
      </c>
      <c r="I51" s="823">
        <f t="shared" si="5"/>
        <v>199254853</v>
      </c>
      <c r="J51" s="988">
        <v>5391531</v>
      </c>
      <c r="K51" s="782"/>
      <c r="L51" s="780"/>
    </row>
    <row r="52" spans="1:12" ht="15.6">
      <c r="A52" s="803">
        <v>391.1</v>
      </c>
      <c r="B52" s="814" t="s">
        <v>1115</v>
      </c>
      <c r="C52" s="804">
        <v>10</v>
      </c>
      <c r="D52" s="805" t="s">
        <v>1116</v>
      </c>
      <c r="E52" s="989">
        <v>1.95</v>
      </c>
      <c r="F52" s="831">
        <f t="shared" si="2"/>
        <v>0.68762297097884895</v>
      </c>
      <c r="G52" s="988">
        <v>90319</v>
      </c>
      <c r="H52" s="988">
        <v>57791</v>
      </c>
      <c r="I52" s="823">
        <f t="shared" si="5"/>
        <v>32528</v>
      </c>
      <c r="J52" s="988">
        <v>22367</v>
      </c>
      <c r="K52" s="782"/>
      <c r="L52" s="780"/>
    </row>
    <row r="53" spans="1:12" ht="15.6">
      <c r="A53" s="803">
        <v>391.2</v>
      </c>
      <c r="B53" s="814" t="s">
        <v>1117</v>
      </c>
      <c r="C53" s="804">
        <v>15</v>
      </c>
      <c r="D53" s="805" t="s">
        <v>1116</v>
      </c>
      <c r="E53" s="989">
        <v>9.7799999999999994</v>
      </c>
      <c r="F53" s="831">
        <f t="shared" si="2"/>
        <v>9.3014310381116461E-2</v>
      </c>
      <c r="G53" s="988">
        <v>15732611</v>
      </c>
      <c r="H53" s="988">
        <v>3417635</v>
      </c>
      <c r="I53" s="823">
        <f t="shared" si="5"/>
        <v>12314976</v>
      </c>
      <c r="J53" s="988">
        <v>1145469</v>
      </c>
      <c r="K53" s="782"/>
      <c r="L53" s="780"/>
    </row>
    <row r="54" spans="1:12" ht="15.6">
      <c r="A54" s="803">
        <v>391.3</v>
      </c>
      <c r="B54" s="814" t="s">
        <v>1118</v>
      </c>
      <c r="C54" s="804">
        <v>5</v>
      </c>
      <c r="D54" s="805" t="s">
        <v>1116</v>
      </c>
      <c r="E54" s="989">
        <v>3.11</v>
      </c>
      <c r="F54" s="831">
        <f t="shared" si="2"/>
        <v>0.32839827809967198</v>
      </c>
      <c r="G54" s="988">
        <v>31957627</v>
      </c>
      <c r="H54" s="988">
        <v>14117570</v>
      </c>
      <c r="I54" s="823">
        <f t="shared" si="5"/>
        <v>17840057</v>
      </c>
      <c r="J54" s="988">
        <v>5858644</v>
      </c>
      <c r="K54" s="782"/>
      <c r="L54" s="780"/>
    </row>
    <row r="55" spans="1:12" ht="15.6">
      <c r="A55" s="803">
        <v>392.1</v>
      </c>
      <c r="B55" s="814" t="s">
        <v>1134</v>
      </c>
      <c r="C55" s="804">
        <v>6</v>
      </c>
      <c r="D55" s="805" t="s">
        <v>1125</v>
      </c>
      <c r="E55" s="989">
        <v>5.0295991912404503</v>
      </c>
      <c r="F55" s="831">
        <f t="shared" si="2"/>
        <v>0.22193877551020408</v>
      </c>
      <c r="G55" s="988">
        <v>93641</v>
      </c>
      <c r="H55" s="988">
        <v>92857</v>
      </c>
      <c r="I55" s="823">
        <f t="shared" si="5"/>
        <v>784</v>
      </c>
      <c r="J55" s="988">
        <v>174</v>
      </c>
      <c r="K55" s="782"/>
      <c r="L55" s="835"/>
    </row>
    <row r="56" spans="1:12" ht="15.6">
      <c r="A56" s="803">
        <v>392.2</v>
      </c>
      <c r="B56" s="814" t="s">
        <v>1135</v>
      </c>
      <c r="C56" s="804">
        <v>12</v>
      </c>
      <c r="D56" s="805" t="s">
        <v>1136</v>
      </c>
      <c r="E56" s="989">
        <v>7.9869652726749942</v>
      </c>
      <c r="F56" s="831">
        <f t="shared" si="2"/>
        <v>0.12893265679659685</v>
      </c>
      <c r="G56" s="988">
        <v>33344723</v>
      </c>
      <c r="H56" s="988">
        <v>16446700</v>
      </c>
      <c r="I56" s="823">
        <f t="shared" si="5"/>
        <v>16898023</v>
      </c>
      <c r="J56" s="988">
        <v>2178707</v>
      </c>
      <c r="K56" s="782"/>
      <c r="L56" s="835"/>
    </row>
    <row r="57" spans="1:12" ht="15.6">
      <c r="A57" s="803">
        <v>392.3</v>
      </c>
      <c r="B57" s="814" t="s">
        <v>1137</v>
      </c>
      <c r="C57" s="804">
        <v>14</v>
      </c>
      <c r="D57" s="805" t="s">
        <v>1107</v>
      </c>
      <c r="E57" s="989">
        <v>8.8713826937066411</v>
      </c>
      <c r="F57" s="831">
        <f t="shared" si="2"/>
        <v>0.11668728895144784</v>
      </c>
      <c r="G57" s="988">
        <v>79052417</v>
      </c>
      <c r="H57" s="988">
        <v>35954218</v>
      </c>
      <c r="I57" s="823">
        <f t="shared" si="5"/>
        <v>43098199</v>
      </c>
      <c r="J57" s="988">
        <v>5029012</v>
      </c>
      <c r="K57" s="782"/>
      <c r="L57" s="835"/>
    </row>
    <row r="58" spans="1:12" ht="15.6">
      <c r="A58" s="803">
        <v>392.4</v>
      </c>
      <c r="B58" s="814" t="s">
        <v>1138</v>
      </c>
      <c r="C58" s="804">
        <v>11</v>
      </c>
      <c r="D58" s="805" t="s">
        <v>1139</v>
      </c>
      <c r="E58" s="989">
        <v>2.5756401109585756</v>
      </c>
      <c r="F58" s="831">
        <f t="shared" si="2"/>
        <v>0.48381212950296398</v>
      </c>
      <c r="G58" s="988">
        <v>279351</v>
      </c>
      <c r="H58" s="988">
        <v>281544</v>
      </c>
      <c r="I58" s="823">
        <f t="shared" si="5"/>
        <v>-2193</v>
      </c>
      <c r="J58" s="988">
        <v>-1061</v>
      </c>
      <c r="K58" s="782"/>
      <c r="L58" s="835"/>
    </row>
    <row r="59" spans="1:12" ht="15.6">
      <c r="A59" s="803">
        <v>392.5</v>
      </c>
      <c r="B59" s="814" t="s">
        <v>1140</v>
      </c>
      <c r="C59" s="804">
        <v>15</v>
      </c>
      <c r="D59" s="805" t="s">
        <v>1141</v>
      </c>
      <c r="E59" s="989">
        <v>9.5885551006318863</v>
      </c>
      <c r="F59" s="831">
        <f t="shared" si="2"/>
        <v>0.10427116856343227</v>
      </c>
      <c r="G59" s="988">
        <v>4929447</v>
      </c>
      <c r="H59" s="988">
        <v>2426502</v>
      </c>
      <c r="I59" s="823">
        <f t="shared" si="5"/>
        <v>2502945</v>
      </c>
      <c r="J59" s="988">
        <v>260985</v>
      </c>
      <c r="K59" s="782"/>
      <c r="L59" s="835"/>
    </row>
    <row r="60" spans="1:12" ht="15.6">
      <c r="A60" s="803">
        <v>392.6</v>
      </c>
      <c r="B60" s="814" t="s">
        <v>1142</v>
      </c>
      <c r="C60" s="804">
        <v>15</v>
      </c>
      <c r="D60" s="805" t="s">
        <v>1141</v>
      </c>
      <c r="E60" s="989">
        <v>6.8126388075157038</v>
      </c>
      <c r="F60" s="831">
        <f t="shared" si="2"/>
        <v>0.15918543787247616</v>
      </c>
      <c r="G60" s="988">
        <v>5071551</v>
      </c>
      <c r="H60" s="988">
        <v>3836237</v>
      </c>
      <c r="I60" s="823">
        <f t="shared" si="5"/>
        <v>1235314</v>
      </c>
      <c r="J60" s="988">
        <v>196644</v>
      </c>
      <c r="K60" s="782"/>
      <c r="L60" s="835"/>
    </row>
    <row r="61" spans="1:12" ht="15.6">
      <c r="A61" s="803">
        <v>392.7</v>
      </c>
      <c r="B61" s="814" t="s">
        <v>1343</v>
      </c>
      <c r="C61" s="804" t="s">
        <v>1131</v>
      </c>
      <c r="D61" s="804" t="s">
        <v>1131</v>
      </c>
      <c r="E61" s="989">
        <v>7.5005812950503667</v>
      </c>
      <c r="F61" s="831">
        <f t="shared" si="2"/>
        <v>8.9704779557460715E-2</v>
      </c>
      <c r="G61" s="988">
        <v>8909932</v>
      </c>
      <c r="H61" s="988">
        <v>827531</v>
      </c>
      <c r="I61" s="823">
        <f t="shared" si="5"/>
        <v>8082401</v>
      </c>
      <c r="J61" s="988">
        <v>725030</v>
      </c>
      <c r="K61" s="782"/>
      <c r="L61" s="835"/>
    </row>
    <row r="62" spans="1:12" ht="15.6">
      <c r="A62" s="803">
        <v>393</v>
      </c>
      <c r="B62" s="814" t="s">
        <v>1120</v>
      </c>
      <c r="C62" s="804">
        <v>15</v>
      </c>
      <c r="D62" s="805" t="s">
        <v>1116</v>
      </c>
      <c r="E62" s="989">
        <v>9.4448327320123155</v>
      </c>
      <c r="F62" s="831">
        <f t="shared" si="2"/>
        <v>0.11226050087962415</v>
      </c>
      <c r="G62" s="988">
        <v>1237256</v>
      </c>
      <c r="H62" s="988">
        <v>298787</v>
      </c>
      <c r="I62" s="823">
        <f t="shared" si="5"/>
        <v>938469</v>
      </c>
      <c r="J62" s="988">
        <v>105353</v>
      </c>
      <c r="K62" s="782"/>
      <c r="L62" s="780"/>
    </row>
    <row r="63" spans="1:12" ht="15.6">
      <c r="A63" s="803">
        <v>394.1</v>
      </c>
      <c r="B63" s="814" t="s">
        <v>1143</v>
      </c>
      <c r="C63" s="804">
        <v>15</v>
      </c>
      <c r="D63" s="805" t="s">
        <v>1116</v>
      </c>
      <c r="E63" s="989">
        <v>4.5000045000044997</v>
      </c>
      <c r="F63" s="831">
        <f t="shared" si="2"/>
        <v>0.25145956879510872</v>
      </c>
      <c r="G63" s="988">
        <v>11617</v>
      </c>
      <c r="H63" s="988">
        <v>-31889</v>
      </c>
      <c r="I63" s="823">
        <f t="shared" si="5"/>
        <v>43506</v>
      </c>
      <c r="J63" s="988">
        <v>10940</v>
      </c>
      <c r="K63" s="782"/>
      <c r="L63" s="780"/>
    </row>
    <row r="64" spans="1:12" ht="15.6">
      <c r="A64" s="803">
        <v>394.2</v>
      </c>
      <c r="B64" s="814" t="s">
        <v>1144</v>
      </c>
      <c r="C64" s="804">
        <v>15</v>
      </c>
      <c r="D64" s="805" t="s">
        <v>1116</v>
      </c>
      <c r="E64" s="989">
        <v>9.2506082274909573</v>
      </c>
      <c r="F64" s="831">
        <f t="shared" si="2"/>
        <v>2.7191132854741569E-2</v>
      </c>
      <c r="G64" s="988">
        <v>1031452</v>
      </c>
      <c r="H64" s="988">
        <v>54001</v>
      </c>
      <c r="I64" s="823">
        <f t="shared" si="5"/>
        <v>977451</v>
      </c>
      <c r="J64" s="988">
        <v>26578</v>
      </c>
      <c r="K64" s="782"/>
      <c r="L64" s="780"/>
    </row>
    <row r="65" spans="1:16" ht="15.6">
      <c r="A65" s="803">
        <v>394.3</v>
      </c>
      <c r="B65" s="814" t="s">
        <v>1145</v>
      </c>
      <c r="C65" s="804">
        <v>20</v>
      </c>
      <c r="D65" s="805" t="s">
        <v>1116</v>
      </c>
      <c r="E65" s="989">
        <v>8.6249277662299573</v>
      </c>
      <c r="F65" s="831">
        <f t="shared" si="2"/>
        <v>0.11868192369114165</v>
      </c>
      <c r="G65" s="988">
        <v>2676683</v>
      </c>
      <c r="H65" s="988">
        <v>1525126</v>
      </c>
      <c r="I65" s="823">
        <f t="shared" si="5"/>
        <v>1151557</v>
      </c>
      <c r="J65" s="988">
        <v>136669</v>
      </c>
      <c r="K65" s="782"/>
      <c r="L65" s="835"/>
    </row>
    <row r="66" spans="1:16" ht="15.6">
      <c r="A66" s="803">
        <v>396</v>
      </c>
      <c r="B66" s="814" t="s">
        <v>1146</v>
      </c>
      <c r="C66" s="804">
        <v>11</v>
      </c>
      <c r="D66" s="805" t="s">
        <v>1139</v>
      </c>
      <c r="E66" s="989">
        <v>2.9321041952546825</v>
      </c>
      <c r="F66" s="831">
        <f t="shared" si="2"/>
        <v>0.41345365053322397</v>
      </c>
      <c r="G66" s="988">
        <v>185066</v>
      </c>
      <c r="H66" s="988">
        <v>181409</v>
      </c>
      <c r="I66" s="823">
        <f t="shared" si="5"/>
        <v>3657</v>
      </c>
      <c r="J66" s="988">
        <v>1512</v>
      </c>
      <c r="K66" s="782"/>
      <c r="L66" s="835"/>
    </row>
    <row r="67" spans="1:16" ht="15.6">
      <c r="A67" s="803">
        <v>397</v>
      </c>
      <c r="B67" s="814" t="s">
        <v>1124</v>
      </c>
      <c r="C67" s="804">
        <v>20</v>
      </c>
      <c r="D67" s="805" t="s">
        <v>1125</v>
      </c>
      <c r="E67" s="989">
        <v>9.4527786442824873</v>
      </c>
      <c r="F67" s="831">
        <f t="shared" si="2"/>
        <v>6.9806186355067135E-2</v>
      </c>
      <c r="G67" s="988">
        <v>50308247</v>
      </c>
      <c r="H67" s="988">
        <f>17760487</f>
        <v>17760487</v>
      </c>
      <c r="I67" s="823">
        <f t="shared" si="5"/>
        <v>32547760</v>
      </c>
      <c r="J67" s="988">
        <v>2272035</v>
      </c>
      <c r="K67" s="782"/>
      <c r="L67" s="780"/>
    </row>
    <row r="68" spans="1:16" ht="15.6">
      <c r="A68" s="803">
        <v>398</v>
      </c>
      <c r="B68" s="814" t="s">
        <v>1128</v>
      </c>
      <c r="C68" s="804">
        <v>15</v>
      </c>
      <c r="D68" s="805" t="s">
        <v>1116</v>
      </c>
      <c r="E68" s="989">
        <v>6.69044003024079</v>
      </c>
      <c r="F68" s="831">
        <f t="shared" si="2"/>
        <v>0.15978510656715</v>
      </c>
      <c r="G68" s="988">
        <v>1198075</v>
      </c>
      <c r="H68" s="988">
        <v>481813</v>
      </c>
      <c r="I68" s="823">
        <f t="shared" si="5"/>
        <v>716262</v>
      </c>
      <c r="J68" s="988">
        <v>114448</v>
      </c>
      <c r="K68" s="782"/>
      <c r="L68" s="780"/>
    </row>
    <row r="69" spans="1:16" ht="16.2" thickBot="1">
      <c r="A69" s="781"/>
      <c r="B69" s="809"/>
      <c r="C69" s="821"/>
      <c r="D69" s="821"/>
      <c r="E69" s="821"/>
      <c r="F69" s="821"/>
      <c r="G69" s="836">
        <f>SUM(G49:G68)</f>
        <v>747182637</v>
      </c>
      <c r="H69" s="836">
        <f>SUM(H49:H68)</f>
        <v>367544983</v>
      </c>
      <c r="I69" s="836">
        <f>SUM(I49:I68)</f>
        <v>379637654</v>
      </c>
      <c r="J69" s="836">
        <f>SUM(J49:J68)</f>
        <v>40639819</v>
      </c>
      <c r="K69" s="782"/>
      <c r="L69" s="780"/>
      <c r="M69" s="774"/>
      <c r="O69" s="775"/>
    </row>
    <row r="70" spans="1:16" ht="16.2" thickTop="1">
      <c r="A70" s="781"/>
      <c r="B70" s="809"/>
      <c r="C70" s="821"/>
      <c r="D70" s="821"/>
      <c r="E70" s="821"/>
      <c r="F70" s="821"/>
      <c r="G70" s="821"/>
      <c r="H70" s="827"/>
      <c r="I70" s="827"/>
      <c r="J70" s="827"/>
      <c r="K70" s="827"/>
      <c r="L70" s="780"/>
      <c r="N70" s="772"/>
      <c r="O70" s="776"/>
      <c r="P70" s="777"/>
    </row>
    <row r="71" spans="1:16" ht="15.6">
      <c r="A71" s="803"/>
      <c r="B71" s="837"/>
      <c r="C71" s="821"/>
      <c r="D71" s="821"/>
      <c r="E71" s="821"/>
      <c r="F71" s="821"/>
      <c r="G71" s="821"/>
      <c r="H71" s="827"/>
      <c r="I71" s="827"/>
      <c r="J71" s="827"/>
      <c r="K71" s="827"/>
      <c r="L71" s="780"/>
      <c r="O71" s="775"/>
      <c r="P71" s="771"/>
    </row>
    <row r="72" spans="1:16" s="778" customFormat="1" ht="18" customHeight="1">
      <c r="A72" s="838">
        <v>1</v>
      </c>
      <c r="B72" s="838" t="s">
        <v>1147</v>
      </c>
      <c r="C72" s="839"/>
      <c r="D72" s="839"/>
      <c r="E72" s="839"/>
      <c r="F72" s="839"/>
      <c r="G72" s="839"/>
      <c r="H72" s="840"/>
      <c r="I72" s="840"/>
      <c r="J72" s="840"/>
      <c r="K72" s="840"/>
      <c r="L72" s="839"/>
    </row>
    <row r="73" spans="1:16" s="778" customFormat="1" ht="33" customHeight="1">
      <c r="A73" s="838">
        <v>2</v>
      </c>
      <c r="B73" s="1039" t="s">
        <v>1235</v>
      </c>
      <c r="C73" s="1039"/>
      <c r="D73" s="1039"/>
      <c r="E73" s="1039"/>
      <c r="F73" s="1039"/>
      <c r="G73" s="1039"/>
      <c r="H73" s="1039"/>
      <c r="I73" s="1039"/>
      <c r="J73" s="1039"/>
      <c r="K73" s="1039"/>
      <c r="L73" s="839"/>
    </row>
    <row r="74" spans="1:16" s="778" customFormat="1" ht="15.6">
      <c r="A74" s="838">
        <v>3</v>
      </c>
      <c r="B74" s="1038" t="s">
        <v>1159</v>
      </c>
      <c r="C74" s="1038"/>
      <c r="D74" s="1038"/>
      <c r="E74" s="1038"/>
      <c r="F74" s="1038"/>
      <c r="G74" s="1038"/>
      <c r="H74" s="1038"/>
      <c r="I74" s="1038"/>
      <c r="J74" s="1038"/>
      <c r="K74" s="1038"/>
      <c r="L74" s="839"/>
    </row>
    <row r="75" spans="1:16" s="778" customFormat="1" ht="15.6">
      <c r="A75" s="838">
        <v>4</v>
      </c>
      <c r="B75" s="838" t="s">
        <v>1246</v>
      </c>
      <c r="C75" s="839"/>
      <c r="D75" s="839"/>
      <c r="E75" s="839"/>
      <c r="F75" s="839"/>
      <c r="G75" s="839"/>
      <c r="H75" s="840"/>
      <c r="I75" s="840"/>
      <c r="J75" s="840"/>
      <c r="K75" s="840"/>
      <c r="L75" s="839"/>
    </row>
    <row r="76" spans="1:16" s="778" customFormat="1" ht="15.6">
      <c r="A76" s="838">
        <v>5</v>
      </c>
      <c r="B76" s="838" t="s">
        <v>1160</v>
      </c>
      <c r="C76" s="839"/>
      <c r="D76" s="839"/>
      <c r="E76" s="839"/>
      <c r="F76" s="839"/>
      <c r="G76" s="839"/>
      <c r="H76" s="840"/>
      <c r="I76" s="840"/>
      <c r="J76" s="840"/>
      <c r="K76" s="840"/>
      <c r="L76" s="839"/>
    </row>
    <row r="77" spans="1:16" s="778" customFormat="1" ht="35.25" customHeight="1">
      <c r="A77" s="838">
        <v>6</v>
      </c>
      <c r="B77" s="1038" t="s">
        <v>1161</v>
      </c>
      <c r="C77" s="1038"/>
      <c r="D77" s="1038"/>
      <c r="E77" s="1038"/>
      <c r="F77" s="1038"/>
      <c r="G77" s="1038"/>
      <c r="H77" s="1038"/>
      <c r="I77" s="1038"/>
      <c r="J77" s="1038"/>
      <c r="K77" s="1038"/>
      <c r="L77" s="839"/>
    </row>
    <row r="78" spans="1:16" s="778" customFormat="1" ht="31.5" customHeight="1">
      <c r="A78" s="838">
        <v>7</v>
      </c>
      <c r="B78" s="1038" t="s">
        <v>1148</v>
      </c>
      <c r="C78" s="1038"/>
      <c r="D78" s="1038"/>
      <c r="E78" s="1038"/>
      <c r="F78" s="1038"/>
      <c r="G78" s="1038"/>
      <c r="H78" s="1038"/>
      <c r="I78" s="1038"/>
      <c r="J78" s="1038"/>
      <c r="K78" s="1038"/>
      <c r="L78" s="839"/>
    </row>
    <row r="79" spans="1:16" s="778" customFormat="1" ht="15.6">
      <c r="A79" s="838">
        <v>8</v>
      </c>
      <c r="B79" s="838" t="s">
        <v>1149</v>
      </c>
      <c r="C79" s="839"/>
      <c r="D79" s="839"/>
      <c r="E79" s="839"/>
      <c r="F79" s="839"/>
      <c r="G79" s="839"/>
      <c r="H79" s="840"/>
      <c r="I79" s="840"/>
      <c r="J79" s="840"/>
      <c r="K79" s="840"/>
      <c r="L79" s="839"/>
    </row>
    <row r="80" spans="1:16" ht="15.6">
      <c r="A80" s="838">
        <v>9</v>
      </c>
      <c r="B80" s="838" t="s">
        <v>1162</v>
      </c>
      <c r="C80" s="839"/>
      <c r="D80" s="839"/>
      <c r="E80" s="839"/>
      <c r="F80" s="839"/>
      <c r="G80" s="839"/>
      <c r="H80" s="840"/>
      <c r="I80" s="840"/>
      <c r="J80" s="840"/>
      <c r="K80" s="840"/>
      <c r="L80" s="839"/>
    </row>
    <row r="81" spans="1:12" ht="48" customHeight="1">
      <c r="A81" s="841">
        <v>10</v>
      </c>
      <c r="B81" s="1036" t="s">
        <v>1237</v>
      </c>
      <c r="C81" s="1036"/>
      <c r="D81" s="1036"/>
      <c r="E81" s="1036"/>
      <c r="F81" s="1036"/>
      <c r="G81" s="1036"/>
      <c r="H81" s="1036"/>
      <c r="I81" s="1036"/>
      <c r="J81" s="1036"/>
      <c r="K81" s="1036"/>
      <c r="L81" s="863"/>
    </row>
    <row r="82" spans="1:12" ht="36" customHeight="1">
      <c r="A82" s="841">
        <v>11</v>
      </c>
      <c r="B82" s="1043" t="s">
        <v>1346</v>
      </c>
      <c r="C82" s="1043"/>
      <c r="D82" s="1043"/>
      <c r="E82" s="1043"/>
      <c r="F82" s="1043"/>
      <c r="G82" s="1043"/>
      <c r="H82" s="1043"/>
      <c r="I82" s="1043"/>
      <c r="J82" s="1043"/>
      <c r="K82" s="1043"/>
      <c r="L82" s="780"/>
    </row>
    <row r="83" spans="1:12" ht="15.6">
      <c r="A83" s="780"/>
      <c r="B83" s="1036"/>
      <c r="C83" s="1036"/>
      <c r="D83" s="1036"/>
      <c r="E83" s="780"/>
      <c r="F83" s="780"/>
      <c r="G83" s="780"/>
      <c r="H83" s="782"/>
      <c r="I83" s="782"/>
      <c r="J83" s="782"/>
      <c r="K83" s="782"/>
      <c r="L83" s="780"/>
    </row>
    <row r="84" spans="1:12" ht="15.6">
      <c r="A84" s="780"/>
      <c r="B84" s="780"/>
      <c r="C84" s="780"/>
      <c r="D84" s="780"/>
      <c r="E84" s="780"/>
      <c r="F84" s="780"/>
      <c r="G84" s="780"/>
      <c r="H84" s="782"/>
      <c r="I84" s="782"/>
      <c r="J84" s="782"/>
      <c r="K84" s="782"/>
      <c r="L84" s="780"/>
    </row>
  </sheetData>
  <sheetProtection algorithmName="SHA-512" hashValue="UsooiiSd8ZsOd2P1DyhUa+r0D76MmYpWYSYVgHoZfxq4Gpn3B31bKGiOaCoj93cvSVjzLV0nPAiBmX2E8lgMdg==" saltValue="U8cfxEpNy1uAbqgaGIVm1Q==" spinCount="100000" sheet="1" objects="1" scenarios="1"/>
  <mergeCells count="12">
    <mergeCell ref="B83:D83"/>
    <mergeCell ref="A2:K2"/>
    <mergeCell ref="A3:K3"/>
    <mergeCell ref="B74:K74"/>
    <mergeCell ref="B78:K78"/>
    <mergeCell ref="B73:K73"/>
    <mergeCell ref="B77:K77"/>
    <mergeCell ref="G13:I13"/>
    <mergeCell ref="B81:K81"/>
    <mergeCell ref="B82:K82"/>
    <mergeCell ref="A45:K45"/>
    <mergeCell ref="A46:K46"/>
  </mergeCells>
  <pageMargins left="0.5" right="0.5" top="0.5" bottom="0.5" header="0.05" footer="0.05"/>
  <pageSetup paperSize="17" scale="88" fitToHeight="0" orientation="landscape"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48"/>
  <sheetViews>
    <sheetView tabSelected="1" zoomScale="80" zoomScaleNormal="80" zoomScaleSheetLayoutView="80" workbookViewId="0"/>
  </sheetViews>
  <sheetFormatPr defaultColWidth="8.90625" defaultRowHeight="13.2"/>
  <cols>
    <col min="1" max="1" width="5.81640625" style="115" customWidth="1"/>
    <col min="2" max="2" width="56" style="115" customWidth="1"/>
    <col min="3" max="3" width="47.453125" style="115" bestFit="1" customWidth="1"/>
    <col min="4" max="4" width="16.36328125" style="115" customWidth="1"/>
    <col min="5" max="5" width="5.81640625" style="115" customWidth="1"/>
    <col min="6" max="6" width="7.36328125" style="115" customWidth="1"/>
    <col min="7" max="7" width="16.81640625" style="115" customWidth="1"/>
    <col min="8" max="8" width="4.90625" style="115" customWidth="1"/>
    <col min="9" max="9" width="16.36328125" style="115" customWidth="1"/>
    <col min="10" max="10" width="2.6328125" style="115" customWidth="1"/>
    <col min="11" max="11" width="11.453125" style="115" customWidth="1"/>
    <col min="12" max="12" width="14.453125" style="115" bestFit="1" customWidth="1"/>
    <col min="13" max="13" width="14.6328125" style="115" bestFit="1" customWidth="1"/>
    <col min="14" max="16384" width="8.90625" style="115"/>
  </cols>
  <sheetData>
    <row r="1" spans="1:13">
      <c r="A1" s="18"/>
      <c r="B1" s="18"/>
      <c r="C1" s="733"/>
      <c r="D1" s="18"/>
      <c r="E1" s="18"/>
      <c r="F1" s="18"/>
      <c r="G1" s="18"/>
      <c r="H1" s="18"/>
      <c r="I1" s="18"/>
      <c r="J1" s="18"/>
      <c r="K1" s="380" t="s">
        <v>107</v>
      </c>
    </row>
    <row r="2" spans="1:13">
      <c r="A2" s="18"/>
      <c r="B2" s="18" t="s">
        <v>1062</v>
      </c>
      <c r="C2" s="18"/>
      <c r="D2" s="18"/>
      <c r="E2" s="18"/>
      <c r="F2" s="18"/>
      <c r="G2" s="18"/>
      <c r="H2" s="18"/>
      <c r="I2" s="18"/>
      <c r="J2" s="18"/>
      <c r="K2" s="18"/>
    </row>
    <row r="3" spans="1:13">
      <c r="A3" s="7"/>
      <c r="B3" s="81" t="s">
        <v>1</v>
      </c>
      <c r="C3" s="381"/>
      <c r="D3" s="194" t="s">
        <v>76</v>
      </c>
      <c r="E3" s="81"/>
      <c r="F3" s="81"/>
      <c r="G3" s="81"/>
      <c r="H3" s="220"/>
      <c r="I3" s="18"/>
      <c r="J3" s="82"/>
      <c r="K3" s="761" t="s">
        <v>1353</v>
      </c>
    </row>
    <row r="4" spans="1:13">
      <c r="A4" s="7"/>
      <c r="C4" s="8"/>
      <c r="D4" s="103" t="s">
        <v>103</v>
      </c>
      <c r="E4" s="8"/>
      <c r="F4" s="8"/>
      <c r="G4" s="8"/>
      <c r="H4" s="220"/>
      <c r="I4" s="220"/>
      <c r="J4" s="82"/>
      <c r="K4" s="82"/>
    </row>
    <row r="5" spans="1:13" ht="15.6">
      <c r="A5" s="7"/>
      <c r="B5" s="382"/>
      <c r="C5" s="82"/>
      <c r="D5" s="561" t="s">
        <v>729</v>
      </c>
      <c r="E5" s="82"/>
      <c r="F5" s="82"/>
      <c r="G5" s="82"/>
      <c r="H5" s="82"/>
      <c r="I5" s="82"/>
      <c r="J5" s="82"/>
      <c r="K5" s="82"/>
    </row>
    <row r="6" spans="1:13" ht="13.8">
      <c r="B6" s="382"/>
      <c r="J6" s="105"/>
      <c r="K6" s="105"/>
    </row>
    <row r="7" spans="1:13">
      <c r="A7" s="194"/>
      <c r="C7" s="82"/>
      <c r="D7" s="106"/>
      <c r="E7" s="82"/>
      <c r="F7" s="82"/>
      <c r="G7" s="82"/>
      <c r="H7" s="82"/>
      <c r="I7" s="372"/>
      <c r="J7" s="82"/>
      <c r="K7" s="82"/>
    </row>
    <row r="8" spans="1:13">
      <c r="A8" s="194"/>
      <c r="B8" s="223" t="s">
        <v>3</v>
      </c>
      <c r="C8" s="223" t="s">
        <v>4</v>
      </c>
      <c r="D8" s="223" t="s">
        <v>5</v>
      </c>
      <c r="E8" s="8" t="s">
        <v>2</v>
      </c>
      <c r="F8" s="8"/>
      <c r="G8" s="106" t="s">
        <v>6</v>
      </c>
      <c r="H8" s="8"/>
      <c r="I8" s="109" t="s">
        <v>7</v>
      </c>
      <c r="J8" s="82"/>
      <c r="K8" s="82"/>
    </row>
    <row r="9" spans="1:13">
      <c r="A9" s="194" t="s">
        <v>8</v>
      </c>
      <c r="B9" s="82"/>
      <c r="C9" s="82"/>
      <c r="D9" s="104"/>
      <c r="E9" s="82"/>
      <c r="F9" s="82"/>
      <c r="G9" s="82"/>
      <c r="H9" s="82"/>
      <c r="I9" s="383" t="s">
        <v>9</v>
      </c>
      <c r="J9" s="82"/>
      <c r="K9" s="82"/>
    </row>
    <row r="10" spans="1:13" ht="13.8" thickBot="1">
      <c r="A10" s="377" t="s">
        <v>10</v>
      </c>
      <c r="B10" s="82"/>
      <c r="C10" s="82"/>
      <c r="D10" s="82"/>
      <c r="E10" s="82"/>
      <c r="F10" s="82"/>
      <c r="G10" s="82"/>
      <c r="H10" s="82"/>
      <c r="I10" s="384" t="s">
        <v>11</v>
      </c>
      <c r="J10" s="82"/>
      <c r="K10" s="82"/>
    </row>
    <row r="11" spans="1:13">
      <c r="A11" s="194">
        <v>1</v>
      </c>
      <c r="B11" s="82" t="s">
        <v>222</v>
      </c>
      <c r="C11" s="82" t="str">
        <f>"(page 3, line "&amp;A164&amp;")"</f>
        <v>(page 3, line 48)</v>
      </c>
      <c r="D11" s="385"/>
      <c r="E11" s="82"/>
      <c r="F11" s="82"/>
      <c r="G11" s="82"/>
      <c r="H11" s="82"/>
      <c r="I11" s="372">
        <f>+I164</f>
        <v>199048237.55293682</v>
      </c>
      <c r="J11" s="82"/>
      <c r="K11" s="779"/>
    </row>
    <row r="12" spans="1:13">
      <c r="A12" s="194"/>
      <c r="B12" s="82"/>
      <c r="C12" s="82"/>
      <c r="D12" s="82"/>
      <c r="E12" s="82"/>
      <c r="F12" s="82"/>
      <c r="G12" s="82"/>
      <c r="H12" s="82"/>
      <c r="I12" s="372"/>
      <c r="J12" s="82"/>
      <c r="K12" s="372"/>
    </row>
    <row r="13" spans="1:13" ht="13.8" thickBot="1">
      <c r="A13" s="194" t="s">
        <v>2</v>
      </c>
      <c r="C13" s="8"/>
      <c r="D13" s="377" t="s">
        <v>13</v>
      </c>
      <c r="E13" s="8"/>
      <c r="F13" s="386" t="s">
        <v>14</v>
      </c>
      <c r="G13" s="386"/>
      <c r="H13" s="82"/>
      <c r="I13" s="372"/>
      <c r="J13" s="82"/>
      <c r="K13" s="372"/>
    </row>
    <row r="14" spans="1:13">
      <c r="A14" s="194">
        <f>+A11+1</f>
        <v>2</v>
      </c>
      <c r="B14" s="9" t="s">
        <v>12</v>
      </c>
      <c r="C14" s="8" t="str">
        <f>"Attachment 5A, line "&amp;'5A - Revenue Credits'!A24</f>
        <v>Attachment 5A, line 15</v>
      </c>
      <c r="D14" s="83">
        <f>+'5A - Revenue Credits'!D24</f>
        <v>9644900.9574378915</v>
      </c>
      <c r="E14" s="8"/>
      <c r="F14" s="8" t="s">
        <v>15</v>
      </c>
      <c r="G14" s="228">
        <f>I183</f>
        <v>1</v>
      </c>
      <c r="H14" s="96"/>
      <c r="I14" s="95">
        <f>+'5A - Revenue Credits'!D24</f>
        <v>9644900.9574378915</v>
      </c>
      <c r="J14" s="82"/>
      <c r="K14" s="372"/>
    </row>
    <row r="15" spans="1:13" ht="13.8" thickBot="1">
      <c r="A15" s="194"/>
      <c r="B15" s="84"/>
      <c r="C15" s="387"/>
      <c r="D15" s="95"/>
      <c r="E15" s="8"/>
      <c r="F15" s="8"/>
      <c r="G15" s="83"/>
      <c r="H15" s="96"/>
      <c r="I15" s="98"/>
      <c r="J15" s="82"/>
      <c r="K15" s="372"/>
    </row>
    <row r="16" spans="1:13" ht="13.8" thickBot="1">
      <c r="A16" s="194">
        <f>+A14+1</f>
        <v>3</v>
      </c>
      <c r="B16" s="9" t="s">
        <v>16</v>
      </c>
      <c r="C16" s="82" t="s">
        <v>689</v>
      </c>
      <c r="D16" s="388" t="s">
        <v>2</v>
      </c>
      <c r="E16" s="8"/>
      <c r="F16" s="8"/>
      <c r="G16" s="8"/>
      <c r="H16" s="8"/>
      <c r="I16" s="389">
        <f>+I11-I14</f>
        <v>189403336.59549892</v>
      </c>
      <c r="J16" s="82"/>
      <c r="K16" s="702"/>
      <c r="M16" s="390"/>
    </row>
    <row r="17" spans="1:13" ht="13.8" thickTop="1">
      <c r="A17" s="194"/>
      <c r="B17" s="7"/>
      <c r="C17" s="82"/>
      <c r="D17" s="388"/>
      <c r="E17" s="8"/>
      <c r="F17" s="8"/>
      <c r="G17" s="8"/>
      <c r="H17" s="8"/>
      <c r="I17" s="95"/>
      <c r="J17" s="82"/>
      <c r="K17" s="82"/>
      <c r="M17" s="391"/>
    </row>
    <row r="18" spans="1:13">
      <c r="A18" s="194">
        <f>+A16+1</f>
        <v>4</v>
      </c>
      <c r="B18" s="7" t="s">
        <v>478</v>
      </c>
      <c r="C18" s="392" t="s">
        <v>1174</v>
      </c>
      <c r="D18" s="393"/>
      <c r="E18" s="394"/>
      <c r="F18" s="394"/>
      <c r="G18" s="394"/>
      <c r="H18" s="394"/>
      <c r="I18" s="218">
        <f>+'1-Project Rev Req'!Q95-'1-Project Rev Req'!Q66</f>
        <v>32814704.802277982</v>
      </c>
      <c r="J18" s="85"/>
      <c r="K18" s="85"/>
      <c r="M18" s="391"/>
    </row>
    <row r="19" spans="1:13">
      <c r="A19" s="194">
        <f>+A18+1</f>
        <v>5</v>
      </c>
      <c r="B19" s="97" t="s">
        <v>480</v>
      </c>
      <c r="C19" s="392" t="s">
        <v>1175</v>
      </c>
      <c r="D19" s="393"/>
      <c r="E19" s="394"/>
      <c r="F19" s="394"/>
      <c r="G19" s="394"/>
      <c r="H19" s="394"/>
      <c r="I19" s="218">
        <f>+'1-Project Rev Req'!R95-'1-Project Rev Req'!R66</f>
        <v>0</v>
      </c>
      <c r="J19" s="85"/>
      <c r="K19" s="85"/>
      <c r="M19" s="391"/>
    </row>
    <row r="20" spans="1:13">
      <c r="A20" s="194">
        <f>+A19+1</f>
        <v>6</v>
      </c>
      <c r="B20" s="7" t="s">
        <v>481</v>
      </c>
      <c r="C20" s="392" t="s">
        <v>1176</v>
      </c>
      <c r="D20" s="393"/>
      <c r="E20" s="394"/>
      <c r="F20" s="394"/>
      <c r="G20" s="394"/>
      <c r="H20" s="394"/>
      <c r="I20" s="218">
        <f>+'1-Project Rev Req'!S95-'1-Project Rev Req'!S66</f>
        <v>32814704.802277982</v>
      </c>
      <c r="J20" s="85"/>
      <c r="K20" s="85"/>
      <c r="M20" s="391"/>
    </row>
    <row r="21" spans="1:13">
      <c r="A21" s="395"/>
      <c r="C21" s="239"/>
      <c r="D21" s="15"/>
      <c r="E21" s="392"/>
      <c r="F21" s="396"/>
      <c r="G21" s="397"/>
      <c r="H21" s="392"/>
      <c r="I21" s="218"/>
      <c r="J21" s="180"/>
      <c r="K21" s="85"/>
    </row>
    <row r="22" spans="1:13">
      <c r="A22" s="395">
        <f>+A20+1</f>
        <v>7</v>
      </c>
      <c r="B22" s="7" t="s">
        <v>479</v>
      </c>
      <c r="C22" s="392" t="s">
        <v>1245</v>
      </c>
      <c r="D22" s="93"/>
      <c r="E22" s="93"/>
      <c r="F22" s="93"/>
      <c r="G22" s="93"/>
      <c r="H22" s="93"/>
      <c r="I22" s="218">
        <f>+'1-Project Rev Req'!Q66-I14</f>
        <v>156588631.79322082</v>
      </c>
      <c r="J22" s="180"/>
      <c r="K22" s="337"/>
    </row>
    <row r="23" spans="1:13">
      <c r="A23" s="395">
        <f>+A22+1</f>
        <v>8</v>
      </c>
      <c r="B23" s="97" t="s">
        <v>483</v>
      </c>
      <c r="C23" s="392" t="s">
        <v>839</v>
      </c>
      <c r="D23" s="93"/>
      <c r="E23" s="92"/>
      <c r="F23" s="92"/>
      <c r="G23" s="92"/>
      <c r="H23" s="92"/>
      <c r="I23" s="398">
        <f>+'1-Project Rev Req'!R66</f>
        <v>0</v>
      </c>
      <c r="J23" s="180"/>
      <c r="K23" s="85"/>
    </row>
    <row r="24" spans="1:13">
      <c r="A24" s="395">
        <f>+A23+1</f>
        <v>9</v>
      </c>
      <c r="B24" s="7" t="s">
        <v>482</v>
      </c>
      <c r="C24" s="392" t="s">
        <v>1258</v>
      </c>
      <c r="D24" s="85"/>
      <c r="E24" s="85"/>
      <c r="F24" s="87"/>
      <c r="G24" s="88"/>
      <c r="H24" s="85"/>
      <c r="I24" s="191">
        <f>+I22+I23</f>
        <v>156588631.79322082</v>
      </c>
      <c r="J24" s="85"/>
      <c r="K24" s="337"/>
    </row>
    <row r="25" spans="1:13">
      <c r="A25" s="86"/>
      <c r="B25" s="89"/>
      <c r="C25" s="85"/>
      <c r="D25" s="85"/>
      <c r="E25" s="85"/>
      <c r="F25" s="87"/>
      <c r="G25" s="88"/>
      <c r="H25" s="85"/>
      <c r="I25" s="84"/>
      <c r="J25" s="85"/>
      <c r="K25" s="85"/>
    </row>
    <row r="26" spans="1:13">
      <c r="A26" s="86">
        <v>10</v>
      </c>
      <c r="B26" s="84" t="s">
        <v>706</v>
      </c>
      <c r="C26" s="85" t="s">
        <v>840</v>
      </c>
      <c r="D26" s="85"/>
      <c r="E26" s="85"/>
      <c r="F26" s="85"/>
      <c r="G26" s="88"/>
      <c r="H26" s="85"/>
      <c r="I26" s="191">
        <f>+'1-Project Rev Req'!P95</f>
        <v>0</v>
      </c>
      <c r="J26" s="85"/>
      <c r="K26" s="85"/>
    </row>
    <row r="27" spans="1:13">
      <c r="A27" s="86"/>
      <c r="B27" s="84"/>
      <c r="C27" s="85"/>
      <c r="D27" s="85"/>
      <c r="E27" s="85"/>
      <c r="F27" s="85"/>
      <c r="G27" s="88"/>
      <c r="H27" s="85"/>
      <c r="I27" s="84"/>
      <c r="J27" s="85"/>
      <c r="K27" s="85"/>
    </row>
    <row r="28" spans="1:13">
      <c r="A28" s="86">
        <v>11</v>
      </c>
      <c r="B28" s="89" t="s">
        <v>1248</v>
      </c>
      <c r="C28" s="85" t="s">
        <v>1249</v>
      </c>
      <c r="D28" s="90"/>
      <c r="E28" s="90"/>
      <c r="F28" s="90"/>
      <c r="G28" s="90"/>
      <c r="H28" s="90"/>
      <c r="I28" s="852">
        <v>8607.8809999999994</v>
      </c>
      <c r="J28" s="90"/>
      <c r="K28" s="85"/>
    </row>
    <row r="29" spans="1:13">
      <c r="A29" s="194"/>
      <c r="B29" s="9"/>
      <c r="C29" s="82"/>
      <c r="D29" s="91"/>
      <c r="E29" s="91"/>
      <c r="F29" s="91"/>
      <c r="G29" s="91"/>
      <c r="H29" s="91"/>
      <c r="I29" s="91"/>
      <c r="J29" s="91"/>
      <c r="K29" s="82"/>
    </row>
    <row r="30" spans="1:13">
      <c r="A30" s="194">
        <v>12</v>
      </c>
      <c r="B30" s="9" t="s">
        <v>1250</v>
      </c>
      <c r="C30" s="82" t="s">
        <v>1251</v>
      </c>
      <c r="D30" s="91"/>
      <c r="E30" s="91"/>
      <c r="F30" s="91"/>
      <c r="G30" s="91"/>
      <c r="H30" s="91"/>
      <c r="I30" s="866">
        <f>+I24/I28</f>
        <v>18191.310009190511</v>
      </c>
      <c r="J30" s="91"/>
      <c r="K30" s="82"/>
    </row>
    <row r="31" spans="1:13">
      <c r="A31" s="194"/>
      <c r="B31" s="9"/>
      <c r="C31" s="82"/>
      <c r="D31" s="851"/>
      <c r="E31" s="91"/>
      <c r="F31" s="91"/>
      <c r="G31" s="91"/>
      <c r="H31" s="91"/>
      <c r="I31" s="91"/>
      <c r="J31" s="91"/>
      <c r="K31" s="82"/>
    </row>
    <row r="32" spans="1:13">
      <c r="A32" s="194"/>
      <c r="B32" s="9"/>
      <c r="C32" s="82"/>
      <c r="D32" s="91"/>
      <c r="E32" s="91"/>
      <c r="F32" s="91"/>
      <c r="G32" s="91"/>
      <c r="H32" s="91"/>
      <c r="I32" s="91"/>
      <c r="J32" s="91"/>
      <c r="K32" s="82"/>
    </row>
    <row r="33" spans="1:11">
      <c r="A33" s="194"/>
      <c r="B33" s="9"/>
      <c r="C33" s="82"/>
      <c r="D33" s="91"/>
      <c r="E33" s="91"/>
      <c r="F33" s="91"/>
      <c r="G33" s="91"/>
      <c r="H33" s="91"/>
      <c r="I33" s="91"/>
      <c r="J33" s="91"/>
      <c r="K33" s="82"/>
    </row>
    <row r="34" spans="1:11">
      <c r="A34" s="194"/>
      <c r="B34" s="9"/>
      <c r="C34" s="82"/>
      <c r="D34" s="91"/>
      <c r="E34" s="91"/>
      <c r="F34" s="91"/>
      <c r="G34" s="91"/>
      <c r="H34" s="91"/>
      <c r="I34" s="91"/>
      <c r="J34" s="91"/>
      <c r="K34" s="82"/>
    </row>
    <row r="35" spans="1:11">
      <c r="A35" s="7"/>
      <c r="B35" s="9"/>
      <c r="C35" s="82"/>
      <c r="D35" s="82"/>
      <c r="E35" s="82"/>
      <c r="F35" s="82"/>
      <c r="G35" s="82"/>
      <c r="H35" s="82"/>
      <c r="I35" s="399"/>
      <c r="J35" s="82"/>
      <c r="K35" s="400" t="s">
        <v>110</v>
      </c>
    </row>
    <row r="36" spans="1:11">
      <c r="A36" s="7"/>
      <c r="B36" s="82"/>
      <c r="C36" s="82"/>
      <c r="D36" s="82"/>
      <c r="E36" s="82"/>
      <c r="F36" s="82"/>
      <c r="G36" s="82"/>
      <c r="H36" s="82"/>
      <c r="I36" s="82"/>
      <c r="J36" s="82"/>
      <c r="K36" s="82"/>
    </row>
    <row r="37" spans="1:11">
      <c r="A37" s="7"/>
      <c r="B37" s="9" t="s">
        <v>1</v>
      </c>
      <c r="C37" s="9"/>
      <c r="D37" s="223" t="s">
        <v>76</v>
      </c>
      <c r="E37" s="9"/>
      <c r="F37" s="9"/>
      <c r="G37" s="9"/>
      <c r="H37" s="9"/>
      <c r="I37" s="18"/>
      <c r="J37" s="9"/>
      <c r="K37" s="400" t="str">
        <f>K3</f>
        <v>For  the 12 months ended 12/31/2018</v>
      </c>
    </row>
    <row r="38" spans="1:11">
      <c r="A38" s="7"/>
      <c r="B38" s="9"/>
      <c r="C38" s="8"/>
      <c r="D38" s="103" t="s">
        <v>103</v>
      </c>
      <c r="E38" s="8"/>
      <c r="F38" s="8"/>
      <c r="G38" s="8"/>
      <c r="H38" s="8"/>
      <c r="I38" s="8"/>
      <c r="J38" s="8"/>
      <c r="K38" s="8"/>
    </row>
    <row r="39" spans="1:11">
      <c r="A39" s="7"/>
      <c r="B39" s="9"/>
      <c r="C39" s="8"/>
      <c r="D39" s="103" t="str">
        <f>+D5</f>
        <v>PECO Energy Company</v>
      </c>
      <c r="E39" s="8"/>
      <c r="F39" s="8"/>
      <c r="G39" s="8" t="s">
        <v>2</v>
      </c>
      <c r="H39" s="8"/>
      <c r="I39" s="8"/>
      <c r="J39" s="8"/>
      <c r="K39" s="8"/>
    </row>
    <row r="40" spans="1:11">
      <c r="A40" s="990"/>
      <c r="B40" s="990"/>
      <c r="C40" s="990"/>
      <c r="D40" s="990"/>
      <c r="E40" s="990"/>
      <c r="F40" s="990"/>
      <c r="G40" s="990"/>
      <c r="H40" s="990"/>
      <c r="I40" s="990"/>
      <c r="J40" s="990"/>
      <c r="K40" s="990"/>
    </row>
    <row r="41" spans="1:11">
      <c r="A41" s="7"/>
      <c r="B41" s="223" t="s">
        <v>3</v>
      </c>
      <c r="C41" s="223" t="s">
        <v>4</v>
      </c>
      <c r="D41" s="223" t="s">
        <v>5</v>
      </c>
      <c r="E41" s="8" t="s">
        <v>2</v>
      </c>
      <c r="F41" s="8"/>
      <c r="G41" s="106" t="s">
        <v>6</v>
      </c>
      <c r="H41" s="8"/>
      <c r="I41" s="106" t="s">
        <v>7</v>
      </c>
      <c r="J41" s="8"/>
      <c r="K41" s="223"/>
    </row>
    <row r="42" spans="1:11">
      <c r="A42" s="7"/>
      <c r="B42" s="9"/>
      <c r="C42" s="401"/>
      <c r="D42" s="8"/>
      <c r="E42" s="8"/>
      <c r="F42" s="8"/>
      <c r="G42" s="194"/>
      <c r="H42" s="8"/>
      <c r="I42" s="402" t="s">
        <v>17</v>
      </c>
      <c r="J42" s="8"/>
      <c r="K42" s="223"/>
    </row>
    <row r="43" spans="1:11">
      <c r="A43" s="194" t="s">
        <v>8</v>
      </c>
      <c r="B43" s="9"/>
      <c r="C43" s="403" t="s">
        <v>214</v>
      </c>
      <c r="D43" s="402" t="s">
        <v>19</v>
      </c>
      <c r="E43" s="404"/>
      <c r="F43" s="402" t="s">
        <v>20</v>
      </c>
      <c r="G43" s="7"/>
      <c r="H43" s="404"/>
      <c r="I43" s="194" t="s">
        <v>21</v>
      </c>
      <c r="J43" s="8"/>
      <c r="K43" s="223"/>
    </row>
    <row r="44" spans="1:11" ht="13.8" thickBot="1">
      <c r="A44" s="377" t="s">
        <v>10</v>
      </c>
      <c r="B44" s="405" t="s">
        <v>333</v>
      </c>
      <c r="C44" s="8"/>
      <c r="D44" s="8"/>
      <c r="E44" s="8"/>
      <c r="F44" s="8"/>
      <c r="G44" s="8"/>
      <c r="H44" s="8"/>
      <c r="I44" s="8"/>
      <c r="J44" s="8"/>
      <c r="K44" s="8"/>
    </row>
    <row r="45" spans="1:11">
      <c r="A45" s="194"/>
      <c r="B45" s="9" t="s">
        <v>386</v>
      </c>
      <c r="C45" s="8"/>
      <c r="D45" s="8"/>
      <c r="E45" s="8"/>
      <c r="F45" s="8"/>
      <c r="G45" s="8"/>
      <c r="H45" s="8"/>
      <c r="I45" s="8"/>
      <c r="J45" s="8"/>
      <c r="K45" s="8"/>
    </row>
    <row r="46" spans="1:11">
      <c r="A46" s="194">
        <v>1</v>
      </c>
      <c r="B46" s="9" t="s">
        <v>275</v>
      </c>
      <c r="C46" s="96" t="s">
        <v>463</v>
      </c>
      <c r="D46" s="554">
        <v>0</v>
      </c>
      <c r="E46" s="8"/>
      <c r="F46" s="8" t="s">
        <v>22</v>
      </c>
      <c r="G46" s="406" t="s">
        <v>2</v>
      </c>
      <c r="H46" s="8"/>
      <c r="I46" s="95">
        <v>0</v>
      </c>
      <c r="J46" s="8"/>
      <c r="K46" s="8"/>
    </row>
    <row r="47" spans="1:11">
      <c r="A47" s="194">
        <f>+A46+1</f>
        <v>2</v>
      </c>
      <c r="B47" s="9" t="s">
        <v>23</v>
      </c>
      <c r="C47" s="96" t="s">
        <v>277</v>
      </c>
      <c r="D47" s="95">
        <f>'4- Rate Base'!C24</f>
        <v>1568082822.8461537</v>
      </c>
      <c r="E47" s="8"/>
      <c r="F47" s="8" t="s">
        <v>15</v>
      </c>
      <c r="G47" s="228">
        <f>I183</f>
        <v>1</v>
      </c>
      <c r="H47" s="96"/>
      <c r="I47" s="95">
        <f>+G47*D47</f>
        <v>1568082822.8461537</v>
      </c>
      <c r="J47" s="8"/>
      <c r="K47" s="8"/>
    </row>
    <row r="48" spans="1:11">
      <c r="A48" s="194">
        <f>+A47+1</f>
        <v>3</v>
      </c>
      <c r="B48" s="9" t="s">
        <v>276</v>
      </c>
      <c r="C48" s="96" t="s">
        <v>279</v>
      </c>
      <c r="D48" s="554">
        <v>6155245144.8461542</v>
      </c>
      <c r="E48" s="8"/>
      <c r="F48" s="8" t="s">
        <v>22</v>
      </c>
      <c r="G48" s="228">
        <v>0</v>
      </c>
      <c r="H48" s="96"/>
      <c r="I48" s="95">
        <f>+G48*D48</f>
        <v>0</v>
      </c>
      <c r="J48" s="8"/>
      <c r="K48" s="8"/>
    </row>
    <row r="49" spans="1:11">
      <c r="A49" s="194">
        <f>+A48+1</f>
        <v>4</v>
      </c>
      <c r="B49" s="9" t="s">
        <v>768</v>
      </c>
      <c r="C49" s="96" t="s">
        <v>278</v>
      </c>
      <c r="D49" s="95">
        <f>'4- Rate Base'!D24</f>
        <v>261942238.76923078</v>
      </c>
      <c r="E49" s="8"/>
      <c r="F49" s="8" t="s">
        <v>24</v>
      </c>
      <c r="G49" s="228">
        <f>I191</f>
        <v>9.880621410235467E-2</v>
      </c>
      <c r="H49" s="96"/>
      <c r="I49" s="95">
        <f>+G49*D49</f>
        <v>25881520.926282726</v>
      </c>
      <c r="J49" s="8"/>
      <c r="K49" s="8"/>
    </row>
    <row r="50" spans="1:11">
      <c r="A50" s="194">
        <f t="shared" ref="A50:A51" si="0">+A49+1</f>
        <v>5</v>
      </c>
      <c r="B50" s="9" t="s">
        <v>769</v>
      </c>
      <c r="C50" s="96" t="s">
        <v>1177</v>
      </c>
      <c r="D50" s="95">
        <f>+'4D - Intangible Pnt'!T27</f>
        <v>155975562.36230773</v>
      </c>
      <c r="E50" s="8"/>
      <c r="F50" s="8" t="s">
        <v>80</v>
      </c>
      <c r="G50" s="228"/>
      <c r="H50" s="96"/>
      <c r="I50" s="218">
        <f>'4D - Intangible Pnt'!T29</f>
        <v>15185838.642124834</v>
      </c>
      <c r="J50" s="8"/>
      <c r="K50" s="8"/>
    </row>
    <row r="51" spans="1:11">
      <c r="A51" s="194">
        <f t="shared" si="0"/>
        <v>6</v>
      </c>
      <c r="B51" s="9" t="s">
        <v>1242</v>
      </c>
      <c r="C51" s="96" t="s">
        <v>1178</v>
      </c>
      <c r="D51" s="218">
        <f>'4- Rate Base'!E24</f>
        <v>564826965.13279998</v>
      </c>
      <c r="E51" s="8"/>
      <c r="F51" s="8" t="str">
        <f>F49</f>
        <v>W/S</v>
      </c>
      <c r="G51" s="228">
        <f>G49</f>
        <v>9.880621410235467E-2</v>
      </c>
      <c r="H51" s="96"/>
      <c r="I51" s="218">
        <f>+G51*D51</f>
        <v>55808414.047694653</v>
      </c>
      <c r="J51" s="8"/>
      <c r="K51" s="8"/>
    </row>
    <row r="52" spans="1:11" ht="13.8" thickBot="1">
      <c r="A52" s="194">
        <f t="shared" ref="A52:A53" si="1">+A51+1</f>
        <v>7</v>
      </c>
      <c r="B52" s="9" t="s">
        <v>1244</v>
      </c>
      <c r="C52" s="8" t="s">
        <v>1179</v>
      </c>
      <c r="D52" s="98">
        <f>-'4E COA'!H34</f>
        <v>-2964783.6699864618</v>
      </c>
      <c r="E52" s="8"/>
      <c r="F52" s="8" t="str">
        <f>F51</f>
        <v>W/S</v>
      </c>
      <c r="G52" s="228">
        <f>G51</f>
        <v>9.880621410235467E-2</v>
      </c>
      <c r="H52" s="96"/>
      <c r="I52" s="98">
        <f>D52*G52</f>
        <v>-292939.05006384716</v>
      </c>
      <c r="J52" s="8"/>
      <c r="K52" s="8"/>
    </row>
    <row r="53" spans="1:11">
      <c r="A53" s="194">
        <f t="shared" si="1"/>
        <v>8</v>
      </c>
      <c r="B53" s="81" t="s">
        <v>226</v>
      </c>
      <c r="C53" s="8" t="s">
        <v>1180</v>
      </c>
      <c r="D53" s="95">
        <f>SUM(D46:D52)</f>
        <v>8703107950.2866592</v>
      </c>
      <c r="E53" s="8"/>
      <c r="F53" s="8" t="s">
        <v>25</v>
      </c>
      <c r="G53" s="570">
        <f>IF(I53&gt;0,I53/D53,0)</f>
        <v>0.19127255078541938</v>
      </c>
      <c r="H53" s="96"/>
      <c r="I53" s="95">
        <f>SUM(I46:I52)</f>
        <v>1664665657.4121921</v>
      </c>
      <c r="J53" s="8"/>
      <c r="K53" s="195"/>
    </row>
    <row r="54" spans="1:11">
      <c r="A54" s="194"/>
      <c r="B54" s="9"/>
      <c r="C54" s="8"/>
      <c r="D54" s="95"/>
      <c r="E54" s="8"/>
      <c r="F54" s="8"/>
      <c r="G54" s="533"/>
      <c r="H54" s="8"/>
      <c r="I54" s="95"/>
      <c r="J54" s="8"/>
      <c r="K54" s="195"/>
    </row>
    <row r="55" spans="1:11">
      <c r="A55" s="194">
        <f>+A53+1</f>
        <v>9</v>
      </c>
      <c r="B55" s="9" t="s">
        <v>387</v>
      </c>
      <c r="C55" s="8"/>
      <c r="D55" s="95"/>
      <c r="E55" s="8"/>
      <c r="F55" s="8"/>
      <c r="G55" s="228"/>
      <c r="H55" s="8"/>
      <c r="I55" s="95"/>
      <c r="J55" s="8"/>
      <c r="K55" s="8"/>
    </row>
    <row r="56" spans="1:11">
      <c r="A56" s="194">
        <f>+A55+1</f>
        <v>10</v>
      </c>
      <c r="B56" s="9" t="s">
        <v>275</v>
      </c>
      <c r="C56" s="8" t="s">
        <v>280</v>
      </c>
      <c r="D56" s="554">
        <v>0</v>
      </c>
      <c r="E56" s="8"/>
      <c r="F56" s="8" t="s">
        <v>22</v>
      </c>
      <c r="G56" s="228" t="s">
        <v>2</v>
      </c>
      <c r="H56" s="8"/>
      <c r="I56" s="95">
        <v>0</v>
      </c>
      <c r="J56" s="8"/>
      <c r="K56" s="8"/>
    </row>
    <row r="57" spans="1:11">
      <c r="A57" s="194">
        <f>+A56+1</f>
        <v>11</v>
      </c>
      <c r="B57" s="9" t="s">
        <v>23</v>
      </c>
      <c r="C57" s="8" t="s">
        <v>283</v>
      </c>
      <c r="D57" s="95">
        <f>'4- Rate Base'!J24</f>
        <v>495659289.60034472</v>
      </c>
      <c r="E57" s="8"/>
      <c r="F57" s="8" t="s">
        <v>15</v>
      </c>
      <c r="G57" s="228">
        <f>+G47</f>
        <v>1</v>
      </c>
      <c r="H57" s="96"/>
      <c r="I57" s="95">
        <f>+G57*D57</f>
        <v>495659289.60034472</v>
      </c>
      <c r="J57" s="8"/>
      <c r="K57" s="8"/>
    </row>
    <row r="58" spans="1:11">
      <c r="A58" s="194">
        <f>+A57+1</f>
        <v>12</v>
      </c>
      <c r="B58" s="9" t="s">
        <v>276</v>
      </c>
      <c r="C58" s="8" t="s">
        <v>281</v>
      </c>
      <c r="D58" s="554">
        <v>1697405628.049021</v>
      </c>
      <c r="E58" s="8"/>
      <c r="F58" s="8" t="s">
        <v>22</v>
      </c>
      <c r="G58" s="228">
        <f>+G48</f>
        <v>0</v>
      </c>
      <c r="H58" s="96"/>
      <c r="I58" s="95">
        <f>+G58*D58</f>
        <v>0</v>
      </c>
      <c r="J58" s="8"/>
      <c r="K58" s="8"/>
    </row>
    <row r="59" spans="1:11">
      <c r="A59" s="194">
        <f>+A58+1</f>
        <v>13</v>
      </c>
      <c r="B59" s="9" t="s">
        <v>768</v>
      </c>
      <c r="C59" s="8" t="s">
        <v>759</v>
      </c>
      <c r="D59" s="95">
        <f>'4- Rate Base'!K24</f>
        <v>69920802.649390608</v>
      </c>
      <c r="E59" s="8"/>
      <c r="F59" s="8" t="s">
        <v>24</v>
      </c>
      <c r="G59" s="228">
        <f>+G49</f>
        <v>9.880621410235467E-2</v>
      </c>
      <c r="H59" s="96"/>
      <c r="I59" s="95">
        <f>+G59*D59</f>
        <v>6908609.7967841765</v>
      </c>
      <c r="J59" s="8"/>
      <c r="K59" s="8"/>
    </row>
    <row r="60" spans="1:11">
      <c r="A60" s="194">
        <f t="shared" ref="A60:A61" si="2">+A59+1</f>
        <v>14</v>
      </c>
      <c r="B60" s="9" t="s">
        <v>769</v>
      </c>
      <c r="C60" s="96" t="s">
        <v>1181</v>
      </c>
      <c r="D60" s="95">
        <f>'4D - Intangible Pnt'!T52</f>
        <v>102574553.95153846</v>
      </c>
      <c r="E60" s="8"/>
      <c r="F60" s="8" t="s">
        <v>80</v>
      </c>
      <c r="G60" s="228"/>
      <c r="H60" s="96"/>
      <c r="I60" s="218">
        <f>'4D - Intangible Pnt'!T54</f>
        <v>6030277.7336002178</v>
      </c>
      <c r="J60" s="8"/>
      <c r="K60" s="8"/>
    </row>
    <row r="61" spans="1:11">
      <c r="A61" s="194">
        <f t="shared" si="2"/>
        <v>15</v>
      </c>
      <c r="B61" s="9" t="s">
        <v>1242</v>
      </c>
      <c r="C61" s="96" t="s">
        <v>760</v>
      </c>
      <c r="D61" s="218">
        <f>'4- Rate Base'!L24</f>
        <v>272253864.65151507</v>
      </c>
      <c r="E61" s="8"/>
      <c r="F61" s="8" t="str">
        <f>F52</f>
        <v>W/S</v>
      </c>
      <c r="G61" s="228">
        <f>+G51</f>
        <v>9.880621410235467E-2</v>
      </c>
      <c r="H61" s="96"/>
      <c r="I61" s="218">
        <f>+G61*D61</f>
        <v>26900373.640951086</v>
      </c>
      <c r="J61" s="8"/>
      <c r="K61" s="8"/>
    </row>
    <row r="62" spans="1:11" ht="13.8" thickBot="1">
      <c r="A62" s="194">
        <f t="shared" ref="A62:A63" si="3">+A61+1</f>
        <v>16</v>
      </c>
      <c r="B62" s="9" t="s">
        <v>1244</v>
      </c>
      <c r="C62" s="8" t="s">
        <v>1182</v>
      </c>
      <c r="D62" s="98">
        <f>-'4E COA'!H51</f>
        <v>-402679.2133612308</v>
      </c>
      <c r="E62" s="8"/>
      <c r="F62" s="8" t="str">
        <f>F61</f>
        <v>W/S</v>
      </c>
      <c r="G62" s="228">
        <f>G61</f>
        <v>9.880621410235467E-2</v>
      </c>
      <c r="H62" s="96"/>
      <c r="I62" s="98">
        <f>+G62*D62</f>
        <v>-39787.208569937524</v>
      </c>
      <c r="J62" s="8"/>
      <c r="K62" s="8"/>
    </row>
    <row r="63" spans="1:11">
      <c r="A63" s="194">
        <f t="shared" si="3"/>
        <v>17</v>
      </c>
      <c r="B63" s="9" t="s">
        <v>227</v>
      </c>
      <c r="C63" s="8" t="s">
        <v>1183</v>
      </c>
      <c r="D63" s="95">
        <f>SUM(D56:D62)</f>
        <v>2637411459.6884489</v>
      </c>
      <c r="E63" s="8"/>
      <c r="F63" s="8"/>
      <c r="G63" s="624"/>
      <c r="H63" s="96"/>
      <c r="I63" s="95">
        <f>SUM(I56:I62)</f>
        <v>535458763.56311023</v>
      </c>
      <c r="J63" s="8"/>
      <c r="K63" s="8"/>
    </row>
    <row r="64" spans="1:11">
      <c r="A64" s="194"/>
      <c r="B64" s="7"/>
      <c r="C64" s="8" t="s">
        <v>2</v>
      </c>
      <c r="D64" s="95"/>
      <c r="E64" s="8"/>
      <c r="F64" s="8"/>
      <c r="G64" s="533"/>
      <c r="H64" s="8"/>
      <c r="I64" s="95"/>
      <c r="J64" s="8"/>
      <c r="K64" s="195"/>
    </row>
    <row r="65" spans="1:11">
      <c r="A65" s="194">
        <f>+A63+1</f>
        <v>18</v>
      </c>
      <c r="B65" s="9" t="s">
        <v>26</v>
      </c>
      <c r="C65" s="8"/>
      <c r="D65" s="95"/>
      <c r="E65" s="8"/>
      <c r="F65" s="8"/>
      <c r="G65" s="228"/>
      <c r="H65" s="8"/>
      <c r="I65" s="95"/>
      <c r="J65" s="8"/>
      <c r="K65" s="8"/>
    </row>
    <row r="66" spans="1:11">
      <c r="A66" s="194">
        <f>+A65+1</f>
        <v>19</v>
      </c>
      <c r="B66" s="9" t="s">
        <v>275</v>
      </c>
      <c r="C66" s="8" t="str">
        <f>"(line "&amp;A46&amp;" minus line "&amp;A56&amp;")"</f>
        <v>(line 1 minus line 10)</v>
      </c>
      <c r="D66" s="95">
        <f t="shared" ref="D66:D72" si="4">D46-D56</f>
        <v>0</v>
      </c>
      <c r="E66" s="96"/>
      <c r="F66" s="96"/>
      <c r="G66" s="533"/>
      <c r="H66" s="96"/>
      <c r="I66" s="95">
        <f t="shared" ref="I66:I72" si="5">I46-I56</f>
        <v>0</v>
      </c>
      <c r="J66" s="8"/>
      <c r="K66" s="195"/>
    </row>
    <row r="67" spans="1:11">
      <c r="A67" s="194">
        <f>+A66+1</f>
        <v>20</v>
      </c>
      <c r="B67" s="9" t="s">
        <v>23</v>
      </c>
      <c r="C67" s="8" t="str">
        <f t="shared" ref="C67:C72" si="6">"(line "&amp;A47&amp;" minus line "&amp;A57&amp;")"</f>
        <v>(line 2 minus line 11)</v>
      </c>
      <c r="D67" s="95">
        <f t="shared" si="4"/>
        <v>1072423533.2458091</v>
      </c>
      <c r="E67" s="96"/>
      <c r="F67" s="96"/>
      <c r="G67" s="228"/>
      <c r="H67" s="96"/>
      <c r="I67" s="95">
        <f t="shared" si="5"/>
        <v>1072423533.2458091</v>
      </c>
      <c r="J67" s="8"/>
      <c r="K67" s="195"/>
    </row>
    <row r="68" spans="1:11">
      <c r="A68" s="194">
        <f>+A67+1</f>
        <v>21</v>
      </c>
      <c r="B68" s="9" t="s">
        <v>276</v>
      </c>
      <c r="C68" s="8" t="str">
        <f t="shared" si="6"/>
        <v>(line 3 minus line 12)</v>
      </c>
      <c r="D68" s="95">
        <f t="shared" si="4"/>
        <v>4457839516.7971334</v>
      </c>
      <c r="E68" s="96"/>
      <c r="F68" s="96"/>
      <c r="G68" s="533"/>
      <c r="H68" s="96"/>
      <c r="I68" s="95">
        <f t="shared" si="5"/>
        <v>0</v>
      </c>
      <c r="J68" s="8"/>
      <c r="K68" s="195"/>
    </row>
    <row r="69" spans="1:11">
      <c r="A69" s="194">
        <f>+A68+1</f>
        <v>22</v>
      </c>
      <c r="B69" s="9" t="s">
        <v>768</v>
      </c>
      <c r="C69" s="8" t="str">
        <f t="shared" si="6"/>
        <v>(line 4 minus line 13)</v>
      </c>
      <c r="D69" s="95">
        <f t="shared" si="4"/>
        <v>192021436.11984017</v>
      </c>
      <c r="E69" s="96"/>
      <c r="F69" s="96"/>
      <c r="G69" s="533"/>
      <c r="H69" s="96"/>
      <c r="I69" s="95">
        <f t="shared" si="5"/>
        <v>18972911.129498549</v>
      </c>
      <c r="J69" s="8"/>
      <c r="K69" s="195"/>
    </row>
    <row r="70" spans="1:11">
      <c r="A70" s="194">
        <f t="shared" ref="A70:A71" si="7">+A69+1</f>
        <v>23</v>
      </c>
      <c r="B70" s="9" t="s">
        <v>769</v>
      </c>
      <c r="C70" s="8" t="str">
        <f t="shared" si="6"/>
        <v>(line 5 minus line 14)</v>
      </c>
      <c r="D70" s="95">
        <f t="shared" si="4"/>
        <v>53401008.410769269</v>
      </c>
      <c r="E70" s="96"/>
      <c r="F70" s="96"/>
      <c r="G70" s="565"/>
      <c r="H70" s="96"/>
      <c r="I70" s="95">
        <f t="shared" si="5"/>
        <v>9155560.9085246157</v>
      </c>
      <c r="J70" s="8"/>
      <c r="K70" s="195"/>
    </row>
    <row r="71" spans="1:11">
      <c r="A71" s="194">
        <f t="shared" si="7"/>
        <v>24</v>
      </c>
      <c r="B71" s="9" t="s">
        <v>1242</v>
      </c>
      <c r="C71" s="8" t="str">
        <f t="shared" si="6"/>
        <v>(line 6 minus line 15)</v>
      </c>
      <c r="D71" s="218">
        <f t="shared" si="4"/>
        <v>292573100.48128492</v>
      </c>
      <c r="E71" s="8"/>
      <c r="F71" s="96"/>
      <c r="G71" s="565"/>
      <c r="H71" s="96"/>
      <c r="I71" s="218">
        <f t="shared" si="5"/>
        <v>28908040.406743567</v>
      </c>
      <c r="J71" s="8"/>
      <c r="K71" s="195"/>
    </row>
    <row r="72" spans="1:11" ht="13.8" thickBot="1">
      <c r="A72" s="194">
        <f t="shared" ref="A72:A73" si="8">+A71+1</f>
        <v>25</v>
      </c>
      <c r="B72" s="9" t="s">
        <v>1244</v>
      </c>
      <c r="C72" s="8" t="str">
        <f t="shared" si="6"/>
        <v>(line 7 minus line 16)</v>
      </c>
      <c r="D72" s="98">
        <f t="shared" si="4"/>
        <v>-2562104.4566252311</v>
      </c>
      <c r="E72" s="8"/>
      <c r="F72" s="96"/>
      <c r="G72" s="565"/>
      <c r="H72" s="96"/>
      <c r="I72" s="98">
        <f t="shared" si="5"/>
        <v>-253151.84149390963</v>
      </c>
      <c r="J72" s="8"/>
      <c r="K72" s="195"/>
    </row>
    <row r="73" spans="1:11">
      <c r="A73" s="194">
        <f t="shared" si="8"/>
        <v>26</v>
      </c>
      <c r="B73" s="9" t="s">
        <v>229</v>
      </c>
      <c r="C73" s="8" t="s">
        <v>1184</v>
      </c>
      <c r="D73" s="95">
        <f>SUM(D66:D72)</f>
        <v>6065696490.5982122</v>
      </c>
      <c r="E73" s="8"/>
      <c r="F73" s="8" t="s">
        <v>27</v>
      </c>
      <c r="G73" s="565">
        <f>IF(I73&gt;0,I73/D73,0)</f>
        <v>0.18616277547011206</v>
      </c>
      <c r="H73" s="96"/>
      <c r="I73" s="95">
        <f>SUM(I66:I72)</f>
        <v>1129206893.8490818</v>
      </c>
      <c r="J73" s="8"/>
      <c r="K73" s="8"/>
    </row>
    <row r="74" spans="1:11">
      <c r="A74" s="194"/>
      <c r="B74" s="7"/>
      <c r="C74" s="8"/>
      <c r="D74" s="95"/>
      <c r="E74" s="8"/>
      <c r="F74" s="7"/>
      <c r="G74" s="228"/>
      <c r="H74" s="8"/>
      <c r="I74" s="95"/>
      <c r="J74" s="8"/>
      <c r="K74" s="195"/>
    </row>
    <row r="75" spans="1:11">
      <c r="A75" s="194">
        <f>+A73+1</f>
        <v>27</v>
      </c>
      <c r="B75" s="81" t="s">
        <v>388</v>
      </c>
      <c r="C75" s="8"/>
      <c r="D75" s="95"/>
      <c r="E75" s="8"/>
      <c r="F75" s="8"/>
      <c r="G75" s="228"/>
      <c r="H75" s="8"/>
      <c r="I75" s="95"/>
      <c r="J75" s="8"/>
      <c r="K75" s="8"/>
    </row>
    <row r="76" spans="1:11">
      <c r="A76" s="194">
        <f>+A75+1</f>
        <v>28</v>
      </c>
      <c r="B76" s="9" t="s">
        <v>91</v>
      </c>
      <c r="C76" s="8" t="s">
        <v>1185</v>
      </c>
      <c r="D76" s="95" t="str">
        <f>+'4- Rate Base'!E44</f>
        <v>Zero</v>
      </c>
      <c r="E76" s="8"/>
      <c r="F76" s="8" t="s">
        <v>22</v>
      </c>
      <c r="G76" s="227" t="s">
        <v>111</v>
      </c>
      <c r="H76" s="96"/>
      <c r="I76" s="95">
        <v>0</v>
      </c>
      <c r="J76" s="8"/>
      <c r="K76" s="195"/>
    </row>
    <row r="77" spans="1:11">
      <c r="A77" s="194">
        <f>+A76+1</f>
        <v>29</v>
      </c>
      <c r="B77" s="9" t="s">
        <v>92</v>
      </c>
      <c r="C77" s="8" t="s">
        <v>1259</v>
      </c>
      <c r="D77" s="218">
        <f>'4- Rate Base'!F44</f>
        <v>-276266562.19752669</v>
      </c>
      <c r="E77" s="8"/>
      <c r="F77" s="8" t="s">
        <v>15</v>
      </c>
      <c r="G77" s="739">
        <f>G81</f>
        <v>1</v>
      </c>
      <c r="H77" s="96"/>
      <c r="I77" s="95">
        <f>D77*G77</f>
        <v>-276266562.19752669</v>
      </c>
      <c r="J77" s="8"/>
      <c r="K77" s="195"/>
    </row>
    <row r="78" spans="1:11">
      <c r="A78" s="194">
        <f>+A77+1</f>
        <v>30</v>
      </c>
      <c r="B78" s="9" t="s">
        <v>93</v>
      </c>
      <c r="C78" s="8" t="s">
        <v>1260</v>
      </c>
      <c r="D78" s="218">
        <f>'4- Rate Base'!G44</f>
        <v>-11797724.848290306</v>
      </c>
      <c r="E78" s="8"/>
      <c r="F78" s="8" t="s">
        <v>15</v>
      </c>
      <c r="G78" s="228">
        <f>+G77</f>
        <v>1</v>
      </c>
      <c r="H78" s="96"/>
      <c r="I78" s="95">
        <f>D78*G78</f>
        <v>-11797724.848290306</v>
      </c>
      <c r="J78" s="8"/>
      <c r="K78" s="195"/>
    </row>
    <row r="79" spans="1:11">
      <c r="A79" s="194">
        <f>+A78+1</f>
        <v>31</v>
      </c>
      <c r="B79" s="9" t="s">
        <v>98</v>
      </c>
      <c r="C79" s="8" t="s">
        <v>1261</v>
      </c>
      <c r="D79" s="218">
        <f>'4- Rate Base'!H44</f>
        <v>16292879.310196733</v>
      </c>
      <c r="E79" s="8"/>
      <c r="F79" s="8" t="s">
        <v>15</v>
      </c>
      <c r="G79" s="228">
        <f>+G78</f>
        <v>1</v>
      </c>
      <c r="H79" s="96"/>
      <c r="I79" s="95">
        <f>D79*G79</f>
        <v>16292879.310196733</v>
      </c>
      <c r="J79" s="8"/>
      <c r="K79" s="195"/>
    </row>
    <row r="80" spans="1:11">
      <c r="A80" s="194">
        <f>+A79+1</f>
        <v>32</v>
      </c>
      <c r="B80" s="7" t="s">
        <v>94</v>
      </c>
      <c r="C80" s="8" t="s">
        <v>391</v>
      </c>
      <c r="D80" s="218">
        <f>'4- Rate Base'!I44</f>
        <v>0</v>
      </c>
      <c r="E80" s="8"/>
      <c r="F80" s="8" t="s">
        <v>15</v>
      </c>
      <c r="G80" s="228">
        <f>+G78</f>
        <v>1</v>
      </c>
      <c r="H80" s="96"/>
      <c r="I80" s="218">
        <f>D80*G80</f>
        <v>0</v>
      </c>
      <c r="J80" s="8"/>
      <c r="K80" s="195"/>
    </row>
    <row r="81" spans="1:11">
      <c r="A81" s="194">
        <f t="shared" ref="A81:A88" si="9">+A80+1</f>
        <v>33</v>
      </c>
      <c r="B81" s="7" t="s">
        <v>385</v>
      </c>
      <c r="C81" s="7" t="s">
        <v>477</v>
      </c>
      <c r="D81" s="218">
        <f>'4- Rate Base'!I68</f>
        <v>-3223751.7803349737</v>
      </c>
      <c r="E81" s="8"/>
      <c r="F81" s="8" t="s">
        <v>80</v>
      </c>
      <c r="G81" s="228">
        <f>G82</f>
        <v>1</v>
      </c>
      <c r="H81" s="96"/>
      <c r="I81" s="218">
        <f t="shared" ref="I81:I87" si="10">+G81*D81</f>
        <v>-3223751.7803349737</v>
      </c>
      <c r="J81" s="8"/>
      <c r="K81" s="195"/>
    </row>
    <row r="82" spans="1:11">
      <c r="A82" s="194">
        <f t="shared" si="9"/>
        <v>34</v>
      </c>
      <c r="B82" s="407" t="s">
        <v>90</v>
      </c>
      <c r="C82" s="94" t="s">
        <v>761</v>
      </c>
      <c r="D82" s="218">
        <f>'4- Rate Base'!F24</f>
        <v>0</v>
      </c>
      <c r="E82" s="92"/>
      <c r="F82" s="92" t="str">
        <f>+F84</f>
        <v>DA</v>
      </c>
      <c r="G82" s="563">
        <v>1</v>
      </c>
      <c r="H82" s="92"/>
      <c r="I82" s="218">
        <f t="shared" si="10"/>
        <v>0</v>
      </c>
      <c r="K82" s="195"/>
    </row>
    <row r="83" spans="1:11">
      <c r="A83" s="194">
        <f t="shared" si="9"/>
        <v>35</v>
      </c>
      <c r="B83" s="407" t="s">
        <v>877</v>
      </c>
      <c r="C83" s="94" t="s">
        <v>1186</v>
      </c>
      <c r="D83" s="218">
        <f>+'4- Rate Base'!J44</f>
        <v>27945369.123580255</v>
      </c>
      <c r="E83" s="92"/>
      <c r="F83" s="92" t="str">
        <f>+F85</f>
        <v>DA</v>
      </c>
      <c r="G83" s="563">
        <v>1</v>
      </c>
      <c r="H83" s="92"/>
      <c r="I83" s="218">
        <f t="shared" si="10"/>
        <v>27945369.123580255</v>
      </c>
      <c r="K83" s="195"/>
    </row>
    <row r="84" spans="1:11">
      <c r="A84" s="194">
        <f t="shared" si="9"/>
        <v>36</v>
      </c>
      <c r="B84" s="93" t="s">
        <v>105</v>
      </c>
      <c r="C84" s="94" t="s">
        <v>1187</v>
      </c>
      <c r="D84" s="218">
        <f>+'4- Rate Base'!C44</f>
        <v>0</v>
      </c>
      <c r="E84" s="92"/>
      <c r="F84" s="92" t="str">
        <f>+F85</f>
        <v>DA</v>
      </c>
      <c r="G84" s="563">
        <v>1</v>
      </c>
      <c r="H84" s="92"/>
      <c r="I84" s="218">
        <f t="shared" si="10"/>
        <v>0</v>
      </c>
      <c r="K84" s="195"/>
    </row>
    <row r="85" spans="1:11">
      <c r="A85" s="194">
        <f t="shared" si="9"/>
        <v>37</v>
      </c>
      <c r="B85" s="93" t="s">
        <v>106</v>
      </c>
      <c r="C85" s="94" t="s">
        <v>1188</v>
      </c>
      <c r="D85" s="218">
        <f>+'4- Rate Base'!D44</f>
        <v>0</v>
      </c>
      <c r="E85" s="92"/>
      <c r="F85" s="92" t="s">
        <v>80</v>
      </c>
      <c r="G85" s="563">
        <v>1</v>
      </c>
      <c r="H85" s="92"/>
      <c r="I85" s="218">
        <f t="shared" si="10"/>
        <v>0</v>
      </c>
      <c r="K85" s="195"/>
    </row>
    <row r="86" spans="1:11">
      <c r="A86" s="194">
        <f t="shared" si="9"/>
        <v>38</v>
      </c>
      <c r="B86" s="116" t="s">
        <v>697</v>
      </c>
      <c r="C86" s="116" t="s">
        <v>696</v>
      </c>
      <c r="D86" s="555">
        <v>0</v>
      </c>
      <c r="E86" s="92"/>
      <c r="F86" s="92" t="str">
        <f>+F87</f>
        <v>DA</v>
      </c>
      <c r="G86" s="563">
        <v>1</v>
      </c>
      <c r="H86" s="92"/>
      <c r="I86" s="218">
        <f t="shared" si="10"/>
        <v>0</v>
      </c>
      <c r="K86" s="195"/>
    </row>
    <row r="87" spans="1:11" ht="13.8" thickBot="1">
      <c r="A87" s="194">
        <f t="shared" si="9"/>
        <v>39</v>
      </c>
      <c r="B87" s="117" t="s">
        <v>699</v>
      </c>
      <c r="C87" s="116" t="s">
        <v>696</v>
      </c>
      <c r="D87" s="655">
        <v>0</v>
      </c>
      <c r="E87" s="92"/>
      <c r="F87" s="92" t="s">
        <v>80</v>
      </c>
      <c r="G87" s="563">
        <v>1</v>
      </c>
      <c r="H87" s="92"/>
      <c r="I87" s="98">
        <f t="shared" si="10"/>
        <v>0</v>
      </c>
      <c r="K87" s="195"/>
    </row>
    <row r="88" spans="1:11">
      <c r="A88" s="194">
        <f t="shared" si="9"/>
        <v>40</v>
      </c>
      <c r="B88" s="9" t="s">
        <v>228</v>
      </c>
      <c r="C88" s="8" t="s">
        <v>1189</v>
      </c>
      <c r="D88" s="95">
        <f>SUM(D76:D87)</f>
        <v>-247049790.39237496</v>
      </c>
      <c r="E88" s="8"/>
      <c r="F88" s="8"/>
      <c r="G88" s="739"/>
      <c r="H88" s="96"/>
      <c r="I88" s="95">
        <f>SUM(I76:I87)</f>
        <v>-247049790.39237496</v>
      </c>
      <c r="J88" s="8"/>
      <c r="K88" s="8"/>
    </row>
    <row r="89" spans="1:11">
      <c r="A89" s="194"/>
      <c r="B89" s="7"/>
      <c r="C89" s="8"/>
      <c r="D89" s="95"/>
      <c r="E89" s="8"/>
      <c r="F89" s="8"/>
      <c r="G89" s="624"/>
      <c r="H89" s="8"/>
      <c r="I89" s="95"/>
      <c r="J89" s="8"/>
      <c r="K89" s="195"/>
    </row>
    <row r="90" spans="1:11">
      <c r="A90" s="194">
        <f>+A88+1</f>
        <v>41</v>
      </c>
      <c r="B90" s="81" t="s">
        <v>392</v>
      </c>
      <c r="C90" s="355" t="s">
        <v>296</v>
      </c>
      <c r="D90" s="95">
        <f>+'4- Rate Base'!G24</f>
        <v>685204.34999999986</v>
      </c>
      <c r="E90" s="8"/>
      <c r="F90" s="8" t="s">
        <v>15</v>
      </c>
      <c r="G90" s="739">
        <f>+G57</f>
        <v>1</v>
      </c>
      <c r="H90" s="96"/>
      <c r="I90" s="95">
        <f>+G90*D90</f>
        <v>685204.34999999986</v>
      </c>
      <c r="J90" s="8"/>
      <c r="K90" s="8"/>
    </row>
    <row r="91" spans="1:11">
      <c r="A91" s="194"/>
      <c r="B91" s="9"/>
      <c r="C91" s="8"/>
      <c r="D91" s="95"/>
      <c r="E91" s="8"/>
      <c r="F91" s="8"/>
      <c r="G91" s="739"/>
      <c r="H91" s="96"/>
      <c r="I91" s="95"/>
      <c r="J91" s="8"/>
      <c r="K91" s="8"/>
    </row>
    <row r="92" spans="1:11">
      <c r="A92" s="194">
        <f>+A90+1</f>
        <v>42</v>
      </c>
      <c r="B92" s="9" t="s">
        <v>231</v>
      </c>
      <c r="C92" s="8" t="s">
        <v>109</v>
      </c>
      <c r="D92" s="95"/>
      <c r="E92" s="8"/>
      <c r="F92" s="8"/>
      <c r="G92" s="739"/>
      <c r="H92" s="96"/>
      <c r="I92" s="95"/>
      <c r="J92" s="8"/>
      <c r="K92" s="8"/>
    </row>
    <row r="93" spans="1:11">
      <c r="A93" s="194">
        <f>+A92+1</f>
        <v>43</v>
      </c>
      <c r="B93" s="9" t="s">
        <v>112</v>
      </c>
      <c r="C93" s="7" t="s">
        <v>1190</v>
      </c>
      <c r="D93" s="95">
        <f>(D122-D117)/8</f>
        <v>30999461.263345875</v>
      </c>
      <c r="E93" s="8"/>
      <c r="F93" s="8"/>
      <c r="G93" s="739"/>
      <c r="H93" s="96"/>
      <c r="I93" s="95">
        <f>(I122-I117)/8</f>
        <v>8917009.1472962182</v>
      </c>
      <c r="J93" s="82"/>
      <c r="K93" s="195"/>
    </row>
    <row r="94" spans="1:11">
      <c r="A94" s="194">
        <f>+A93+1</f>
        <v>44</v>
      </c>
      <c r="B94" s="9" t="s">
        <v>175</v>
      </c>
      <c r="C94" s="355" t="s">
        <v>859</v>
      </c>
      <c r="D94" s="95">
        <f>+'4- Rate Base'!H24</f>
        <v>13305128.522507532</v>
      </c>
      <c r="E94" s="8"/>
      <c r="F94" s="8" t="s">
        <v>15</v>
      </c>
      <c r="G94" s="739">
        <f>+G111</f>
        <v>1</v>
      </c>
      <c r="H94" s="96"/>
      <c r="I94" s="95">
        <f>+G94*D94</f>
        <v>13305128.522507532</v>
      </c>
      <c r="J94" s="8" t="s">
        <v>2</v>
      </c>
      <c r="K94" s="195"/>
    </row>
    <row r="95" spans="1:11" ht="13.8" thickBot="1">
      <c r="A95" s="194">
        <f>+A94+1</f>
        <v>45</v>
      </c>
      <c r="B95" s="9" t="s">
        <v>95</v>
      </c>
      <c r="C95" s="96" t="s">
        <v>282</v>
      </c>
      <c r="D95" s="98">
        <f>+'4- Rate Base'!I24</f>
        <v>1449878.7282512137</v>
      </c>
      <c r="E95" s="8"/>
      <c r="F95" s="8" t="s">
        <v>80</v>
      </c>
      <c r="G95" s="739">
        <v>1</v>
      </c>
      <c r="H95" s="96"/>
      <c r="I95" s="98">
        <f>+G95*D95</f>
        <v>1449878.7282512137</v>
      </c>
      <c r="J95" s="8"/>
      <c r="K95" s="195"/>
    </row>
    <row r="96" spans="1:11">
      <c r="A96" s="194">
        <f>+A95+1</f>
        <v>46</v>
      </c>
      <c r="B96" s="9" t="s">
        <v>230</v>
      </c>
      <c r="C96" s="82" t="s">
        <v>841</v>
      </c>
      <c r="D96" s="95">
        <f>SUM(D93:D95)</f>
        <v>45754468.51410462</v>
      </c>
      <c r="E96" s="82"/>
      <c r="F96" s="82"/>
      <c r="G96" s="408"/>
      <c r="H96" s="408"/>
      <c r="I96" s="95">
        <f>SUM(I93:I95)</f>
        <v>23672016.398054965</v>
      </c>
      <c r="J96" s="82"/>
      <c r="K96" s="82"/>
    </row>
    <row r="97" spans="1:11" ht="13.8" thickBot="1">
      <c r="A97" s="194"/>
      <c r="B97" s="7"/>
      <c r="C97" s="8"/>
      <c r="D97" s="98"/>
      <c r="E97" s="8"/>
      <c r="F97" s="8"/>
      <c r="G97" s="8"/>
      <c r="H97" s="8"/>
      <c r="I97" s="98"/>
      <c r="J97" s="8"/>
      <c r="K97" s="8"/>
    </row>
    <row r="98" spans="1:11" ht="13.8" thickBot="1">
      <c r="A98" s="194">
        <f>+A96+1</f>
        <v>47</v>
      </c>
      <c r="B98" s="9" t="s">
        <v>232</v>
      </c>
      <c r="C98" s="8" t="s">
        <v>842</v>
      </c>
      <c r="D98" s="409">
        <f>+D96+D90+D88+D73</f>
        <v>5865086373.0699415</v>
      </c>
      <c r="E98" s="96"/>
      <c r="F98" s="96"/>
      <c r="G98" s="410"/>
      <c r="H98" s="96"/>
      <c r="I98" s="409">
        <f>+I96+I90+I88+I73</f>
        <v>906514324.20476174</v>
      </c>
      <c r="J98" s="8"/>
      <c r="K98" s="195"/>
    </row>
    <row r="99" spans="1:11" ht="16.2" thickTop="1">
      <c r="A99" s="194"/>
      <c r="B99" s="331"/>
      <c r="C99" s="411"/>
      <c r="D99" s="412"/>
      <c r="E99" s="411"/>
      <c r="F99" s="413"/>
      <c r="G99" s="414"/>
      <c r="H99" s="415"/>
      <c r="I99" s="100"/>
      <c r="J99" s="8"/>
      <c r="K99" s="195"/>
    </row>
    <row r="100" spans="1:11" ht="15" hidden="1">
      <c r="A100" s="194"/>
      <c r="B100" s="411"/>
      <c r="D100" s="411"/>
      <c r="E100" s="332"/>
      <c r="G100" s="411"/>
      <c r="I100" s="100"/>
      <c r="J100" s="8"/>
      <c r="K100" s="195"/>
    </row>
    <row r="101" spans="1:11" ht="15">
      <c r="A101" s="194"/>
      <c r="B101" s="411"/>
      <c r="D101" s="414"/>
      <c r="E101" s="332"/>
      <c r="F101" s="180"/>
      <c r="G101" s="414"/>
      <c r="I101" s="8"/>
      <c r="J101" s="8"/>
      <c r="K101" s="416" t="s">
        <v>113</v>
      </c>
    </row>
    <row r="102" spans="1:11" ht="15">
      <c r="A102" s="194"/>
      <c r="B102" s="411"/>
      <c r="C102" s="411"/>
      <c r="D102" s="411"/>
      <c r="E102" s="417"/>
      <c r="F102" s="413"/>
      <c r="G102" s="411"/>
      <c r="H102" s="411"/>
      <c r="I102" s="8"/>
      <c r="J102" s="8"/>
      <c r="K102" s="416"/>
    </row>
    <row r="103" spans="1:11">
      <c r="A103" s="194"/>
      <c r="B103" s="9" t="s">
        <v>1</v>
      </c>
      <c r="C103" s="8"/>
      <c r="D103" s="103" t="s">
        <v>76</v>
      </c>
      <c r="E103" s="8"/>
      <c r="F103" s="8"/>
      <c r="G103" s="8"/>
      <c r="H103" s="8"/>
      <c r="I103" s="18"/>
      <c r="J103" s="8"/>
      <c r="K103" s="416" t="str">
        <f>K3</f>
        <v>For  the 12 months ended 12/31/2018</v>
      </c>
    </row>
    <row r="104" spans="1:11">
      <c r="A104" s="194"/>
      <c r="B104" s="9"/>
      <c r="C104" s="8"/>
      <c r="D104" s="103" t="s">
        <v>103</v>
      </c>
      <c r="E104" s="8"/>
      <c r="F104" s="8"/>
      <c r="G104" s="8"/>
      <c r="H104" s="8"/>
      <c r="I104" s="8"/>
      <c r="J104" s="8"/>
      <c r="K104" s="8"/>
    </row>
    <row r="105" spans="1:11">
      <c r="A105" s="194"/>
      <c r="B105" s="7"/>
      <c r="C105" s="8"/>
      <c r="D105" s="103" t="str">
        <f>+D39</f>
        <v>PECO Energy Company</v>
      </c>
      <c r="E105" s="8"/>
      <c r="F105" s="8"/>
      <c r="G105" s="8"/>
      <c r="H105" s="8"/>
      <c r="I105" s="8"/>
      <c r="J105" s="8"/>
      <c r="K105" s="8"/>
    </row>
    <row r="106" spans="1:11">
      <c r="A106" s="991"/>
      <c r="B106" s="991"/>
      <c r="C106" s="991"/>
      <c r="D106" s="991"/>
      <c r="E106" s="991"/>
      <c r="F106" s="991"/>
      <c r="G106" s="991"/>
      <c r="H106" s="991"/>
      <c r="I106" s="991"/>
      <c r="J106" s="991"/>
      <c r="K106" s="991"/>
    </row>
    <row r="107" spans="1:11">
      <c r="A107" s="194"/>
      <c r="B107" s="223" t="s">
        <v>3</v>
      </c>
      <c r="C107" s="223" t="s">
        <v>4</v>
      </c>
      <c r="D107" s="223" t="s">
        <v>5</v>
      </c>
      <c r="E107" s="8" t="s">
        <v>2</v>
      </c>
      <c r="F107" s="8"/>
      <c r="G107" s="106" t="s">
        <v>6</v>
      </c>
      <c r="H107" s="8"/>
      <c r="I107" s="106" t="s">
        <v>7</v>
      </c>
      <c r="J107" s="8"/>
      <c r="K107" s="8"/>
    </row>
    <row r="108" spans="1:11">
      <c r="A108" s="194" t="s">
        <v>8</v>
      </c>
      <c r="B108" s="9"/>
      <c r="C108" s="401"/>
      <c r="D108" s="8"/>
      <c r="E108" s="8"/>
      <c r="F108" s="8"/>
      <c r="G108" s="194"/>
      <c r="H108" s="8"/>
      <c r="I108" s="402" t="s">
        <v>17</v>
      </c>
      <c r="J108" s="8"/>
      <c r="K108" s="402"/>
    </row>
    <row r="109" spans="1:11" ht="13.8" thickBot="1">
      <c r="A109" s="377" t="s">
        <v>10</v>
      </c>
      <c r="B109" s="9"/>
      <c r="C109" s="403" t="s">
        <v>214</v>
      </c>
      <c r="D109" s="402" t="s">
        <v>19</v>
      </c>
      <c r="E109" s="404"/>
      <c r="F109" s="402" t="s">
        <v>20</v>
      </c>
      <c r="G109" s="7"/>
      <c r="H109" s="404"/>
      <c r="I109" s="194" t="s">
        <v>21</v>
      </c>
      <c r="J109" s="8"/>
      <c r="K109" s="402"/>
    </row>
    <row r="110" spans="1:11">
      <c r="A110" s="194"/>
      <c r="B110" s="9" t="s">
        <v>0</v>
      </c>
      <c r="C110" s="8"/>
      <c r="D110" s="8"/>
      <c r="E110" s="8"/>
      <c r="F110" s="8"/>
      <c r="G110" s="8"/>
      <c r="H110" s="8"/>
      <c r="I110" s="8"/>
      <c r="J110" s="8"/>
      <c r="K110" s="8"/>
    </row>
    <row r="111" spans="1:11">
      <c r="A111" s="194">
        <v>1</v>
      </c>
      <c r="B111" s="9" t="s">
        <v>29</v>
      </c>
      <c r="C111" s="8" t="s">
        <v>1191</v>
      </c>
      <c r="D111" s="95">
        <f>'5-P3 Support'!C12</f>
        <v>188583461</v>
      </c>
      <c r="E111" s="8"/>
      <c r="F111" s="8" t="s">
        <v>15</v>
      </c>
      <c r="G111" s="739">
        <f>+I183</f>
        <v>1</v>
      </c>
      <c r="H111" s="96"/>
      <c r="I111" s="95">
        <f>+G111*D111</f>
        <v>188583461</v>
      </c>
      <c r="J111" s="82"/>
      <c r="K111" s="8"/>
    </row>
    <row r="112" spans="1:11">
      <c r="A112" s="395">
        <f>+A111+1</f>
        <v>2</v>
      </c>
      <c r="B112" s="97" t="s">
        <v>100</v>
      </c>
      <c r="C112" s="8" t="s">
        <v>1192</v>
      </c>
      <c r="D112" s="95">
        <f>'5-P3 Support'!D12</f>
        <v>11664574</v>
      </c>
      <c r="E112" s="94"/>
      <c r="F112" s="94" t="str">
        <f>+F111</f>
        <v>TP</v>
      </c>
      <c r="G112" s="739">
        <f>+G111</f>
        <v>1</v>
      </c>
      <c r="H112" s="94"/>
      <c r="I112" s="95">
        <f>+G112*D112</f>
        <v>11664574</v>
      </c>
      <c r="K112" s="8"/>
    </row>
    <row r="113" spans="1:11">
      <c r="A113" s="395">
        <f t="shared" ref="A113:A159" si="11">+A112+1</f>
        <v>3</v>
      </c>
      <c r="B113" s="9" t="s">
        <v>30</v>
      </c>
      <c r="C113" s="8" t="s">
        <v>1193</v>
      </c>
      <c r="D113" s="95">
        <f>'5-P3 Support'!E12</f>
        <v>0</v>
      </c>
      <c r="E113" s="8"/>
      <c r="F113" s="8" t="str">
        <f>+F112</f>
        <v>TP</v>
      </c>
      <c r="G113" s="739">
        <f>+G112</f>
        <v>1</v>
      </c>
      <c r="H113" s="96"/>
      <c r="I113" s="95">
        <f>+G113*D113</f>
        <v>0</v>
      </c>
      <c r="J113" s="82"/>
      <c r="K113" s="8"/>
    </row>
    <row r="114" spans="1:11">
      <c r="A114" s="395">
        <f t="shared" si="11"/>
        <v>4</v>
      </c>
      <c r="B114" s="9" t="s">
        <v>748</v>
      </c>
      <c r="C114" s="9" t="s">
        <v>1194</v>
      </c>
      <c r="D114" s="95">
        <f>+'5-P3 Support'!F12</f>
        <v>136634127</v>
      </c>
      <c r="E114" s="8"/>
      <c r="F114" s="9" t="str">
        <f>+F113</f>
        <v>TP</v>
      </c>
      <c r="G114" s="739">
        <v>1</v>
      </c>
      <c r="H114" s="96"/>
      <c r="I114" s="95">
        <f>+D114*G114</f>
        <v>136634127</v>
      </c>
      <c r="J114" s="82"/>
      <c r="K114" s="8"/>
    </row>
    <row r="115" spans="1:11">
      <c r="A115" s="395">
        <f t="shared" si="11"/>
        <v>5</v>
      </c>
      <c r="B115" s="9" t="s">
        <v>31</v>
      </c>
      <c r="C115" s="378" t="s">
        <v>1262</v>
      </c>
      <c r="D115" s="95">
        <f>+'5B - A&amp;G'!E24</f>
        <v>195655730</v>
      </c>
      <c r="E115" s="8"/>
      <c r="F115" s="8" t="s">
        <v>80</v>
      </c>
      <c r="G115" s="739"/>
      <c r="H115" s="96"/>
      <c r="I115" s="95">
        <f>+'5B - A&amp;G'!J28</f>
        <v>19348142.891630568</v>
      </c>
      <c r="J115" s="8"/>
      <c r="K115" s="8" t="s">
        <v>2</v>
      </c>
    </row>
    <row r="116" spans="1:11">
      <c r="A116" s="395">
        <f>+A115+1</f>
        <v>6</v>
      </c>
      <c r="B116" s="97" t="s">
        <v>770</v>
      </c>
      <c r="C116" s="94"/>
      <c r="D116" s="218"/>
      <c r="E116" s="94"/>
      <c r="F116" s="94"/>
      <c r="G116" s="739"/>
      <c r="H116" s="94"/>
      <c r="I116" s="218"/>
      <c r="K116" s="8"/>
    </row>
    <row r="117" spans="1:11">
      <c r="A117" s="395">
        <f t="shared" si="11"/>
        <v>7</v>
      </c>
      <c r="B117" s="97" t="s">
        <v>102</v>
      </c>
      <c r="C117" s="94" t="s">
        <v>1195</v>
      </c>
      <c r="D117" s="218">
        <f>'5-P3 Support'!G12</f>
        <v>0</v>
      </c>
      <c r="E117" s="92"/>
      <c r="F117" s="92" t="s">
        <v>80</v>
      </c>
      <c r="G117" s="563">
        <v>1</v>
      </c>
      <c r="H117" s="92"/>
      <c r="I117" s="218">
        <f>+G117*D117</f>
        <v>0</v>
      </c>
      <c r="K117" s="8"/>
    </row>
    <row r="118" spans="1:11">
      <c r="A118" s="395">
        <f t="shared" si="11"/>
        <v>8</v>
      </c>
      <c r="B118" s="97" t="s">
        <v>342</v>
      </c>
      <c r="C118" s="8" t="s">
        <v>1196</v>
      </c>
      <c r="D118" s="218">
        <f>'5-P3 Support'!H12</f>
        <v>11664574</v>
      </c>
      <c r="E118" s="92"/>
      <c r="F118" s="92" t="s">
        <v>15</v>
      </c>
      <c r="G118" s="563">
        <f>+G111</f>
        <v>1</v>
      </c>
      <c r="H118" s="92"/>
      <c r="I118" s="218">
        <f>+G118*D118</f>
        <v>11664574</v>
      </c>
      <c r="K118" s="8"/>
    </row>
    <row r="119" spans="1:11">
      <c r="A119" s="395">
        <f>+A118+1</f>
        <v>9</v>
      </c>
      <c r="B119" s="97" t="s">
        <v>101</v>
      </c>
      <c r="C119" s="94" t="s">
        <v>843</v>
      </c>
      <c r="D119" s="218">
        <f>+D117+D118</f>
        <v>11664574</v>
      </c>
      <c r="E119" s="92"/>
      <c r="F119" s="92"/>
      <c r="G119" s="563"/>
      <c r="H119" s="92"/>
      <c r="I119" s="218">
        <f>+I117+I118</f>
        <v>11664574</v>
      </c>
      <c r="K119" s="8"/>
    </row>
    <row r="120" spans="1:11">
      <c r="A120" s="395">
        <f>+A119+1</f>
        <v>10</v>
      </c>
      <c r="B120" s="97" t="s">
        <v>771</v>
      </c>
      <c r="C120" s="94" t="s">
        <v>1201</v>
      </c>
      <c r="D120" s="218">
        <f>+'7 - PBOP'!F12</f>
        <v>999784.50676701707</v>
      </c>
      <c r="E120" s="92"/>
      <c r="F120" s="394" t="s">
        <v>24</v>
      </c>
      <c r="G120" s="563">
        <f>$I$191</f>
        <v>9.880621410235467E-2</v>
      </c>
      <c r="H120" s="100"/>
      <c r="I120" s="218">
        <f>+G120*D120</f>
        <v>98784.922031838956</v>
      </c>
      <c r="K120" s="8"/>
    </row>
    <row r="121" spans="1:11" ht="13.8" thickBot="1">
      <c r="A121" s="395">
        <f>+A120+1</f>
        <v>11</v>
      </c>
      <c r="B121" s="97" t="s">
        <v>773</v>
      </c>
      <c r="C121" s="8" t="s">
        <v>1313</v>
      </c>
      <c r="D121" s="98">
        <f>'4E COA'!H17</f>
        <v>609158.39999999991</v>
      </c>
      <c r="E121" s="92"/>
      <c r="F121" s="394" t="s">
        <v>24</v>
      </c>
      <c r="G121" s="563">
        <f>$I$191</f>
        <v>9.880621410235467E-2</v>
      </c>
      <c r="H121" s="100"/>
      <c r="I121" s="98">
        <f>D121*G121</f>
        <v>60188.635292647799</v>
      </c>
      <c r="K121" s="8"/>
    </row>
    <row r="122" spans="1:11">
      <c r="A122" s="395">
        <f>A121+1</f>
        <v>12</v>
      </c>
      <c r="B122" s="418" t="s">
        <v>233</v>
      </c>
      <c r="C122" s="354" t="s">
        <v>1202</v>
      </c>
      <c r="D122" s="95">
        <f>+D111-D113-D112-D114+D115+D119+D120-D121</f>
        <v>247995690.106767</v>
      </c>
      <c r="E122" s="95"/>
      <c r="F122" s="95"/>
      <c r="G122" s="739"/>
      <c r="H122" s="95"/>
      <c r="I122" s="95">
        <f>+I111-I113-I112-I114+I115+I119+I120-I121</f>
        <v>71336073.178369746</v>
      </c>
      <c r="J122" s="8"/>
      <c r="K122" s="8"/>
    </row>
    <row r="123" spans="1:11">
      <c r="A123" s="395"/>
      <c r="B123" s="7"/>
      <c r="C123" s="8"/>
      <c r="D123" s="95"/>
      <c r="E123" s="95"/>
      <c r="F123" s="95"/>
      <c r="G123" s="739"/>
      <c r="H123" s="95"/>
      <c r="I123" s="95"/>
      <c r="J123" s="8"/>
      <c r="K123" s="8"/>
    </row>
    <row r="124" spans="1:11">
      <c r="A124" s="395">
        <f>+A122+1</f>
        <v>13</v>
      </c>
      <c r="B124" s="9" t="s">
        <v>334</v>
      </c>
      <c r="C124" s="355"/>
      <c r="D124" s="95"/>
      <c r="E124" s="95"/>
      <c r="F124" s="95"/>
      <c r="G124" s="739"/>
      <c r="H124" s="95"/>
      <c r="I124" s="95"/>
      <c r="J124" s="8"/>
      <c r="K124" s="8"/>
    </row>
    <row r="125" spans="1:11">
      <c r="A125" s="395">
        <f t="shared" si="11"/>
        <v>14</v>
      </c>
      <c r="B125" s="9" t="s">
        <v>29</v>
      </c>
      <c r="C125" s="355" t="s">
        <v>1197</v>
      </c>
      <c r="D125" s="95">
        <f>'5-P3 Support'!I12</f>
        <v>25205442</v>
      </c>
      <c r="E125" s="95"/>
      <c r="F125" s="95" t="s">
        <v>15</v>
      </c>
      <c r="G125" s="739">
        <f>+G90</f>
        <v>1</v>
      </c>
      <c r="H125" s="95"/>
      <c r="I125" s="95">
        <f>+G125*D125</f>
        <v>25205442</v>
      </c>
      <c r="J125" s="8"/>
      <c r="K125" s="195"/>
    </row>
    <row r="126" spans="1:11">
      <c r="A126" s="395">
        <f t="shared" si="11"/>
        <v>15</v>
      </c>
      <c r="B126" s="419" t="s">
        <v>768</v>
      </c>
      <c r="C126" s="355" t="s">
        <v>1198</v>
      </c>
      <c r="D126" s="95">
        <f>'5-P3 Support'!C21</f>
        <v>16933386</v>
      </c>
      <c r="E126" s="95"/>
      <c r="F126" s="95" t="s">
        <v>24</v>
      </c>
      <c r="G126" s="563">
        <f>$I$191</f>
        <v>9.880621410235467E-2</v>
      </c>
      <c r="H126" s="95"/>
      <c r="I126" s="95">
        <f>+G126*D126</f>
        <v>1673123.7625938151</v>
      </c>
      <c r="J126" s="8"/>
      <c r="K126" s="195"/>
    </row>
    <row r="127" spans="1:11">
      <c r="A127" s="395">
        <f t="shared" si="11"/>
        <v>16</v>
      </c>
      <c r="B127" s="419" t="s">
        <v>769</v>
      </c>
      <c r="C127" s="96" t="s">
        <v>1203</v>
      </c>
      <c r="D127" s="95">
        <f>'4D - Intangible Pnt'!G105</f>
        <v>18804419.830000002</v>
      </c>
      <c r="E127" s="95"/>
      <c r="F127" s="95" t="s">
        <v>80</v>
      </c>
      <c r="G127" s="739"/>
      <c r="H127" s="95"/>
      <c r="I127" s="95">
        <f>'4D - Intangible Pnt'!G107</f>
        <v>3678841.9413690395</v>
      </c>
      <c r="J127" s="8"/>
      <c r="K127" s="195"/>
    </row>
    <row r="128" spans="1:11">
      <c r="A128" s="395">
        <f t="shared" si="11"/>
        <v>17</v>
      </c>
      <c r="B128" s="9" t="s">
        <v>1016</v>
      </c>
      <c r="C128" s="355" t="s">
        <v>1199</v>
      </c>
      <c r="D128" s="218">
        <f>'5-P3 Support'!J12</f>
        <v>25075648</v>
      </c>
      <c r="E128" s="218"/>
      <c r="F128" s="95" t="s">
        <v>24</v>
      </c>
      <c r="G128" s="563">
        <f>$I$191</f>
        <v>9.880621410235467E-2</v>
      </c>
      <c r="H128" s="218"/>
      <c r="I128" s="218">
        <f>+G128*D128</f>
        <v>2477629.8450432816</v>
      </c>
      <c r="J128" s="8"/>
      <c r="K128" s="195"/>
    </row>
    <row r="129" spans="1:12">
      <c r="A129" s="395">
        <f t="shared" si="11"/>
        <v>18</v>
      </c>
      <c r="B129" s="9" t="s">
        <v>1233</v>
      </c>
      <c r="C129" s="8" t="s">
        <v>1204</v>
      </c>
      <c r="D129" s="218">
        <f>-'4E COA'!H86</f>
        <v>-572260.04761600005</v>
      </c>
      <c r="E129" s="218"/>
      <c r="F129" s="95" t="s">
        <v>24</v>
      </c>
      <c r="G129" s="563">
        <f>G61</f>
        <v>9.880621410235467E-2</v>
      </c>
      <c r="H129" s="218"/>
      <c r="I129" s="218">
        <f>D129*G129</f>
        <v>-56542.848786970178</v>
      </c>
      <c r="J129" s="8"/>
      <c r="K129" s="195"/>
    </row>
    <row r="130" spans="1:12" ht="13.8" thickBot="1">
      <c r="A130" s="395">
        <f t="shared" si="11"/>
        <v>19</v>
      </c>
      <c r="B130" s="97" t="s">
        <v>96</v>
      </c>
      <c r="C130" s="8" t="s">
        <v>1200</v>
      </c>
      <c r="D130" s="98">
        <f>'5-P3 Support'!D21</f>
        <v>0</v>
      </c>
      <c r="E130" s="95"/>
      <c r="F130" s="95" t="s">
        <v>80</v>
      </c>
      <c r="G130" s="739">
        <v>1</v>
      </c>
      <c r="H130" s="95"/>
      <c r="I130" s="98">
        <f>+G130*D130</f>
        <v>0</v>
      </c>
      <c r="J130" s="8"/>
      <c r="K130" s="195"/>
    </row>
    <row r="131" spans="1:12">
      <c r="A131" s="395">
        <f t="shared" si="11"/>
        <v>20</v>
      </c>
      <c r="B131" s="9" t="s">
        <v>223</v>
      </c>
      <c r="C131" s="8" t="str">
        <f>"(Sum of Lines "&amp;A125&amp;" through "&amp;A130&amp;")"</f>
        <v>(Sum of Lines 14 through 19)</v>
      </c>
      <c r="D131" s="95">
        <f>SUM(D125:D130)</f>
        <v>85446635.782383993</v>
      </c>
      <c r="E131" s="95"/>
      <c r="F131" s="95"/>
      <c r="G131" s="739"/>
      <c r="H131" s="95"/>
      <c r="I131" s="95">
        <f>SUM(I125:I130)</f>
        <v>32978494.700219166</v>
      </c>
      <c r="J131" s="8"/>
      <c r="K131" s="8"/>
    </row>
    <row r="132" spans="1:12">
      <c r="A132" s="395"/>
      <c r="B132" s="9"/>
      <c r="C132" s="8"/>
      <c r="D132" s="95"/>
      <c r="E132" s="95"/>
      <c r="F132" s="95"/>
      <c r="G132" s="739"/>
      <c r="H132" s="95"/>
      <c r="I132" s="95"/>
      <c r="J132" s="8"/>
      <c r="K132" s="8"/>
    </row>
    <row r="133" spans="1:12">
      <c r="A133" s="395">
        <f>+A131+1</f>
        <v>21</v>
      </c>
      <c r="B133" s="9" t="s">
        <v>224</v>
      </c>
      <c r="C133" s="7" t="s">
        <v>170</v>
      </c>
      <c r="D133" s="95"/>
      <c r="E133" s="95"/>
      <c r="F133" s="95"/>
      <c r="G133" s="739"/>
      <c r="H133" s="95"/>
      <c r="I133" s="95"/>
      <c r="J133" s="8"/>
      <c r="K133" s="8"/>
    </row>
    <row r="134" spans="1:12">
      <c r="A134" s="395">
        <f t="shared" si="11"/>
        <v>22</v>
      </c>
      <c r="B134" s="9" t="s">
        <v>32</v>
      </c>
      <c r="C134" s="7"/>
      <c r="D134" s="95"/>
      <c r="E134" s="95"/>
      <c r="F134" s="95"/>
      <c r="G134" s="739"/>
      <c r="H134" s="95"/>
      <c r="I134" s="95"/>
      <c r="J134" s="8"/>
      <c r="K134" s="195"/>
    </row>
    <row r="135" spans="1:12">
      <c r="A135" s="395">
        <f t="shared" si="11"/>
        <v>23</v>
      </c>
      <c r="B135" s="9" t="s">
        <v>33</v>
      </c>
      <c r="C135" s="8" t="s">
        <v>1205</v>
      </c>
      <c r="D135" s="95">
        <f>'5-P3 Support'!E21</f>
        <v>12636392</v>
      </c>
      <c r="E135" s="95"/>
      <c r="F135" s="95" t="s">
        <v>24</v>
      </c>
      <c r="G135" s="739">
        <f>+G126</f>
        <v>9.880621410235467E-2</v>
      </c>
      <c r="H135" s="95"/>
      <c r="I135" s="95">
        <f>+G135*D135</f>
        <v>1248554.0534332818</v>
      </c>
      <c r="J135" s="8"/>
      <c r="K135" s="195"/>
    </row>
    <row r="136" spans="1:12">
      <c r="A136" s="395">
        <f t="shared" si="11"/>
        <v>24</v>
      </c>
      <c r="B136" s="657" t="str">
        <f>'5-P3 Support'!F15</f>
        <v>Other Payroll Related</v>
      </c>
      <c r="C136" s="8" t="s">
        <v>1206</v>
      </c>
      <c r="D136" s="95">
        <f>'5-P3 Support'!F21</f>
        <v>0</v>
      </c>
      <c r="E136" s="95"/>
      <c r="F136" s="95" t="s">
        <v>24</v>
      </c>
      <c r="G136" s="739">
        <f>+G135</f>
        <v>9.880621410235467E-2</v>
      </c>
      <c r="H136" s="95"/>
      <c r="I136" s="95">
        <f>+G136*D136</f>
        <v>0</v>
      </c>
      <c r="J136" s="8"/>
      <c r="K136" s="195"/>
    </row>
    <row r="137" spans="1:12">
      <c r="A137" s="395">
        <f t="shared" si="11"/>
        <v>25</v>
      </c>
      <c r="B137" s="9" t="s">
        <v>34</v>
      </c>
      <c r="C137" s="8" t="s">
        <v>2</v>
      </c>
      <c r="D137" s="95"/>
      <c r="E137" s="95"/>
      <c r="F137" s="95"/>
      <c r="G137" s="739"/>
      <c r="H137" s="95"/>
      <c r="I137" s="95"/>
      <c r="J137" s="8"/>
      <c r="K137" s="195"/>
    </row>
    <row r="138" spans="1:12">
      <c r="A138" s="395">
        <f t="shared" si="11"/>
        <v>26</v>
      </c>
      <c r="B138" s="9" t="s">
        <v>35</v>
      </c>
      <c r="C138" s="8" t="s">
        <v>1263</v>
      </c>
      <c r="D138" s="95">
        <f>'5-P3 Support'!G21</f>
        <v>12111350</v>
      </c>
      <c r="E138" s="95"/>
      <c r="F138" s="95" t="s">
        <v>28</v>
      </c>
      <c r="G138" s="739">
        <f>+G53</f>
        <v>0.19127255078541938</v>
      </c>
      <c r="H138" s="95"/>
      <c r="I138" s="95">
        <f>+G138*D138</f>
        <v>2316568.8079549889</v>
      </c>
      <c r="J138" s="8"/>
      <c r="K138" s="195"/>
    </row>
    <row r="139" spans="1:12">
      <c r="A139" s="395">
        <f t="shared" si="11"/>
        <v>27</v>
      </c>
      <c r="B139" s="9" t="s">
        <v>36</v>
      </c>
      <c r="C139" s="8" t="s">
        <v>1207</v>
      </c>
      <c r="D139" s="95">
        <f>'5-P3 Support'!H21</f>
        <v>130943417</v>
      </c>
      <c r="E139" s="95"/>
      <c r="F139" s="95" t="s">
        <v>22</v>
      </c>
      <c r="G139" s="227" t="s">
        <v>111</v>
      </c>
      <c r="H139" s="95"/>
      <c r="I139" s="95">
        <v>0</v>
      </c>
      <c r="J139" s="8"/>
      <c r="K139" s="195"/>
    </row>
    <row r="140" spans="1:12">
      <c r="A140" s="395">
        <f t="shared" si="11"/>
        <v>28</v>
      </c>
      <c r="B140" s="9" t="s">
        <v>37</v>
      </c>
      <c r="C140" s="8" t="s">
        <v>1208</v>
      </c>
      <c r="D140" s="95">
        <f>'5-P3 Support'!I21</f>
        <v>537456</v>
      </c>
      <c r="E140" s="95"/>
      <c r="F140" s="95" t="s">
        <v>28</v>
      </c>
      <c r="G140" s="739">
        <f>+G138</f>
        <v>0.19127255078541938</v>
      </c>
      <c r="H140" s="95"/>
      <c r="I140" s="95">
        <f>+G140*D140</f>
        <v>102800.58005492836</v>
      </c>
      <c r="J140" s="8"/>
      <c r="K140" s="195"/>
    </row>
    <row r="141" spans="1:12" ht="13.8" thickBot="1">
      <c r="A141" s="395">
        <f t="shared" si="11"/>
        <v>29</v>
      </c>
      <c r="B141" s="9" t="s">
        <v>763</v>
      </c>
      <c r="C141" s="8" t="s">
        <v>1209</v>
      </c>
      <c r="D141" s="98">
        <f>'5-P3 Support'!J21</f>
        <v>4294</v>
      </c>
      <c r="E141" s="95"/>
      <c r="F141" s="95" t="s">
        <v>28</v>
      </c>
      <c r="G141" s="739">
        <f>+G138</f>
        <v>0.19127255078541938</v>
      </c>
      <c r="H141" s="95"/>
      <c r="I141" s="98">
        <f>+G141*D141</f>
        <v>821.32433307259078</v>
      </c>
      <c r="J141" s="8"/>
      <c r="K141" s="195"/>
    </row>
    <row r="142" spans="1:12">
      <c r="A142" s="395">
        <f t="shared" si="11"/>
        <v>30</v>
      </c>
      <c r="B142" s="9" t="s">
        <v>225</v>
      </c>
      <c r="C142" s="8" t="str">
        <f>"(Sum of Lines "&amp;A135&amp;" through "&amp;A141&amp;")"</f>
        <v>(Sum of Lines 23 through 29)</v>
      </c>
      <c r="D142" s="95">
        <f>SUM(D135:D141)</f>
        <v>156232909</v>
      </c>
      <c r="E142" s="95"/>
      <c r="F142" s="95"/>
      <c r="G142" s="739"/>
      <c r="H142" s="95"/>
      <c r="I142" s="95">
        <f>SUM(I135:I141)</f>
        <v>3668744.7657762719</v>
      </c>
      <c r="J142" s="8"/>
      <c r="K142" s="195"/>
    </row>
    <row r="143" spans="1:12">
      <c r="A143" s="395"/>
      <c r="B143" s="9"/>
      <c r="C143" s="8"/>
      <c r="D143" s="95"/>
      <c r="E143" s="95"/>
      <c r="F143" s="95"/>
      <c r="G143" s="228"/>
      <c r="H143" s="95"/>
      <c r="I143" s="95"/>
      <c r="J143" s="8"/>
      <c r="K143" s="195"/>
    </row>
    <row r="144" spans="1:12">
      <c r="A144" s="395">
        <f>A142+1</f>
        <v>31</v>
      </c>
      <c r="B144" s="420" t="s">
        <v>698</v>
      </c>
      <c r="C144" s="116" t="s">
        <v>696</v>
      </c>
      <c r="D144" s="555">
        <v>0</v>
      </c>
      <c r="E144" s="92"/>
      <c r="F144" s="92" t="str">
        <f>+F83</f>
        <v>DA</v>
      </c>
      <c r="G144" s="563">
        <v>1</v>
      </c>
      <c r="H144" s="92"/>
      <c r="I144" s="218">
        <f>+G144*D144</f>
        <v>0</v>
      </c>
      <c r="J144" s="8"/>
      <c r="K144" s="195"/>
      <c r="L144" s="95"/>
    </row>
    <row r="145" spans="1:12">
      <c r="A145" s="395"/>
      <c r="B145" s="420"/>
      <c r="C145" s="8"/>
      <c r="D145" s="8"/>
      <c r="E145" s="8"/>
      <c r="F145" s="8"/>
      <c r="G145" s="739"/>
      <c r="H145" s="8"/>
      <c r="I145" s="8"/>
      <c r="J145" s="8"/>
      <c r="L145" s="95"/>
    </row>
    <row r="146" spans="1:12">
      <c r="A146" s="395">
        <f>A144+1</f>
        <v>32</v>
      </c>
      <c r="B146" s="9" t="s">
        <v>38</v>
      </c>
      <c r="C146" s="8" t="str">
        <f>"(Note "&amp;A$225&amp;")"</f>
        <v>(Note G)</v>
      </c>
      <c r="D146" s="8"/>
      <c r="E146" s="8"/>
      <c r="F146" s="7"/>
      <c r="G146" s="624"/>
      <c r="H146" s="8"/>
      <c r="I146" s="7"/>
      <c r="J146" s="8"/>
      <c r="L146" s="95"/>
    </row>
    <row r="147" spans="1:12">
      <c r="A147" s="395">
        <f t="shared" si="11"/>
        <v>33</v>
      </c>
      <c r="B147" s="10" t="s">
        <v>456</v>
      </c>
      <c r="C147" s="8" t="s">
        <v>845</v>
      </c>
      <c r="D147" s="107">
        <f>IF(D226&gt;0,1-(((1-D227)*(1-D226))/(1-D227*D226*D228)),0)</f>
        <v>0.28892099999999998</v>
      </c>
      <c r="E147" s="8"/>
      <c r="F147" s="7"/>
      <c r="G147" s="624"/>
      <c r="H147" s="8"/>
      <c r="I147" s="7"/>
      <c r="J147" s="8"/>
      <c r="L147" s="95"/>
    </row>
    <row r="148" spans="1:12">
      <c r="A148" s="395">
        <f t="shared" si="11"/>
        <v>34</v>
      </c>
      <c r="B148" s="7" t="s">
        <v>39</v>
      </c>
      <c r="C148" s="8" t="s">
        <v>1239</v>
      </c>
      <c r="D148" s="107">
        <f>IF(I197&gt;0,(D147/(1-D147))*(1-I197/I200),0)</f>
        <v>0.30661026584160389</v>
      </c>
      <c r="E148" s="8"/>
      <c r="F148" s="7"/>
      <c r="G148" s="624"/>
      <c r="H148" s="8"/>
      <c r="I148" s="7"/>
      <c r="J148" s="8"/>
      <c r="K148" s="7"/>
    </row>
    <row r="149" spans="1:12">
      <c r="A149" s="395">
        <f t="shared" si="11"/>
        <v>35</v>
      </c>
      <c r="B149" s="9" t="s">
        <v>249</v>
      </c>
      <c r="C149" s="8" t="s">
        <v>250</v>
      </c>
      <c r="D149" s="8"/>
      <c r="E149" s="8"/>
      <c r="F149" s="7"/>
      <c r="G149" s="624"/>
      <c r="H149" s="8"/>
      <c r="I149" s="7"/>
      <c r="J149" s="8"/>
      <c r="K149" s="7"/>
    </row>
    <row r="150" spans="1:12">
      <c r="A150" s="395">
        <f t="shared" si="11"/>
        <v>36</v>
      </c>
      <c r="B150" s="9"/>
      <c r="D150" s="8"/>
      <c r="E150" s="8"/>
      <c r="F150" s="7"/>
      <c r="G150" s="624"/>
      <c r="H150" s="8"/>
      <c r="I150" s="7"/>
      <c r="J150" s="8"/>
      <c r="K150" s="7"/>
    </row>
    <row r="151" spans="1:12">
      <c r="A151" s="395">
        <f>+A150+1</f>
        <v>37</v>
      </c>
      <c r="B151" s="10" t="str">
        <f>"      1 / (1 - T)  =  (T from line "&amp;A147&amp;")"</f>
        <v xml:space="preserve">      1 / (1 - T)  =  (T from line 33)</v>
      </c>
      <c r="C151" s="8"/>
      <c r="D151" s="107">
        <f>IF(D118=0,0,1/(1-D147))</f>
        <v>1.4063135038441579</v>
      </c>
      <c r="E151" s="8"/>
      <c r="F151" s="7"/>
      <c r="G151" s="624"/>
      <c r="H151" s="8"/>
      <c r="I151" s="95"/>
      <c r="J151" s="8"/>
      <c r="K151" s="7"/>
    </row>
    <row r="152" spans="1:12">
      <c r="A152" s="743">
        <f t="shared" si="11"/>
        <v>38</v>
      </c>
      <c r="B152" s="9" t="s">
        <v>243</v>
      </c>
      <c r="C152" s="8" t="s">
        <v>1212</v>
      </c>
      <c r="D152" s="95">
        <f>-'5-P3 Support'!K21</f>
        <v>-3978.9374610137602</v>
      </c>
      <c r="E152" s="8"/>
      <c r="F152" s="7"/>
      <c r="G152" s="624"/>
      <c r="H152" s="8"/>
      <c r="I152" s="95"/>
      <c r="J152" s="8"/>
      <c r="K152" s="7"/>
    </row>
    <row r="153" spans="1:12">
      <c r="A153" s="395">
        <f t="shared" si="11"/>
        <v>39</v>
      </c>
      <c r="B153" s="9" t="s">
        <v>244</v>
      </c>
      <c r="C153" s="8" t="s">
        <v>1210</v>
      </c>
      <c r="D153" s="95">
        <f>-'5-P3 Support'!L21</f>
        <v>-1360026</v>
      </c>
      <c r="E153" s="8"/>
      <c r="F153" s="7"/>
      <c r="G153" s="563"/>
      <c r="H153" s="8"/>
      <c r="I153" s="95"/>
      <c r="J153" s="8"/>
      <c r="K153" s="7"/>
    </row>
    <row r="154" spans="1:12">
      <c r="A154" s="395">
        <f t="shared" si="11"/>
        <v>40</v>
      </c>
      <c r="B154" s="9" t="s">
        <v>295</v>
      </c>
      <c r="C154" s="8" t="s">
        <v>1211</v>
      </c>
      <c r="D154" s="95">
        <f>'5-P3 Support'!M21</f>
        <v>296018.03437660693</v>
      </c>
      <c r="E154" s="8"/>
      <c r="F154" s="7"/>
      <c r="G154" s="624"/>
      <c r="H154" s="8"/>
      <c r="I154" s="95"/>
      <c r="J154" s="8"/>
      <c r="K154" s="7"/>
    </row>
    <row r="155" spans="1:12">
      <c r="A155" s="395">
        <f t="shared" si="11"/>
        <v>41</v>
      </c>
      <c r="B155" s="10" t="s">
        <v>245</v>
      </c>
      <c r="C155" s="11" t="str">
        <f>"(Line "&amp;A148&amp;" times Line "&amp;A162&amp;")"</f>
        <v>(Line 34 times Line 47)</v>
      </c>
      <c r="D155" s="99">
        <f>+D148*D162</f>
        <v>140538673.10596633</v>
      </c>
      <c r="E155" s="96"/>
      <c r="F155" s="96" t="s">
        <v>22</v>
      </c>
      <c r="G155" s="739"/>
      <c r="H155" s="96"/>
      <c r="I155" s="99">
        <f>+D148*I162</f>
        <v>21721814.850035071</v>
      </c>
      <c r="J155" s="8"/>
      <c r="K155" s="387" t="s">
        <v>2</v>
      </c>
    </row>
    <row r="156" spans="1:12">
      <c r="A156" s="395">
        <f t="shared" si="11"/>
        <v>42</v>
      </c>
      <c r="B156" s="7" t="s">
        <v>246</v>
      </c>
      <c r="C156" s="11" t="str">
        <f>"(Line "&amp;A151&amp;" times Line "&amp;A152&amp;")"</f>
        <v>(Line 37 times Line 38)</v>
      </c>
      <c r="D156" s="99">
        <f>+D$151*D152</f>
        <v>-5595.6334823750385</v>
      </c>
      <c r="E156" s="96"/>
      <c r="F156" s="423" t="s">
        <v>15</v>
      </c>
      <c r="G156" s="739">
        <v>1</v>
      </c>
      <c r="H156" s="96"/>
      <c r="I156" s="99">
        <f>+G156*D156</f>
        <v>-5595.6334823750385</v>
      </c>
      <c r="J156" s="8"/>
      <c r="K156" s="387"/>
    </row>
    <row r="157" spans="1:12">
      <c r="A157" s="395">
        <f t="shared" si="11"/>
        <v>43</v>
      </c>
      <c r="B157" s="7" t="s">
        <v>247</v>
      </c>
      <c r="C157" s="11" t="str">
        <f>"(Line "&amp;A151&amp;" times Line "&amp;A153&amp;")"</f>
        <v>(Line 37 times Line 39)</v>
      </c>
      <c r="D157" s="99">
        <f>+D$151*D153</f>
        <v>-1912622.9293791547</v>
      </c>
      <c r="E157" s="96"/>
      <c r="F157" s="423" t="s">
        <v>15</v>
      </c>
      <c r="G157" s="739">
        <v>1</v>
      </c>
      <c r="H157" s="96"/>
      <c r="I157" s="99">
        <f>+G157*D157</f>
        <v>-1912622.9293791547</v>
      </c>
      <c r="J157" s="8"/>
      <c r="K157" s="387"/>
    </row>
    <row r="158" spans="1:12" ht="13.8" thickBot="1">
      <c r="A158" s="395">
        <f t="shared" si="11"/>
        <v>44</v>
      </c>
      <c r="B158" s="7" t="s">
        <v>114</v>
      </c>
      <c r="C158" s="11" t="str">
        <f>"(Line "&amp;A151&amp;" times Line "&amp;A154&amp;")"</f>
        <v>(Line 37 times Line 40)</v>
      </c>
      <c r="D158" s="99">
        <f>+D$151*D154</f>
        <v>416294.15912522649</v>
      </c>
      <c r="E158" s="96"/>
      <c r="F158" s="423" t="s">
        <v>15</v>
      </c>
      <c r="G158" s="739">
        <v>1</v>
      </c>
      <c r="H158" s="96"/>
      <c r="I158" s="424">
        <f>+G158*D158</f>
        <v>416294.15912522649</v>
      </c>
      <c r="J158" s="8"/>
      <c r="K158" s="387"/>
    </row>
    <row r="159" spans="1:12">
      <c r="A159" s="395">
        <f t="shared" si="11"/>
        <v>45</v>
      </c>
      <c r="B159" s="12" t="s">
        <v>248</v>
      </c>
      <c r="C159" s="7" t="str">
        <f>"(Sum of Lines "&amp;A155&amp;" through "&amp;A158&amp;")"</f>
        <v>(Sum of Lines 41 through 44)</v>
      </c>
      <c r="D159" s="99">
        <f>SUM(D155:D158)</f>
        <v>139036748.70223004</v>
      </c>
      <c r="E159" s="96"/>
      <c r="F159" s="96" t="s">
        <v>2</v>
      </c>
      <c r="G159" s="422" t="s">
        <v>2</v>
      </c>
      <c r="H159" s="96"/>
      <c r="I159" s="99">
        <f>SUM(I155:I158)</f>
        <v>20219890.446298771</v>
      </c>
      <c r="J159" s="8"/>
      <c r="K159" s="8"/>
    </row>
    <row r="160" spans="1:12">
      <c r="A160" s="395"/>
      <c r="B160" s="7"/>
      <c r="C160" s="425"/>
      <c r="D160" s="95"/>
      <c r="E160" s="8"/>
      <c r="F160" s="8"/>
      <c r="G160" s="421"/>
      <c r="H160" s="8"/>
      <c r="I160" s="95"/>
      <c r="J160" s="8"/>
      <c r="K160" s="8"/>
    </row>
    <row r="161" spans="1:11">
      <c r="A161" s="395">
        <f>+A159+1</f>
        <v>46</v>
      </c>
      <c r="B161" s="9" t="s">
        <v>41</v>
      </c>
      <c r="J161" s="8"/>
      <c r="K161" s="7"/>
    </row>
    <row r="162" spans="1:11">
      <c r="A162" s="395">
        <f>A161+1</f>
        <v>47</v>
      </c>
      <c r="B162" s="12" t="s">
        <v>305</v>
      </c>
      <c r="C162" s="10" t="s">
        <v>1238</v>
      </c>
      <c r="D162" s="95">
        <f>+$I200*D98</f>
        <v>458362581.9579348</v>
      </c>
      <c r="E162" s="96"/>
      <c r="F162" s="96" t="s">
        <v>22</v>
      </c>
      <c r="G162" s="426"/>
      <c r="H162" s="96"/>
      <c r="I162" s="95">
        <f>+$I200*I98</f>
        <v>70845034.462272868</v>
      </c>
      <c r="K162" s="195"/>
    </row>
    <row r="163" spans="1:11">
      <c r="A163" s="395"/>
      <c r="B163" s="9"/>
      <c r="C163" s="7"/>
      <c r="D163" s="218"/>
      <c r="E163" s="96"/>
      <c r="F163" s="96"/>
      <c r="G163" s="426"/>
      <c r="H163" s="96"/>
      <c r="I163" s="218"/>
      <c r="J163" s="8"/>
      <c r="K163" s="195"/>
    </row>
    <row r="164" spans="1:11" ht="13.8" thickBot="1">
      <c r="A164" s="395">
        <f>A162+1</f>
        <v>48</v>
      </c>
      <c r="B164" s="9" t="s">
        <v>251</v>
      </c>
      <c r="C164" s="8" t="str">
        <f>"(Sum of Lines "&amp;A122&amp;", "&amp;A131&amp;", "&amp;A142&amp;", "&amp;A144&amp;", "&amp;A159&amp;", "&amp;A162&amp;")"</f>
        <v>(Sum of Lines 12, 20, 30, 31, 45, 47)</v>
      </c>
      <c r="D164" s="427">
        <f>+D162+D159+D142+D131+D122+D144</f>
        <v>1087074565.5493159</v>
      </c>
      <c r="E164" s="96"/>
      <c r="F164" s="96"/>
      <c r="G164" s="100"/>
      <c r="H164" s="96"/>
      <c r="I164" s="427">
        <f>+I162+I159+I142+I131+I122+I144</f>
        <v>199048237.55293682</v>
      </c>
      <c r="J164" s="82"/>
      <c r="K164" s="82"/>
    </row>
    <row r="165" spans="1:11" ht="1.2" customHeight="1" thickTop="1">
      <c r="A165" s="395"/>
      <c r="B165" s="9"/>
      <c r="C165" s="8"/>
      <c r="D165" s="100"/>
      <c r="E165" s="96"/>
      <c r="F165" s="96"/>
      <c r="G165" s="100"/>
      <c r="H165" s="96"/>
      <c r="I165" s="218"/>
      <c r="J165" s="82"/>
      <c r="K165" s="82"/>
    </row>
    <row r="166" spans="1:11">
      <c r="A166" s="395"/>
      <c r="B166" s="428"/>
      <c r="C166" s="96"/>
      <c r="D166" s="100"/>
      <c r="E166" s="100"/>
      <c r="F166" s="100"/>
      <c r="G166" s="100"/>
      <c r="H166" s="100"/>
      <c r="I166" s="100"/>
      <c r="J166" s="82"/>
      <c r="K166" s="82"/>
    </row>
    <row r="167" spans="1:11">
      <c r="A167" s="194"/>
      <c r="B167" s="7"/>
      <c r="C167" s="7"/>
      <c r="D167" s="7"/>
      <c r="E167" s="7"/>
      <c r="F167" s="7"/>
      <c r="G167" s="7"/>
      <c r="H167" s="7"/>
      <c r="I167" s="7"/>
      <c r="J167" s="8"/>
      <c r="K167" s="416" t="s">
        <v>115</v>
      </c>
    </row>
    <row r="168" spans="1:11">
      <c r="A168" s="194"/>
      <c r="B168" s="7"/>
      <c r="C168" s="7"/>
      <c r="D168" s="7"/>
      <c r="E168" s="7"/>
      <c r="F168" s="7"/>
      <c r="G168" s="7"/>
      <c r="H168" s="7"/>
      <c r="I168" s="7"/>
      <c r="J168" s="8"/>
      <c r="K168" s="8"/>
    </row>
    <row r="169" spans="1:11">
      <c r="A169" s="194"/>
      <c r="B169" s="9" t="s">
        <v>1</v>
      </c>
      <c r="C169" s="7"/>
      <c r="D169" s="108" t="s">
        <v>76</v>
      </c>
      <c r="E169" s="7"/>
      <c r="F169" s="7"/>
      <c r="G169" s="7"/>
      <c r="H169" s="7"/>
      <c r="I169" s="18"/>
      <c r="J169" s="8"/>
      <c r="K169" s="429" t="str">
        <f>K3</f>
        <v>For  the 12 months ended 12/31/2018</v>
      </c>
    </row>
    <row r="170" spans="1:11">
      <c r="A170" s="194"/>
      <c r="B170" s="9"/>
      <c r="C170" s="7"/>
      <c r="D170" s="108" t="s">
        <v>103</v>
      </c>
      <c r="E170" s="7"/>
      <c r="F170" s="7"/>
      <c r="G170" s="7"/>
      <c r="H170" s="7"/>
      <c r="I170" s="7"/>
      <c r="J170" s="8"/>
      <c r="K170" s="8"/>
    </row>
    <row r="171" spans="1:11">
      <c r="A171" s="194"/>
      <c r="B171" s="7"/>
      <c r="C171" s="7"/>
      <c r="D171" s="108" t="str">
        <f>+D105</f>
        <v>PECO Energy Company</v>
      </c>
      <c r="E171" s="7"/>
      <c r="F171" s="7"/>
      <c r="G171" s="7"/>
      <c r="H171" s="7"/>
      <c r="I171" s="7"/>
      <c r="J171" s="8"/>
      <c r="K171" s="8"/>
    </row>
    <row r="172" spans="1:11">
      <c r="A172" s="991"/>
      <c r="B172" s="991"/>
      <c r="C172" s="991"/>
      <c r="D172" s="991"/>
      <c r="E172" s="991"/>
      <c r="F172" s="991"/>
      <c r="G172" s="991"/>
      <c r="H172" s="991"/>
      <c r="I172" s="991"/>
      <c r="J172" s="991"/>
      <c r="K172" s="991"/>
    </row>
    <row r="173" spans="1:11" s="432" customFormat="1">
      <c r="A173" s="430"/>
      <c r="B173" s="223" t="s">
        <v>3</v>
      </c>
      <c r="C173" s="223" t="s">
        <v>4</v>
      </c>
      <c r="D173" s="223" t="s">
        <v>5</v>
      </c>
      <c r="E173" s="8" t="s">
        <v>2</v>
      </c>
      <c r="F173" s="8"/>
      <c r="G173" s="106" t="s">
        <v>6</v>
      </c>
      <c r="H173" s="8"/>
      <c r="I173" s="106" t="s">
        <v>7</v>
      </c>
      <c r="J173" s="431"/>
      <c r="K173" s="431"/>
    </row>
    <row r="174" spans="1:11">
      <c r="A174" s="194"/>
      <c r="B174" s="7"/>
      <c r="C174" s="9"/>
      <c r="D174" s="9"/>
      <c r="E174" s="9"/>
      <c r="F174" s="9"/>
      <c r="G174" s="9"/>
      <c r="H174" s="9"/>
      <c r="I174" s="9"/>
      <c r="J174" s="9"/>
      <c r="K174" s="9"/>
    </row>
    <row r="175" spans="1:11">
      <c r="A175" s="194"/>
      <c r="B175" s="7"/>
      <c r="C175" s="405" t="s">
        <v>42</v>
      </c>
      <c r="D175" s="7"/>
      <c r="E175" s="82"/>
      <c r="F175" s="82"/>
      <c r="G175" s="82"/>
      <c r="H175" s="82"/>
      <c r="I175" s="82"/>
      <c r="J175" s="8"/>
      <c r="K175" s="8"/>
    </row>
    <row r="176" spans="1:11">
      <c r="A176" s="194" t="s">
        <v>8</v>
      </c>
      <c r="B176" s="405"/>
      <c r="C176" s="82"/>
      <c r="D176" s="82"/>
      <c r="E176" s="82"/>
      <c r="F176" s="82"/>
      <c r="G176" s="82"/>
      <c r="H176" s="82"/>
      <c r="I176" s="82"/>
      <c r="J176" s="8"/>
      <c r="K176" s="8"/>
    </row>
    <row r="177" spans="1:11" ht="13.8" thickBot="1">
      <c r="A177" s="377" t="s">
        <v>10</v>
      </c>
      <c r="B177" s="81" t="s">
        <v>43</v>
      </c>
      <c r="C177" s="82"/>
      <c r="D177" s="82"/>
      <c r="E177" s="82"/>
      <c r="F177" s="82"/>
      <c r="G177" s="82"/>
      <c r="H177" s="7"/>
      <c r="I177" s="7"/>
      <c r="J177" s="8"/>
      <c r="K177" s="8"/>
    </row>
    <row r="178" spans="1:11">
      <c r="A178" s="194">
        <v>1</v>
      </c>
      <c r="B178" s="220" t="s">
        <v>237</v>
      </c>
      <c r="C178" s="82" t="s">
        <v>315</v>
      </c>
      <c r="D178" s="8"/>
      <c r="E178" s="8"/>
      <c r="F178" s="8"/>
      <c r="G178" s="8"/>
      <c r="H178" s="8"/>
      <c r="I178" s="95">
        <f>D47</f>
        <v>1568082822.8461537</v>
      </c>
      <c r="J178" s="8"/>
      <c r="K178" s="8"/>
    </row>
    <row r="179" spans="1:11">
      <c r="A179" s="194">
        <f>+A178+1</f>
        <v>2</v>
      </c>
      <c r="B179" s="220" t="s">
        <v>764</v>
      </c>
      <c r="C179" s="7" t="s">
        <v>235</v>
      </c>
      <c r="D179" s="7"/>
      <c r="E179" s="7"/>
      <c r="F179" s="7"/>
      <c r="G179" s="7"/>
      <c r="H179" s="7"/>
      <c r="I179" s="554">
        <v>0</v>
      </c>
      <c r="J179" s="8"/>
      <c r="K179" s="8"/>
    </row>
    <row r="180" spans="1:11" ht="13.8" thickBot="1">
      <c r="A180" s="194">
        <f>+A179+1</f>
        <v>3</v>
      </c>
      <c r="B180" s="101" t="s">
        <v>238</v>
      </c>
      <c r="C180" s="102" t="s">
        <v>236</v>
      </c>
      <c r="D180" s="18"/>
      <c r="E180" s="8"/>
      <c r="F180" s="8"/>
      <c r="G180" s="103"/>
      <c r="H180" s="8"/>
      <c r="I180" s="559">
        <v>0</v>
      </c>
      <c r="J180" s="8"/>
      <c r="K180" s="8"/>
    </row>
    <row r="181" spans="1:11">
      <c r="A181" s="194">
        <f t="shared" ref="A181:A191" si="12">+A180+1</f>
        <v>4</v>
      </c>
      <c r="B181" s="220" t="s">
        <v>765</v>
      </c>
      <c r="C181" s="82" t="s">
        <v>239</v>
      </c>
      <c r="D181" s="8"/>
      <c r="E181" s="8"/>
      <c r="F181" s="8"/>
      <c r="G181" s="103"/>
      <c r="H181" s="8"/>
      <c r="I181" s="95">
        <f>I178-I179-I180</f>
        <v>1568082822.8461537</v>
      </c>
      <c r="J181" s="8"/>
      <c r="K181" s="8"/>
    </row>
    <row r="182" spans="1:11">
      <c r="A182" s="194"/>
      <c r="B182" s="7"/>
      <c r="C182" s="82"/>
      <c r="D182" s="8"/>
      <c r="E182" s="8"/>
      <c r="F182" s="8"/>
      <c r="G182" s="103"/>
      <c r="H182" s="8"/>
      <c r="I182" s="95"/>
      <c r="J182" s="8"/>
      <c r="K182" s="8"/>
    </row>
    <row r="183" spans="1:11">
      <c r="A183" s="194">
        <f>+A181+1</f>
        <v>5</v>
      </c>
      <c r="B183" s="220" t="s">
        <v>766</v>
      </c>
      <c r="C183" s="104" t="s">
        <v>240</v>
      </c>
      <c r="D183" s="105"/>
      <c r="E183" s="105"/>
      <c r="F183" s="105"/>
      <c r="G183" s="106"/>
      <c r="H183" s="8" t="s">
        <v>44</v>
      </c>
      <c r="I183" s="227">
        <f>IF(I178&gt;0,I181/I178,0)</f>
        <v>1</v>
      </c>
      <c r="J183" s="8"/>
      <c r="K183" s="8"/>
    </row>
    <row r="184" spans="1:11">
      <c r="A184" s="194"/>
      <c r="B184" s="7"/>
      <c r="C184" s="7"/>
      <c r="D184" s="7"/>
      <c r="E184" s="7"/>
      <c r="F184" s="7"/>
      <c r="G184" s="7"/>
      <c r="H184" s="7"/>
      <c r="I184" s="7"/>
      <c r="J184" s="7"/>
      <c r="K184" s="7"/>
    </row>
    <row r="185" spans="1:11">
      <c r="A185" s="194">
        <f>+A183+1</f>
        <v>6</v>
      </c>
      <c r="B185" s="9" t="s">
        <v>116</v>
      </c>
      <c r="C185" s="8"/>
      <c r="D185" s="8"/>
      <c r="E185" s="8"/>
      <c r="F185" s="8"/>
      <c r="G185" s="8"/>
      <c r="H185" s="8"/>
      <c r="I185" s="8"/>
      <c r="J185" s="8"/>
      <c r="K185" s="8"/>
    </row>
    <row r="186" spans="1:11" ht="13.8" thickBot="1">
      <c r="A186" s="194"/>
      <c r="B186" s="9"/>
      <c r="C186" s="433" t="s">
        <v>45</v>
      </c>
      <c r="D186" s="434" t="s">
        <v>46</v>
      </c>
      <c r="E186" s="434" t="s">
        <v>15</v>
      </c>
      <c r="F186" s="8"/>
      <c r="G186" s="434" t="s">
        <v>47</v>
      </c>
      <c r="H186" s="8"/>
      <c r="I186" s="8"/>
      <c r="J186" s="8"/>
      <c r="K186" s="8"/>
    </row>
    <row r="187" spans="1:11">
      <c r="A187" s="194">
        <f>+A185+1</f>
        <v>7</v>
      </c>
      <c r="B187" s="9" t="s">
        <v>886</v>
      </c>
      <c r="C187" s="8" t="s">
        <v>48</v>
      </c>
      <c r="D187" s="867">
        <v>0</v>
      </c>
      <c r="E187" s="578">
        <v>0</v>
      </c>
      <c r="F187" s="435"/>
      <c r="G187" s="95">
        <f>D187*E187</f>
        <v>0</v>
      </c>
      <c r="H187" s="96"/>
      <c r="I187" s="96"/>
      <c r="J187" s="8"/>
      <c r="K187" s="8"/>
    </row>
    <row r="188" spans="1:11">
      <c r="A188" s="194">
        <f t="shared" si="12"/>
        <v>8</v>
      </c>
      <c r="B188" s="9" t="s">
        <v>883</v>
      </c>
      <c r="C188" s="8" t="s">
        <v>284</v>
      </c>
      <c r="D188" s="867">
        <v>14301727</v>
      </c>
      <c r="E188" s="578">
        <f>+I183</f>
        <v>1</v>
      </c>
      <c r="F188" s="435"/>
      <c r="G188" s="95">
        <f>D188*E188</f>
        <v>14301727</v>
      </c>
      <c r="H188" s="96"/>
      <c r="I188" s="96"/>
      <c r="J188" s="8"/>
      <c r="K188" s="8"/>
    </row>
    <row r="189" spans="1:11">
      <c r="A189" s="194">
        <f t="shared" si="12"/>
        <v>9</v>
      </c>
      <c r="B189" s="9" t="s">
        <v>884</v>
      </c>
      <c r="C189" s="8" t="s">
        <v>99</v>
      </c>
      <c r="D189" s="867">
        <v>96537443</v>
      </c>
      <c r="E189" s="578">
        <v>0</v>
      </c>
      <c r="F189" s="435"/>
      <c r="G189" s="95">
        <f>D189*E189</f>
        <v>0</v>
      </c>
      <c r="H189" s="96"/>
      <c r="I189" s="436" t="s">
        <v>49</v>
      </c>
      <c r="J189" s="8"/>
      <c r="K189" s="8"/>
    </row>
    <row r="190" spans="1:11" ht="13.8" thickBot="1">
      <c r="A190" s="194">
        <f t="shared" si="12"/>
        <v>10</v>
      </c>
      <c r="B190" s="9" t="s">
        <v>885</v>
      </c>
      <c r="C190" s="8" t="s">
        <v>285</v>
      </c>
      <c r="D190" s="868">
        <f>31966449+1355496+584103</f>
        <v>33906048</v>
      </c>
      <c r="E190" s="578">
        <v>0</v>
      </c>
      <c r="F190" s="435"/>
      <c r="G190" s="98">
        <f>D190*E190</f>
        <v>0</v>
      </c>
      <c r="H190" s="96"/>
      <c r="I190" s="437" t="s">
        <v>50</v>
      </c>
      <c r="J190" s="8"/>
      <c r="K190" s="8"/>
    </row>
    <row r="191" spans="1:11">
      <c r="A191" s="194">
        <f t="shared" si="12"/>
        <v>11</v>
      </c>
      <c r="B191" s="9" t="s">
        <v>393</v>
      </c>
      <c r="C191" s="8" t="s">
        <v>241</v>
      </c>
      <c r="D191" s="95">
        <f>SUM(D187:D190)</f>
        <v>144745218</v>
      </c>
      <c r="E191" s="8"/>
      <c r="F191" s="8"/>
      <c r="G191" s="95">
        <f>SUM(G187:G190)</f>
        <v>14301727</v>
      </c>
      <c r="H191" s="438" t="s">
        <v>51</v>
      </c>
      <c r="I191" s="739">
        <f>IF(G191&gt;0,G191/D191,0)</f>
        <v>9.880621410235467E-2</v>
      </c>
      <c r="J191" s="103" t="s">
        <v>51</v>
      </c>
      <c r="K191" s="8" t="s">
        <v>52</v>
      </c>
    </row>
    <row r="192" spans="1:11">
      <c r="A192" s="194"/>
      <c r="B192" s="9" t="s">
        <v>2</v>
      </c>
      <c r="C192" s="8" t="s">
        <v>2</v>
      </c>
      <c r="D192" s="7"/>
      <c r="E192" s="8"/>
      <c r="F192" s="8"/>
      <c r="G192" s="7"/>
      <c r="H192" s="7"/>
      <c r="I192" s="7"/>
      <c r="J192" s="7"/>
      <c r="K192" s="8"/>
    </row>
    <row r="194" spans="1:11" ht="13.8" thickBot="1">
      <c r="A194" s="194">
        <f>A191+1</f>
        <v>12</v>
      </c>
      <c r="B194" s="81" t="s">
        <v>53</v>
      </c>
      <c r="C194" s="8" t="s">
        <v>261</v>
      </c>
      <c r="D194" s="8"/>
      <c r="E194" s="8"/>
      <c r="F194" s="8"/>
      <c r="G194" s="8"/>
      <c r="H194" s="8"/>
      <c r="I194" s="434" t="s">
        <v>46</v>
      </c>
      <c r="J194" s="8"/>
      <c r="K194" s="8"/>
    </row>
    <row r="195" spans="1:11">
      <c r="A195" s="194">
        <f t="shared" ref="A195:A200" si="13">+A194+1</f>
        <v>13</v>
      </c>
      <c r="B195" s="9"/>
      <c r="C195" s="8"/>
      <c r="D195" s="8"/>
      <c r="E195" s="8"/>
      <c r="F195" s="8"/>
      <c r="G195" s="103" t="s">
        <v>54</v>
      </c>
      <c r="H195" s="8"/>
      <c r="I195" s="8"/>
      <c r="J195" s="8"/>
      <c r="K195" s="8"/>
    </row>
    <row r="196" spans="1:11" ht="13.8" thickBot="1">
      <c r="A196" s="194">
        <f t="shared" si="13"/>
        <v>14</v>
      </c>
      <c r="B196" s="9"/>
      <c r="C196" s="8"/>
      <c r="D196" s="377" t="s">
        <v>46</v>
      </c>
      <c r="E196" s="377" t="s">
        <v>55</v>
      </c>
      <c r="F196" s="8"/>
      <c r="G196" s="108" t="str">
        <f>"(Notes "&amp;A233&amp;", "&amp;A239&amp;", &amp; "&amp;A240&amp;")"</f>
        <v>(Notes K, Q, &amp; R)</v>
      </c>
      <c r="H196" s="8"/>
      <c r="I196" s="377" t="s">
        <v>56</v>
      </c>
      <c r="J196" s="8"/>
      <c r="K196" s="8"/>
    </row>
    <row r="197" spans="1:11">
      <c r="A197" s="194">
        <f t="shared" si="13"/>
        <v>15</v>
      </c>
      <c r="B197" s="81" t="s">
        <v>242</v>
      </c>
      <c r="C197" s="7" t="s">
        <v>846</v>
      </c>
      <c r="D197" s="109">
        <f>+'5-P3 Support'!F42</f>
        <v>3126726301.3076925</v>
      </c>
      <c r="E197" s="533">
        <f>+'5-P3 Support'!G42</f>
        <v>0.46387322745475129</v>
      </c>
      <c r="F197" s="83"/>
      <c r="G197" s="227">
        <f>+'5-P3 Support'!I42</f>
        <v>4.1341234743168399E-2</v>
      </c>
      <c r="H197" s="228"/>
      <c r="I197" s="624">
        <f>+'5-P3 Support'!K42</f>
        <v>1.917709198727802E-2</v>
      </c>
      <c r="J197" s="378" t="s">
        <v>57</v>
      </c>
      <c r="K197" s="7"/>
    </row>
    <row r="198" spans="1:11">
      <c r="A198" s="194">
        <f t="shared" si="13"/>
        <v>16</v>
      </c>
      <c r="B198" s="81" t="s">
        <v>117</v>
      </c>
      <c r="C198" s="7" t="s">
        <v>847</v>
      </c>
      <c r="D198" s="109">
        <f>+'5-P3 Support'!F43</f>
        <v>0</v>
      </c>
      <c r="E198" s="533">
        <f>+'5-P3 Support'!G43</f>
        <v>0</v>
      </c>
      <c r="F198" s="83"/>
      <c r="G198" s="227">
        <f>+'5-P3 Support'!I43</f>
        <v>0</v>
      </c>
      <c r="H198" s="228"/>
      <c r="I198" s="624">
        <f>+'5-P3 Support'!K43</f>
        <v>0</v>
      </c>
      <c r="J198" s="8"/>
      <c r="K198" s="7"/>
    </row>
    <row r="199" spans="1:11" ht="13.8" thickBot="1">
      <c r="A199" s="194">
        <f t="shared" si="13"/>
        <v>17</v>
      </c>
      <c r="B199" s="81" t="s">
        <v>293</v>
      </c>
      <c r="C199" s="7" t="s">
        <v>848</v>
      </c>
      <c r="D199" s="182">
        <f>+'5-P3 Support'!F44</f>
        <v>3613749579.2769237</v>
      </c>
      <c r="E199" s="562">
        <f>+'5-P3 Support'!G44</f>
        <v>0.53612677254524876</v>
      </c>
      <c r="F199" s="225"/>
      <c r="G199" s="227">
        <f>+'5-P3 Support'!I44</f>
        <v>0.11</v>
      </c>
      <c r="H199" s="228"/>
      <c r="I199" s="562">
        <f>+'5-P3 Support'!K44</f>
        <v>5.8973944979977364E-2</v>
      </c>
      <c r="J199" s="8"/>
      <c r="K199" s="7"/>
    </row>
    <row r="200" spans="1:11">
      <c r="A200" s="194">
        <f t="shared" si="13"/>
        <v>18</v>
      </c>
      <c r="B200" s="9" t="s">
        <v>234</v>
      </c>
      <c r="C200" s="7" t="s">
        <v>1213</v>
      </c>
      <c r="D200" s="109">
        <f>+'5-P3 Support'!F45</f>
        <v>6740475880.5846157</v>
      </c>
      <c r="E200" s="8" t="s">
        <v>2</v>
      </c>
      <c r="F200" s="8"/>
      <c r="G200" s="228"/>
      <c r="H200" s="228"/>
      <c r="I200" s="624">
        <f>+'5-P3 Support'!K45</f>
        <v>7.815103696725538E-2</v>
      </c>
      <c r="J200" s="378" t="s">
        <v>58</v>
      </c>
      <c r="K200" s="7"/>
    </row>
    <row r="206" spans="1:11">
      <c r="A206" s="194"/>
      <c r="B206" s="381"/>
      <c r="C206" s="194"/>
      <c r="D206" s="8"/>
      <c r="E206" s="8"/>
      <c r="F206" s="8"/>
      <c r="G206" s="8"/>
      <c r="H206" s="220"/>
      <c r="I206" s="112"/>
      <c r="J206" s="111"/>
      <c r="K206" s="111"/>
    </row>
    <row r="207" spans="1:11">
      <c r="A207" s="194"/>
      <c r="B207" s="381"/>
      <c r="C207" s="194"/>
      <c r="D207" s="8"/>
      <c r="E207" s="8"/>
      <c r="F207" s="8"/>
      <c r="G207" s="8"/>
      <c r="H207" s="220"/>
      <c r="I207" s="112"/>
      <c r="J207" s="111"/>
      <c r="K207" s="111"/>
    </row>
    <row r="208" spans="1:11">
      <c r="A208" s="194"/>
      <c r="B208" s="9"/>
      <c r="C208" s="82"/>
      <c r="D208" s="8"/>
      <c r="E208" s="8"/>
      <c r="F208" s="8"/>
      <c r="G208" s="8"/>
      <c r="H208" s="82"/>
      <c r="I208" s="8"/>
      <c r="J208" s="82"/>
      <c r="K208" s="416" t="s">
        <v>118</v>
      </c>
    </row>
    <row r="209" spans="1:12">
      <c r="A209" s="194"/>
      <c r="B209" s="9"/>
      <c r="C209" s="82"/>
      <c r="D209" s="8"/>
      <c r="E209" s="8"/>
      <c r="F209" s="8"/>
      <c r="G209" s="8"/>
      <c r="H209" s="82"/>
      <c r="I209" s="8"/>
      <c r="J209" s="82"/>
      <c r="K209" s="8"/>
    </row>
    <row r="210" spans="1:12">
      <c r="A210" s="194"/>
      <c r="B210" s="381" t="s">
        <v>1</v>
      </c>
      <c r="C210" s="194"/>
      <c r="D210" s="103" t="s">
        <v>76</v>
      </c>
      <c r="E210" s="8"/>
      <c r="F210" s="8"/>
      <c r="G210" s="8"/>
      <c r="H210" s="220"/>
      <c r="I210" s="18"/>
      <c r="J210" s="110"/>
      <c r="K210" s="439" t="str">
        <f>K3</f>
        <v>For  the 12 months ended 12/31/2018</v>
      </c>
    </row>
    <row r="211" spans="1:12">
      <c r="A211" s="194"/>
      <c r="B211" s="381"/>
      <c r="C211" s="194"/>
      <c r="D211" s="103" t="s">
        <v>103</v>
      </c>
      <c r="E211" s="8"/>
      <c r="F211" s="8"/>
      <c r="G211" s="8"/>
      <c r="H211" s="220"/>
      <c r="I211" s="440"/>
      <c r="J211" s="110"/>
      <c r="K211" s="111"/>
    </row>
    <row r="212" spans="1:12">
      <c r="A212" s="194"/>
      <c r="B212" s="381"/>
      <c r="C212" s="194"/>
      <c r="D212" s="103" t="str">
        <f>+D171</f>
        <v>PECO Energy Company</v>
      </c>
      <c r="E212" s="8"/>
      <c r="F212" s="8"/>
      <c r="G212" s="8"/>
      <c r="H212" s="220"/>
      <c r="I212" s="440"/>
      <c r="J212" s="110"/>
      <c r="K212" s="111"/>
    </row>
    <row r="213" spans="1:12">
      <c r="A213" s="991"/>
      <c r="B213" s="991"/>
      <c r="C213" s="991"/>
      <c r="D213" s="991"/>
      <c r="E213" s="991"/>
      <c r="F213" s="991"/>
      <c r="G213" s="991"/>
      <c r="H213" s="991"/>
      <c r="I213" s="991"/>
      <c r="J213" s="991"/>
      <c r="K213" s="991"/>
    </row>
    <row r="214" spans="1:12">
      <c r="A214" s="194"/>
      <c r="B214" s="381"/>
      <c r="C214" s="194"/>
      <c r="D214" s="8"/>
      <c r="E214" s="8"/>
      <c r="F214" s="8"/>
      <c r="G214" s="8"/>
      <c r="H214" s="220"/>
      <c r="I214" s="440"/>
      <c r="J214" s="110"/>
      <c r="K214" s="111"/>
    </row>
    <row r="215" spans="1:12">
      <c r="A215" s="194"/>
      <c r="B215" s="81" t="s">
        <v>59</v>
      </c>
      <c r="C215" s="194"/>
      <c r="D215" s="8"/>
      <c r="E215" s="8"/>
      <c r="F215" s="8"/>
      <c r="G215" s="8"/>
      <c r="H215" s="220"/>
      <c r="I215" s="8"/>
      <c r="J215" s="220"/>
      <c r="K215" s="8"/>
    </row>
    <row r="216" spans="1:12">
      <c r="A216" s="194"/>
      <c r="B216" s="441" t="s">
        <v>119</v>
      </c>
      <c r="C216" s="194"/>
      <c r="D216" s="8"/>
      <c r="E216" s="8"/>
      <c r="F216" s="8"/>
      <c r="G216" s="8"/>
      <c r="H216" s="220"/>
      <c r="I216" s="8"/>
      <c r="J216" s="220"/>
      <c r="K216" s="8"/>
    </row>
    <row r="217" spans="1:12">
      <c r="A217" s="194" t="s">
        <v>60</v>
      </c>
      <c r="B217" s="81"/>
      <c r="C217" s="220"/>
      <c r="D217" s="8"/>
      <c r="E217" s="8"/>
      <c r="F217" s="8"/>
      <c r="G217" s="8"/>
      <c r="H217" s="220"/>
      <c r="I217" s="8"/>
      <c r="J217" s="220"/>
      <c r="K217" s="8"/>
    </row>
    <row r="218" spans="1:12" ht="13.8" thickBot="1">
      <c r="A218" s="377" t="s">
        <v>61</v>
      </c>
      <c r="B218" s="993"/>
      <c r="C218" s="993"/>
      <c r="D218" s="442"/>
      <c r="E218" s="442"/>
      <c r="F218" s="442"/>
      <c r="G218" s="442"/>
      <c r="H218" s="359"/>
      <c r="I218" s="442"/>
      <c r="J218" s="359"/>
      <c r="K218" s="442"/>
    </row>
    <row r="219" spans="1:12">
      <c r="A219" s="583" t="s">
        <v>189</v>
      </c>
      <c r="B219" s="992" t="s">
        <v>394</v>
      </c>
      <c r="C219" s="992"/>
      <c r="D219" s="992"/>
      <c r="E219" s="992"/>
      <c r="F219" s="992"/>
      <c r="G219" s="992"/>
      <c r="H219" s="992"/>
      <c r="I219" s="992"/>
      <c r="J219" s="992"/>
      <c r="K219" s="992"/>
    </row>
    <row r="220" spans="1:12" ht="29.25" customHeight="1">
      <c r="A220" s="583" t="s">
        <v>190</v>
      </c>
      <c r="B220" s="992" t="s">
        <v>380</v>
      </c>
      <c r="C220" s="992"/>
      <c r="D220" s="992"/>
      <c r="E220" s="992"/>
      <c r="F220" s="992"/>
      <c r="G220" s="992"/>
      <c r="H220" s="992"/>
      <c r="I220" s="992"/>
      <c r="J220" s="992"/>
      <c r="K220" s="992"/>
      <c r="L220" s="579"/>
    </row>
    <row r="221" spans="1:12">
      <c r="A221" s="583" t="s">
        <v>64</v>
      </c>
      <c r="B221" s="994" t="s">
        <v>394</v>
      </c>
      <c r="C221" s="995"/>
      <c r="D221" s="995"/>
      <c r="E221" s="995"/>
      <c r="F221" s="995"/>
      <c r="G221" s="995"/>
      <c r="H221" s="995"/>
      <c r="I221" s="995"/>
      <c r="J221" s="995"/>
      <c r="K221" s="995"/>
      <c r="L221" s="579"/>
    </row>
    <row r="222" spans="1:12" ht="29.25" customHeight="1">
      <c r="A222" s="583" t="s">
        <v>65</v>
      </c>
      <c r="B222" s="992" t="s">
        <v>849</v>
      </c>
      <c r="C222" s="992"/>
      <c r="D222" s="992"/>
      <c r="E222" s="992"/>
      <c r="F222" s="992"/>
      <c r="G222" s="992"/>
      <c r="H222" s="992"/>
      <c r="I222" s="992"/>
      <c r="J222" s="992"/>
      <c r="K222" s="992"/>
    </row>
    <row r="223" spans="1:12" ht="29.25" customHeight="1">
      <c r="A223" s="583" t="s">
        <v>66</v>
      </c>
      <c r="B223" s="992" t="s">
        <v>1264</v>
      </c>
      <c r="C223" s="992"/>
      <c r="D223" s="992"/>
      <c r="E223" s="992"/>
      <c r="F223" s="992"/>
      <c r="G223" s="992"/>
      <c r="H223" s="992"/>
      <c r="I223" s="992"/>
      <c r="J223" s="992"/>
      <c r="K223" s="992"/>
    </row>
    <row r="224" spans="1:12" ht="30" customHeight="1">
      <c r="A224" s="583" t="s">
        <v>67</v>
      </c>
      <c r="B224" s="992" t="s">
        <v>120</v>
      </c>
      <c r="C224" s="992"/>
      <c r="D224" s="992"/>
      <c r="E224" s="992"/>
      <c r="F224" s="992"/>
      <c r="G224" s="992"/>
      <c r="H224" s="992"/>
      <c r="I224" s="992"/>
      <c r="J224" s="992"/>
      <c r="K224" s="992"/>
    </row>
    <row r="225" spans="1:12" ht="45.75" customHeight="1">
      <c r="A225" s="583" t="s">
        <v>68</v>
      </c>
      <c r="B225" s="992" t="s">
        <v>468</v>
      </c>
      <c r="C225" s="992"/>
      <c r="D225" s="992"/>
      <c r="E225" s="992"/>
      <c r="F225" s="992"/>
      <c r="G225" s="992"/>
      <c r="H225" s="992"/>
      <c r="I225" s="992"/>
      <c r="J225" s="992"/>
      <c r="K225" s="992"/>
      <c r="L225" s="579"/>
    </row>
    <row r="226" spans="1:12">
      <c r="A226" s="583"/>
      <c r="B226" s="157" t="s">
        <v>72</v>
      </c>
      <c r="C226" s="157" t="s">
        <v>73</v>
      </c>
      <c r="D226" s="869">
        <v>0.21</v>
      </c>
      <c r="E226" s="157"/>
      <c r="F226" s="157"/>
      <c r="G226" s="157"/>
      <c r="H226" s="157"/>
      <c r="I226" s="157"/>
      <c r="J226" s="157"/>
      <c r="K226" s="157"/>
    </row>
    <row r="227" spans="1:12">
      <c r="A227" s="583"/>
      <c r="B227" s="157"/>
      <c r="C227" s="157" t="s">
        <v>74</v>
      </c>
      <c r="D227" s="700">
        <v>9.9900000000000003E-2</v>
      </c>
      <c r="E227" s="157" t="s">
        <v>121</v>
      </c>
      <c r="F227" s="157"/>
      <c r="G227" s="157"/>
      <c r="H227" s="157"/>
      <c r="I227" s="157"/>
      <c r="J227" s="157"/>
      <c r="K227" s="157"/>
    </row>
    <row r="228" spans="1:12">
      <c r="A228" s="583"/>
      <c r="B228" s="157"/>
      <c r="C228" s="157" t="s">
        <v>75</v>
      </c>
      <c r="D228" s="564">
        <v>0</v>
      </c>
      <c r="E228" s="157" t="s">
        <v>122</v>
      </c>
      <c r="F228" s="157"/>
      <c r="G228" s="157"/>
      <c r="H228" s="157"/>
      <c r="I228" s="157"/>
      <c r="J228" s="157"/>
      <c r="K228" s="157"/>
    </row>
    <row r="229" spans="1:12">
      <c r="A229" s="583"/>
      <c r="B229" s="157"/>
      <c r="C229" s="157"/>
      <c r="D229" s="222"/>
      <c r="E229" s="157"/>
      <c r="F229" s="157"/>
      <c r="G229" s="157"/>
      <c r="H229" s="157"/>
      <c r="I229" s="157"/>
      <c r="J229" s="157"/>
      <c r="K229" s="157"/>
    </row>
    <row r="230" spans="1:12" ht="19.5" customHeight="1">
      <c r="A230" s="583" t="s">
        <v>69</v>
      </c>
      <c r="B230" s="992" t="s">
        <v>124</v>
      </c>
      <c r="C230" s="992"/>
      <c r="D230" s="992"/>
      <c r="E230" s="992"/>
      <c r="F230" s="992"/>
      <c r="G230" s="992"/>
      <c r="H230" s="992"/>
      <c r="I230" s="992"/>
      <c r="J230" s="992"/>
      <c r="K230" s="992"/>
    </row>
    <row r="231" spans="1:12" ht="31.5" customHeight="1">
      <c r="A231" s="583" t="s">
        <v>70</v>
      </c>
      <c r="B231" s="992" t="s">
        <v>125</v>
      </c>
      <c r="C231" s="992"/>
      <c r="D231" s="992"/>
      <c r="E231" s="992"/>
      <c r="F231" s="992"/>
      <c r="G231" s="992"/>
      <c r="H231" s="992"/>
      <c r="I231" s="992"/>
      <c r="J231" s="992"/>
      <c r="K231" s="992"/>
    </row>
    <row r="232" spans="1:12">
      <c r="A232" s="583" t="s">
        <v>71</v>
      </c>
      <c r="B232" s="994" t="s">
        <v>394</v>
      </c>
      <c r="C232" s="995"/>
      <c r="D232" s="995"/>
      <c r="E232" s="995"/>
      <c r="F232" s="995"/>
      <c r="G232" s="995"/>
      <c r="H232" s="995"/>
      <c r="I232" s="995"/>
      <c r="J232" s="995"/>
      <c r="K232" s="995"/>
    </row>
    <row r="233" spans="1:12">
      <c r="A233" s="583" t="s">
        <v>104</v>
      </c>
      <c r="B233" s="992" t="s">
        <v>201</v>
      </c>
      <c r="C233" s="992"/>
      <c r="D233" s="992"/>
      <c r="E233" s="992"/>
      <c r="F233" s="992"/>
      <c r="G233" s="992"/>
      <c r="H233" s="992"/>
      <c r="I233" s="992"/>
      <c r="J233" s="992"/>
      <c r="K233" s="992"/>
    </row>
    <row r="234" spans="1:12">
      <c r="A234" s="583" t="s">
        <v>191</v>
      </c>
      <c r="B234" s="992" t="s">
        <v>394</v>
      </c>
      <c r="C234" s="992"/>
      <c r="D234" s="992"/>
      <c r="E234" s="992"/>
      <c r="F234" s="992"/>
      <c r="G234" s="992"/>
      <c r="H234" s="992"/>
      <c r="I234" s="992"/>
      <c r="J234" s="992"/>
      <c r="K234" s="992"/>
    </row>
    <row r="235" spans="1:12">
      <c r="A235" s="583" t="s">
        <v>123</v>
      </c>
      <c r="B235" s="581" t="s">
        <v>394</v>
      </c>
      <c r="C235" s="582"/>
      <c r="D235" s="582"/>
      <c r="E235" s="582"/>
      <c r="F235" s="582"/>
      <c r="G235" s="582"/>
      <c r="H235" s="582"/>
      <c r="I235" s="582"/>
      <c r="J235" s="582"/>
      <c r="K235" s="582"/>
      <c r="L235" s="579"/>
    </row>
    <row r="236" spans="1:12">
      <c r="A236" s="583" t="s">
        <v>192</v>
      </c>
      <c r="B236" s="581" t="s">
        <v>394</v>
      </c>
      <c r="C236" s="582"/>
      <c r="D236" s="582"/>
      <c r="E236" s="582"/>
      <c r="F236" s="582"/>
      <c r="G236" s="582"/>
      <c r="H236" s="582"/>
      <c r="I236" s="582"/>
      <c r="J236" s="582"/>
      <c r="K236" s="582"/>
      <c r="L236" s="579"/>
    </row>
    <row r="237" spans="1:12">
      <c r="A237" s="583" t="s">
        <v>126</v>
      </c>
      <c r="B237" s="581" t="s">
        <v>394</v>
      </c>
      <c r="C237" s="582"/>
      <c r="D237" s="582"/>
      <c r="E237" s="582"/>
      <c r="F237" s="582"/>
      <c r="G237" s="582"/>
      <c r="H237" s="582"/>
      <c r="I237" s="582"/>
      <c r="J237" s="582"/>
      <c r="K237" s="582"/>
    </row>
    <row r="238" spans="1:12">
      <c r="A238" s="583" t="s">
        <v>127</v>
      </c>
      <c r="B238" s="581" t="s">
        <v>394</v>
      </c>
      <c r="C238" s="582"/>
      <c r="D238" s="582"/>
      <c r="E238" s="582"/>
      <c r="F238" s="582"/>
      <c r="G238" s="582"/>
      <c r="H238" s="582"/>
      <c r="I238" s="582"/>
      <c r="J238" s="582"/>
      <c r="K238" s="582"/>
    </row>
    <row r="239" spans="1:12">
      <c r="A239" s="583" t="s">
        <v>128</v>
      </c>
      <c r="B239" s="581" t="s">
        <v>394</v>
      </c>
      <c r="C239" s="582"/>
      <c r="D239" s="582"/>
      <c r="E239" s="582"/>
      <c r="F239" s="582"/>
      <c r="G239" s="582"/>
      <c r="H239" s="582"/>
      <c r="I239" s="582"/>
      <c r="J239" s="582"/>
      <c r="K239" s="582"/>
      <c r="L239" s="579"/>
    </row>
    <row r="240" spans="1:12">
      <c r="A240" s="583" t="s">
        <v>129</v>
      </c>
      <c r="B240" s="998" t="s">
        <v>458</v>
      </c>
      <c r="C240" s="998"/>
      <c r="D240" s="998"/>
      <c r="E240" s="998"/>
      <c r="F240" s="998"/>
      <c r="G240" s="998"/>
      <c r="H240" s="998"/>
      <c r="I240" s="998"/>
      <c r="J240" s="998"/>
      <c r="K240" s="998"/>
    </row>
    <row r="241" spans="1:11">
      <c r="A241" s="583" t="s">
        <v>130</v>
      </c>
      <c r="B241" s="997" t="s">
        <v>440</v>
      </c>
      <c r="C241" s="997"/>
      <c r="D241" s="997"/>
      <c r="E241" s="997"/>
      <c r="F241" s="997"/>
      <c r="G241" s="997"/>
      <c r="H241" s="997"/>
      <c r="I241" s="997"/>
      <c r="J241" s="997"/>
      <c r="K241" s="997"/>
    </row>
    <row r="242" spans="1:11" s="432" customFormat="1">
      <c r="A242" s="583" t="s">
        <v>131</v>
      </c>
      <c r="B242" s="996" t="s">
        <v>1234</v>
      </c>
      <c r="C242" s="996"/>
      <c r="D242" s="996"/>
      <c r="E242" s="996"/>
      <c r="F242" s="996"/>
      <c r="G242" s="996"/>
      <c r="H242" s="996"/>
      <c r="I242" s="996"/>
      <c r="J242" s="996"/>
      <c r="K242" s="996"/>
    </row>
    <row r="243" spans="1:11" s="432" customFormat="1">
      <c r="A243" s="583" t="s">
        <v>221</v>
      </c>
      <c r="B243" s="168" t="s">
        <v>314</v>
      </c>
      <c r="C243" s="168"/>
      <c r="D243" s="168"/>
      <c r="E243" s="168"/>
      <c r="F243" s="168"/>
      <c r="G243" s="168"/>
      <c r="H243" s="157"/>
      <c r="I243" s="158"/>
      <c r="J243" s="159"/>
      <c r="K243" s="159"/>
    </row>
    <row r="244" spans="1:11" s="432" customFormat="1">
      <c r="A244" s="583" t="s">
        <v>260</v>
      </c>
      <c r="B244" s="443" t="s">
        <v>307</v>
      </c>
      <c r="C244" s="443"/>
      <c r="D244" s="443"/>
      <c r="E244" s="443"/>
      <c r="F244" s="443"/>
      <c r="G244" s="443"/>
      <c r="H244" s="443"/>
      <c r="I244" s="443"/>
      <c r="J244" s="443"/>
      <c r="K244" s="443"/>
    </row>
    <row r="245" spans="1:11">
      <c r="A245" s="583" t="s">
        <v>300</v>
      </c>
      <c r="B245" s="115" t="s">
        <v>316</v>
      </c>
    </row>
    <row r="246" spans="1:11">
      <c r="A246" s="583" t="s">
        <v>343</v>
      </c>
      <c r="B246" s="115" t="s">
        <v>854</v>
      </c>
    </row>
    <row r="247" spans="1:11">
      <c r="A247" s="583" t="s">
        <v>476</v>
      </c>
      <c r="B247" s="444" t="s">
        <v>857</v>
      </c>
    </row>
    <row r="248" spans="1:11">
      <c r="B248" s="444" t="s">
        <v>475</v>
      </c>
    </row>
  </sheetData>
  <sheetProtection algorithmName="SHA-512" hashValue="bvSuDdBSAfRrrRDMmqdnsDVccsihqMXqsV3DzjcSrHo5Iu4Nwk/l/lRWK5xbxZaVWMWHU0l8Ulxc6+5AYyrRCw==" saltValue="AXdR8X4db6mNtqMzaOynpA==" spinCount="100000" sheet="1" objects="1" scenarios="1"/>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s>
  <mergeCells count="20">
    <mergeCell ref="B242:K242"/>
    <mergeCell ref="B234:K234"/>
    <mergeCell ref="B241:K241"/>
    <mergeCell ref="B240:K240"/>
    <mergeCell ref="B225:K225"/>
    <mergeCell ref="B230:K230"/>
    <mergeCell ref="B231:K231"/>
    <mergeCell ref="B232:K232"/>
    <mergeCell ref="B233:K233"/>
    <mergeCell ref="A40:K40"/>
    <mergeCell ref="A106:K106"/>
    <mergeCell ref="A172:K172"/>
    <mergeCell ref="B224:K224"/>
    <mergeCell ref="A213:K213"/>
    <mergeCell ref="B218:C218"/>
    <mergeCell ref="B219:K219"/>
    <mergeCell ref="B220:K220"/>
    <mergeCell ref="B221:K221"/>
    <mergeCell ref="B222:K222"/>
    <mergeCell ref="B223:K223"/>
  </mergeCells>
  <phoneticPr fontId="0" type="noConversion"/>
  <pageMargins left="0.25" right="0.25" top="0.75" bottom="0.75" header="0.3" footer="0.3"/>
  <pageSetup scale="59" fitToHeight="0" orientation="landscape" r:id="rId2"/>
  <rowBreaks count="4" manualBreakCount="4">
    <brk id="33" max="10" man="1"/>
    <brk id="100" max="16383" man="1"/>
    <brk id="165" max="10" man="1"/>
    <brk id="206"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18"/>
  <sheetViews>
    <sheetView zoomScale="80" zoomScaleNormal="80" workbookViewId="0"/>
  </sheetViews>
  <sheetFormatPr defaultColWidth="8.90625" defaultRowHeight="13.2"/>
  <cols>
    <col min="1" max="1" width="6" style="217" customWidth="1"/>
    <col min="2" max="2" width="1.453125" style="217" customWidth="1"/>
    <col min="3" max="3" width="42.81640625" style="217" customWidth="1"/>
    <col min="4" max="4" width="13.81640625" style="217" customWidth="1"/>
    <col min="5" max="5" width="17.54296875" style="217" customWidth="1"/>
    <col min="6" max="6" width="13.08984375" style="217" customWidth="1"/>
    <col min="7" max="7" width="14.453125" style="217" customWidth="1"/>
    <col min="8" max="8" width="16.36328125" style="217" customWidth="1"/>
    <col min="9" max="9" width="13.81640625" style="217" customWidth="1"/>
    <col min="10" max="10" width="14.453125" style="217" customWidth="1"/>
    <col min="11" max="11" width="13.54296875" style="217" customWidth="1"/>
    <col min="12" max="13" width="15.81640625" style="217" customWidth="1"/>
    <col min="14" max="15" width="14.453125" style="217" customWidth="1"/>
    <col min="16" max="16" width="12.81640625" style="217" customWidth="1"/>
    <col min="17" max="17" width="13.90625" style="217" customWidth="1"/>
    <col min="18" max="18" width="9.36328125" style="217" customWidth="1"/>
    <col min="19" max="19" width="13" style="217" customWidth="1"/>
    <col min="20" max="20" width="11.36328125" style="218" bestFit="1" customWidth="1"/>
    <col min="21" max="16384" width="8.90625" style="217"/>
  </cols>
  <sheetData>
    <row r="1" spans="1:21">
      <c r="Q1" s="17"/>
    </row>
    <row r="2" spans="1:21">
      <c r="Q2" s="17"/>
    </row>
    <row r="4" spans="1:21">
      <c r="Q4" s="17"/>
    </row>
    <row r="5" spans="1:21">
      <c r="D5" s="2"/>
      <c r="E5" s="2"/>
      <c r="F5" s="2"/>
      <c r="G5" s="362" t="s">
        <v>195</v>
      </c>
      <c r="H5" s="2"/>
      <c r="I5" s="2"/>
      <c r="J5" s="2"/>
      <c r="K5" s="5"/>
      <c r="L5" s="18"/>
      <c r="M5" s="19"/>
      <c r="N5" s="19"/>
      <c r="O5" s="19"/>
      <c r="P5" s="19"/>
      <c r="Q5" s="19"/>
      <c r="R5" s="6"/>
      <c r="S5" s="6" t="s">
        <v>457</v>
      </c>
      <c r="T5" s="215"/>
      <c r="U5" s="6"/>
    </row>
    <row r="6" spans="1:21">
      <c r="D6" s="2"/>
      <c r="E6" s="3" t="s">
        <v>2</v>
      </c>
      <c r="F6" s="3"/>
      <c r="G6" s="362" t="s">
        <v>194</v>
      </c>
      <c r="H6" s="3"/>
      <c r="I6" s="3"/>
      <c r="J6" s="3"/>
      <c r="K6" s="5"/>
      <c r="P6" s="6"/>
      <c r="Q6" s="5"/>
      <c r="R6" s="6"/>
      <c r="S6" s="21"/>
      <c r="T6" s="215"/>
      <c r="U6" s="6"/>
    </row>
    <row r="7" spans="1:21">
      <c r="C7" s="6"/>
      <c r="D7" s="6"/>
      <c r="E7" s="6"/>
      <c r="F7" s="6"/>
      <c r="G7" s="223" t="str">
        <f>+'Attachment H-7'!D5</f>
        <v>PECO Energy Company</v>
      </c>
      <c r="H7" s="6"/>
      <c r="I7" s="6"/>
      <c r="J7" s="6"/>
      <c r="K7" s="6"/>
      <c r="P7" s="6"/>
      <c r="Q7" s="6"/>
      <c r="R7" s="6"/>
      <c r="S7" s="20"/>
      <c r="T7" s="215"/>
      <c r="U7" s="6"/>
    </row>
    <row r="8" spans="1:21">
      <c r="A8" s="627"/>
      <c r="C8" s="6"/>
      <c r="D8" s="6"/>
      <c r="E8" s="6"/>
      <c r="F8" s="6"/>
      <c r="H8" s="6"/>
      <c r="I8" s="6"/>
      <c r="J8" s="6"/>
      <c r="K8" s="6"/>
      <c r="L8" s="6"/>
      <c r="M8" s="6"/>
      <c r="N8" s="6"/>
      <c r="O8" s="6"/>
      <c r="P8" s="6"/>
      <c r="Q8" s="6"/>
      <c r="R8" s="6"/>
      <c r="S8" s="20"/>
      <c r="T8" s="215"/>
      <c r="U8" s="6"/>
    </row>
    <row r="9" spans="1:21">
      <c r="A9" s="362"/>
      <c r="C9" s="6"/>
      <c r="D9" s="6"/>
      <c r="E9" s="6"/>
      <c r="F9" s="6"/>
      <c r="G9" s="22"/>
      <c r="H9" s="6"/>
      <c r="I9" s="6"/>
      <c r="J9" s="6"/>
      <c r="K9" s="6"/>
      <c r="L9" s="6"/>
      <c r="M9" s="6"/>
      <c r="N9" s="6"/>
      <c r="O9" s="6"/>
      <c r="P9" s="6"/>
      <c r="Q9" s="6"/>
      <c r="R9" s="6"/>
      <c r="S9" s="20"/>
      <c r="T9" s="215"/>
      <c r="U9" s="6"/>
    </row>
    <row r="10" spans="1:21">
      <c r="A10" s="362"/>
      <c r="C10" s="6" t="s">
        <v>1063</v>
      </c>
      <c r="D10" s="6"/>
      <c r="E10" s="6"/>
      <c r="F10" s="6"/>
      <c r="G10" s="22"/>
      <c r="H10" s="6"/>
      <c r="I10" s="6"/>
      <c r="J10" s="6"/>
      <c r="K10" s="6"/>
      <c r="L10" s="6"/>
      <c r="M10" s="6"/>
      <c r="N10" s="6"/>
      <c r="O10" s="6"/>
      <c r="P10" s="6"/>
      <c r="Q10" s="6"/>
      <c r="R10" s="6"/>
      <c r="S10" s="20"/>
      <c r="T10" s="215"/>
      <c r="U10" s="6"/>
    </row>
    <row r="11" spans="1:21">
      <c r="A11" s="362"/>
      <c r="C11" s="6"/>
      <c r="D11" s="6"/>
      <c r="E11" s="6"/>
      <c r="F11" s="6"/>
      <c r="G11" s="22"/>
      <c r="L11" s="6"/>
      <c r="M11" s="6"/>
      <c r="N11" s="6"/>
      <c r="O11" s="6"/>
      <c r="P11" s="6"/>
      <c r="Q11" s="6"/>
      <c r="R11" s="6"/>
      <c r="S11" s="6"/>
      <c r="T11" s="191"/>
      <c r="U11" s="6"/>
    </row>
    <row r="12" spans="1:21">
      <c r="A12" s="362"/>
      <c r="C12" s="6"/>
      <c r="D12" s="6"/>
      <c r="E12" s="6"/>
      <c r="F12" s="6"/>
      <c r="G12" s="6"/>
      <c r="L12" s="23"/>
      <c r="M12" s="23"/>
      <c r="N12" s="23"/>
      <c r="O12" s="23"/>
      <c r="P12" s="6"/>
      <c r="Q12" s="6"/>
      <c r="R12" s="6"/>
      <c r="S12" s="6"/>
      <c r="T12" s="191"/>
      <c r="U12" s="6"/>
    </row>
    <row r="13" spans="1:21">
      <c r="C13" s="24" t="s">
        <v>3</v>
      </c>
      <c r="D13" s="24"/>
      <c r="E13" s="24" t="s">
        <v>4</v>
      </c>
      <c r="F13" s="24"/>
      <c r="I13" s="24" t="s">
        <v>5</v>
      </c>
      <c r="L13" s="25" t="s">
        <v>6</v>
      </c>
      <c r="M13" s="25"/>
      <c r="N13" s="25"/>
      <c r="O13" s="25"/>
      <c r="P13" s="3"/>
      <c r="Q13" s="25"/>
      <c r="R13" s="3"/>
      <c r="S13" s="25"/>
      <c r="U13" s="26"/>
    </row>
    <row r="14" spans="1:21">
      <c r="C14" s="26"/>
      <c r="D14" s="26"/>
      <c r="E14" s="27" t="s">
        <v>1062</v>
      </c>
      <c r="F14" s="27"/>
      <c r="I14" s="3"/>
      <c r="P14" s="3"/>
      <c r="R14" s="3"/>
      <c r="S14" s="24"/>
      <c r="T14" s="74"/>
      <c r="U14" s="26"/>
    </row>
    <row r="15" spans="1:21">
      <c r="A15" s="362" t="s">
        <v>8</v>
      </c>
      <c r="C15" s="26"/>
      <c r="D15" s="26"/>
      <c r="E15" s="28" t="s">
        <v>18</v>
      </c>
      <c r="F15" s="28"/>
      <c r="I15" s="29" t="s">
        <v>17</v>
      </c>
      <c r="L15" s="29" t="s">
        <v>14</v>
      </c>
      <c r="M15" s="29"/>
      <c r="N15" s="29"/>
      <c r="O15" s="29"/>
      <c r="P15" s="3"/>
      <c r="R15" s="6"/>
      <c r="S15" s="30"/>
      <c r="T15" s="74"/>
      <c r="U15" s="26"/>
    </row>
    <row r="16" spans="1:21">
      <c r="A16" s="362" t="s">
        <v>10</v>
      </c>
      <c r="C16" s="31"/>
      <c r="D16" s="31"/>
      <c r="E16" s="3"/>
      <c r="F16" s="3"/>
      <c r="I16" s="3"/>
      <c r="L16" s="3"/>
      <c r="M16" s="3"/>
      <c r="N16" s="3"/>
      <c r="O16" s="3"/>
      <c r="P16" s="3"/>
      <c r="Q16" s="3"/>
      <c r="R16" s="6"/>
      <c r="S16" s="3"/>
      <c r="U16" s="26"/>
    </row>
    <row r="17" spans="1:21">
      <c r="A17" s="32"/>
      <c r="C17" s="26"/>
      <c r="D17" s="26"/>
      <c r="E17" s="3"/>
      <c r="F17" s="3"/>
      <c r="I17" s="3"/>
      <c r="L17" s="3"/>
      <c r="M17" s="3"/>
      <c r="N17" s="3"/>
      <c r="O17" s="3"/>
      <c r="P17" s="3"/>
      <c r="Q17" s="3"/>
      <c r="R17" s="6"/>
      <c r="S17" s="3"/>
      <c r="U17" s="26"/>
    </row>
    <row r="18" spans="1:21">
      <c r="A18" s="4">
        <v>1</v>
      </c>
      <c r="C18" s="26" t="s">
        <v>132</v>
      </c>
      <c r="D18" s="26"/>
      <c r="E18" s="33" t="s">
        <v>1214</v>
      </c>
      <c r="F18" s="4"/>
      <c r="I18" s="218">
        <f>+'Attachment H-7'!I47</f>
        <v>1568082822.8461537</v>
      </c>
      <c r="P18" s="3"/>
      <c r="Q18" s="3"/>
      <c r="R18" s="6"/>
      <c r="S18" s="3"/>
      <c r="U18" s="26"/>
    </row>
    <row r="19" spans="1:21">
      <c r="A19" s="4">
        <v>2</v>
      </c>
      <c r="C19" s="26" t="s">
        <v>133</v>
      </c>
      <c r="D19" s="26"/>
      <c r="E19" s="33" t="s">
        <v>1215</v>
      </c>
      <c r="F19" s="4"/>
      <c r="I19" s="218">
        <f>+'Attachment H-7'!I67+'Attachment H-7'!I82+'Attachment H-7'!I85</f>
        <v>1072423533.2458091</v>
      </c>
      <c r="P19" s="3"/>
      <c r="Q19" s="3"/>
      <c r="R19" s="6"/>
      <c r="S19" s="3"/>
      <c r="U19" s="26"/>
    </row>
    <row r="20" spans="1:21">
      <c r="A20" s="4"/>
      <c r="E20" s="33"/>
      <c r="F20" s="4"/>
      <c r="P20" s="3"/>
      <c r="Q20" s="3"/>
      <c r="R20" s="6"/>
      <c r="S20" s="3"/>
      <c r="U20" s="26"/>
    </row>
    <row r="21" spans="1:21">
      <c r="A21" s="4"/>
      <c r="C21" s="26" t="s">
        <v>134</v>
      </c>
      <c r="D21" s="26"/>
      <c r="E21" s="33"/>
      <c r="F21" s="4"/>
      <c r="I21" s="3"/>
      <c r="L21" s="3"/>
      <c r="M21" s="3"/>
      <c r="N21" s="3"/>
      <c r="O21" s="3"/>
      <c r="P21" s="3"/>
      <c r="Q21" s="3"/>
      <c r="R21" s="3"/>
      <c r="S21" s="3"/>
      <c r="U21" s="26"/>
    </row>
    <row r="22" spans="1:21">
      <c r="A22" s="4">
        <v>3</v>
      </c>
      <c r="C22" s="26" t="s">
        <v>135</v>
      </c>
      <c r="D22" s="26"/>
      <c r="E22" s="33" t="s">
        <v>1216</v>
      </c>
      <c r="F22" s="4"/>
      <c r="I22" s="218">
        <f>+'Attachment H-7'!I122</f>
        <v>71336073.178369746</v>
      </c>
      <c r="P22" s="3"/>
      <c r="Q22" s="3"/>
      <c r="R22" s="3"/>
      <c r="S22" s="3"/>
      <c r="U22" s="26"/>
    </row>
    <row r="23" spans="1:21">
      <c r="A23" s="4">
        <v>4</v>
      </c>
      <c r="C23" s="26" t="s">
        <v>136</v>
      </c>
      <c r="D23" s="26"/>
      <c r="E23" s="33" t="s">
        <v>137</v>
      </c>
      <c r="F23" s="4"/>
      <c r="I23" s="216">
        <f>IF(I18=0,0,I22/I18)</f>
        <v>4.5492541681498036E-2</v>
      </c>
      <c r="L23" s="844">
        <f>I23</f>
        <v>4.5492541681498036E-2</v>
      </c>
      <c r="M23" s="34"/>
      <c r="N23" s="34"/>
      <c r="O23" s="34"/>
      <c r="P23" s="3"/>
      <c r="Q23" s="35"/>
      <c r="R23" s="36"/>
      <c r="S23" s="37"/>
      <c r="U23" s="26"/>
    </row>
    <row r="24" spans="1:21">
      <c r="A24" s="4"/>
      <c r="C24" s="26"/>
      <c r="D24" s="26"/>
      <c r="E24" s="33"/>
      <c r="F24" s="4"/>
      <c r="I24" s="38"/>
      <c r="L24" s="844"/>
      <c r="M24" s="34"/>
      <c r="N24" s="34"/>
      <c r="O24" s="34"/>
      <c r="P24" s="3"/>
      <c r="Q24" s="35"/>
      <c r="R24" s="36"/>
      <c r="S24" s="37"/>
      <c r="U24" s="26"/>
    </row>
    <row r="25" spans="1:21">
      <c r="A25" s="25"/>
      <c r="C25" s="26" t="s">
        <v>395</v>
      </c>
      <c r="D25" s="26"/>
      <c r="E25" s="360"/>
      <c r="F25" s="219"/>
      <c r="I25" s="3"/>
      <c r="L25" s="216"/>
      <c r="M25" s="3"/>
      <c r="N25" s="3"/>
      <c r="O25" s="3"/>
      <c r="P25" s="3"/>
      <c r="Q25" s="35"/>
      <c r="R25" s="36"/>
      <c r="S25" s="37"/>
      <c r="U25" s="26"/>
    </row>
    <row r="26" spans="1:21">
      <c r="A26" s="25" t="s">
        <v>138</v>
      </c>
      <c r="C26" s="26" t="s">
        <v>397</v>
      </c>
      <c r="D26" s="26"/>
      <c r="E26" s="33" t="s">
        <v>1221</v>
      </c>
      <c r="F26" s="4"/>
      <c r="I26" s="218">
        <f>+'Attachment H-7'!I126+'Attachment H-7'!I128+'Attachment H-7'!I127+'Attachment H-7'!I129</f>
        <v>7773052.7002191655</v>
      </c>
      <c r="L26" s="216"/>
      <c r="P26" s="3"/>
      <c r="Q26" s="35"/>
      <c r="R26" s="36"/>
      <c r="S26" s="37"/>
      <c r="U26" s="26"/>
    </row>
    <row r="27" spans="1:21">
      <c r="A27" s="25" t="s">
        <v>139</v>
      </c>
      <c r="C27" s="26" t="s">
        <v>396</v>
      </c>
      <c r="D27" s="26"/>
      <c r="E27" s="33" t="s">
        <v>140</v>
      </c>
      <c r="F27" s="4"/>
      <c r="I27" s="15">
        <f>IF(I26=0,0,I26/I18)</f>
        <v>4.9570421835950359E-3</v>
      </c>
      <c r="J27" s="15"/>
      <c r="K27" s="15"/>
      <c r="L27" s="844">
        <f>I27</f>
        <v>4.9570421835950359E-3</v>
      </c>
      <c r="M27" s="34"/>
      <c r="N27" s="34"/>
      <c r="O27" s="34"/>
      <c r="P27" s="3"/>
      <c r="Q27" s="35"/>
      <c r="R27" s="36"/>
      <c r="S27" s="37"/>
      <c r="U27" s="26"/>
    </row>
    <row r="28" spans="1:21">
      <c r="A28" s="4"/>
      <c r="C28" s="26"/>
      <c r="D28" s="26"/>
      <c r="E28" s="33"/>
      <c r="F28" s="4"/>
      <c r="I28" s="15"/>
      <c r="J28" s="15"/>
      <c r="K28" s="15"/>
      <c r="L28" s="844"/>
      <c r="M28" s="34"/>
      <c r="N28" s="34"/>
      <c r="O28" s="34"/>
      <c r="P28" s="3"/>
      <c r="Q28" s="35"/>
      <c r="R28" s="36"/>
      <c r="S28" s="37"/>
      <c r="U28" s="26"/>
    </row>
    <row r="29" spans="1:21">
      <c r="A29" s="25"/>
      <c r="C29" s="26" t="s">
        <v>141</v>
      </c>
      <c r="D29" s="26"/>
      <c r="E29" s="360"/>
      <c r="F29" s="219"/>
      <c r="I29" s="15"/>
      <c r="J29" s="15"/>
      <c r="K29" s="15"/>
      <c r="L29" s="216"/>
      <c r="M29" s="3"/>
      <c r="N29" s="3"/>
      <c r="O29" s="3"/>
      <c r="P29" s="3"/>
      <c r="Q29" s="3"/>
      <c r="R29" s="3"/>
      <c r="S29" s="3"/>
      <c r="U29" s="26"/>
    </row>
    <row r="30" spans="1:21">
      <c r="A30" s="25" t="s">
        <v>142</v>
      </c>
      <c r="C30" s="26" t="s">
        <v>143</v>
      </c>
      <c r="D30" s="26"/>
      <c r="E30" s="33" t="s">
        <v>1217</v>
      </c>
      <c r="F30" s="4"/>
      <c r="I30" s="218">
        <f>+'Attachment H-7'!I142</f>
        <v>3668744.7657762719</v>
      </c>
      <c r="J30" s="15"/>
      <c r="K30" s="15"/>
      <c r="L30" s="216"/>
      <c r="P30" s="3"/>
      <c r="Q30" s="30"/>
      <c r="R30" s="3"/>
      <c r="S30" s="4"/>
      <c r="T30" s="74"/>
      <c r="U30" s="26"/>
    </row>
    <row r="31" spans="1:21">
      <c r="A31" s="25" t="s">
        <v>144</v>
      </c>
      <c r="C31" s="26" t="s">
        <v>145</v>
      </c>
      <c r="D31" s="26"/>
      <c r="E31" s="33" t="s">
        <v>146</v>
      </c>
      <c r="F31" s="4"/>
      <c r="I31" s="15">
        <f>IF(I30=0,0,I30/I18)</f>
        <v>2.3396371112064762E-3</v>
      </c>
      <c r="J31" s="15"/>
      <c r="K31" s="15"/>
      <c r="L31" s="844">
        <f>I31</f>
        <v>2.3396371112064762E-3</v>
      </c>
      <c r="M31" s="34"/>
      <c r="N31" s="34"/>
      <c r="O31" s="34"/>
      <c r="P31" s="3"/>
      <c r="Q31" s="35"/>
      <c r="R31" s="3"/>
      <c r="S31" s="37"/>
      <c r="T31" s="74"/>
      <c r="U31" s="26"/>
    </row>
    <row r="32" spans="1:21">
      <c r="A32" s="25"/>
      <c r="C32" s="26"/>
      <c r="D32" s="26"/>
      <c r="E32" s="33"/>
      <c r="F32" s="4"/>
      <c r="I32" s="3"/>
      <c r="L32" s="216"/>
      <c r="M32" s="3"/>
      <c r="N32" s="3"/>
      <c r="O32" s="3"/>
      <c r="P32" s="3"/>
      <c r="U32" s="26"/>
    </row>
    <row r="33" spans="1:21">
      <c r="A33" s="25" t="s">
        <v>147</v>
      </c>
      <c r="C33" s="26" t="s">
        <v>187</v>
      </c>
      <c r="D33" s="26"/>
      <c r="E33" s="33" t="s">
        <v>1218</v>
      </c>
      <c r="F33" s="4"/>
      <c r="I33" s="218">
        <f>'Attachment H-7'!I14</f>
        <v>9644900.9574378915</v>
      </c>
      <c r="L33" s="216"/>
      <c r="M33" s="3"/>
      <c r="N33" s="3"/>
      <c r="O33" s="3"/>
      <c r="P33" s="3"/>
      <c r="U33" s="26"/>
    </row>
    <row r="34" spans="1:21">
      <c r="A34" s="25" t="s">
        <v>150</v>
      </c>
      <c r="C34" s="26" t="s">
        <v>381</v>
      </c>
      <c r="D34" s="26"/>
      <c r="E34" s="33" t="s">
        <v>183</v>
      </c>
      <c r="F34" s="4"/>
      <c r="I34" s="39">
        <f>IF(L18=0,0,I33/I18)</f>
        <v>0</v>
      </c>
      <c r="L34" s="216">
        <f>+I34</f>
        <v>0</v>
      </c>
      <c r="M34" s="3"/>
      <c r="N34" s="3"/>
      <c r="O34" s="3"/>
      <c r="P34" s="3"/>
      <c r="U34" s="26"/>
    </row>
    <row r="35" spans="1:21">
      <c r="A35" s="25"/>
      <c r="C35" s="26"/>
      <c r="D35" s="26"/>
      <c r="E35" s="33"/>
      <c r="F35" s="4"/>
      <c r="I35" s="3"/>
      <c r="L35" s="216"/>
      <c r="M35" s="3"/>
      <c r="N35" s="3"/>
      <c r="O35" s="3"/>
      <c r="P35" s="3"/>
      <c r="U35" s="26"/>
    </row>
    <row r="36" spans="1:21">
      <c r="A36" s="40" t="s">
        <v>151</v>
      </c>
      <c r="B36" s="41"/>
      <c r="C36" s="31" t="s">
        <v>148</v>
      </c>
      <c r="D36" s="31"/>
      <c r="E36" s="42" t="s">
        <v>1265</v>
      </c>
      <c r="F36" s="27"/>
      <c r="I36" s="36"/>
      <c r="L36" s="845">
        <f>L23+L27+L31+L34</f>
        <v>5.2789220976299546E-2</v>
      </c>
      <c r="M36" s="43"/>
      <c r="N36" s="43"/>
      <c r="O36" s="43"/>
      <c r="P36" s="3"/>
      <c r="U36" s="26"/>
    </row>
    <row r="37" spans="1:21">
      <c r="A37" s="25"/>
      <c r="C37" s="26"/>
      <c r="D37" s="26"/>
      <c r="E37" s="33"/>
      <c r="F37" s="4"/>
      <c r="I37" s="3"/>
      <c r="L37" s="216"/>
      <c r="M37" s="3"/>
      <c r="N37" s="3"/>
      <c r="O37" s="3"/>
      <c r="P37" s="3"/>
      <c r="Q37" s="3"/>
      <c r="R37" s="3"/>
      <c r="S37" s="44"/>
      <c r="U37" s="26"/>
    </row>
    <row r="38" spans="1:21">
      <c r="A38" s="25"/>
      <c r="B38" s="45"/>
      <c r="C38" s="3" t="s">
        <v>149</v>
      </c>
      <c r="D38" s="3"/>
      <c r="E38" s="33"/>
      <c r="F38" s="4"/>
      <c r="I38" s="3"/>
      <c r="L38" s="216"/>
      <c r="M38" s="3"/>
      <c r="N38" s="3"/>
      <c r="O38" s="3"/>
      <c r="P38" s="46"/>
      <c r="Q38" s="45"/>
      <c r="T38" s="74"/>
      <c r="U38" s="3" t="s">
        <v>2</v>
      </c>
    </row>
    <row r="39" spans="1:21">
      <c r="A39" s="25" t="s">
        <v>153</v>
      </c>
      <c r="B39" s="45"/>
      <c r="C39" s="3" t="s">
        <v>40</v>
      </c>
      <c r="D39" s="3"/>
      <c r="E39" s="33" t="s">
        <v>1219</v>
      </c>
      <c r="F39" s="4"/>
      <c r="I39" s="218">
        <f>+'Attachment H-7'!I159</f>
        <v>20219890.446298771</v>
      </c>
      <c r="L39" s="216"/>
      <c r="M39" s="3"/>
      <c r="N39" s="3"/>
      <c r="O39" s="3"/>
      <c r="P39" s="46"/>
      <c r="Q39" s="45"/>
      <c r="T39" s="74"/>
      <c r="U39" s="3"/>
    </row>
    <row r="40" spans="1:21">
      <c r="A40" s="25" t="s">
        <v>155</v>
      </c>
      <c r="B40" s="45"/>
      <c r="C40" s="3" t="s">
        <v>152</v>
      </c>
      <c r="D40" s="3"/>
      <c r="E40" s="33" t="s">
        <v>157</v>
      </c>
      <c r="F40" s="4"/>
      <c r="I40" s="15">
        <f>IF(I19=0,0,I39/I19)</f>
        <v>1.8854388979231949E-2</v>
      </c>
      <c r="L40" s="844">
        <f>I40</f>
        <v>1.8854388979231949E-2</v>
      </c>
      <c r="M40" s="34"/>
      <c r="N40" s="34"/>
      <c r="O40" s="34"/>
      <c r="P40" s="46"/>
      <c r="Q40" s="45"/>
      <c r="R40" s="3"/>
      <c r="S40" s="3"/>
      <c r="T40" s="74"/>
      <c r="U40" s="3"/>
    </row>
    <row r="41" spans="1:21">
      <c r="A41" s="25"/>
      <c r="C41" s="3"/>
      <c r="D41" s="3"/>
      <c r="E41" s="33"/>
      <c r="F41" s="4"/>
      <c r="I41" s="3"/>
      <c r="L41" s="216"/>
      <c r="M41" s="3"/>
      <c r="N41" s="3"/>
      <c r="O41" s="3"/>
      <c r="P41" s="3"/>
      <c r="R41" s="6"/>
      <c r="S41" s="3"/>
      <c r="T41" s="191"/>
      <c r="U41" s="26"/>
    </row>
    <row r="42" spans="1:21">
      <c r="A42" s="25"/>
      <c r="C42" s="26" t="s">
        <v>41</v>
      </c>
      <c r="D42" s="26"/>
      <c r="E42" s="47"/>
      <c r="F42" s="48"/>
      <c r="L42" s="216"/>
      <c r="P42" s="3"/>
      <c r="R42" s="3"/>
      <c r="S42" s="3"/>
      <c r="U42" s="26"/>
    </row>
    <row r="43" spans="1:21">
      <c r="A43" s="25" t="s">
        <v>158</v>
      </c>
      <c r="C43" s="26" t="s">
        <v>154</v>
      </c>
      <c r="D43" s="26"/>
      <c r="E43" s="33" t="s">
        <v>1220</v>
      </c>
      <c r="F43" s="4"/>
      <c r="I43" s="218">
        <f>+'Attachment H-7'!I162</f>
        <v>70845034.462272868</v>
      </c>
      <c r="L43" s="216"/>
      <c r="M43" s="3"/>
      <c r="N43" s="3"/>
      <c r="O43" s="3"/>
      <c r="P43" s="3"/>
      <c r="R43" s="3"/>
      <c r="S43" s="3"/>
      <c r="U43" s="26"/>
    </row>
    <row r="44" spans="1:21">
      <c r="A44" s="25" t="s">
        <v>181</v>
      </c>
      <c r="B44" s="45"/>
      <c r="C44" s="3" t="s">
        <v>156</v>
      </c>
      <c r="D44" s="3"/>
      <c r="E44" s="33" t="s">
        <v>398</v>
      </c>
      <c r="F44" s="4"/>
      <c r="I44" s="15">
        <f>IF(I19=0,0,I43/I19)</f>
        <v>6.6060686161793267E-2</v>
      </c>
      <c r="L44" s="844">
        <f>I44</f>
        <v>6.6060686161793267E-2</v>
      </c>
      <c r="M44" s="34"/>
      <c r="N44" s="34"/>
      <c r="O44" s="34"/>
      <c r="P44" s="3"/>
      <c r="S44" s="49"/>
      <c r="T44" s="74"/>
      <c r="U44" s="3"/>
    </row>
    <row r="45" spans="1:21">
      <c r="A45" s="25"/>
      <c r="C45" s="26"/>
      <c r="D45" s="26"/>
      <c r="E45" s="33"/>
      <c r="F45" s="4"/>
      <c r="I45" s="3"/>
      <c r="L45" s="216"/>
      <c r="M45" s="3"/>
      <c r="N45" s="3"/>
      <c r="O45" s="3"/>
      <c r="P45" s="3"/>
      <c r="Q45" s="48"/>
      <c r="R45" s="3"/>
      <c r="S45" s="3"/>
      <c r="U45" s="26"/>
    </row>
    <row r="46" spans="1:21">
      <c r="A46" s="40" t="s">
        <v>182</v>
      </c>
      <c r="B46" s="41"/>
      <c r="C46" s="31" t="s">
        <v>159</v>
      </c>
      <c r="D46" s="31"/>
      <c r="E46" s="42" t="s">
        <v>1266</v>
      </c>
      <c r="F46" s="27"/>
      <c r="I46" s="15">
        <f>+I44+I40</f>
        <v>8.4915075141025212E-2</v>
      </c>
      <c r="L46" s="845">
        <f>L40+L44</f>
        <v>8.4915075141025212E-2</v>
      </c>
      <c r="M46" s="43"/>
      <c r="N46" s="43"/>
      <c r="O46" s="43"/>
      <c r="P46" s="3"/>
      <c r="Q46" s="48"/>
      <c r="R46" s="3"/>
      <c r="S46" s="3"/>
      <c r="U46" s="26"/>
    </row>
    <row r="47" spans="1:21">
      <c r="P47" s="50"/>
      <c r="Q47" s="50"/>
      <c r="R47" s="3"/>
      <c r="S47" s="3"/>
      <c r="U47" s="26"/>
    </row>
    <row r="48" spans="1:21">
      <c r="P48" s="50"/>
      <c r="Q48" s="50"/>
      <c r="R48" s="3"/>
      <c r="S48" s="3"/>
      <c r="U48" s="26"/>
    </row>
    <row r="49" spans="1:21">
      <c r="A49" s="51"/>
      <c r="C49" s="25"/>
      <c r="D49" s="25"/>
      <c r="E49" s="219"/>
      <c r="F49" s="219"/>
      <c r="G49" s="3"/>
      <c r="J49" s="38"/>
      <c r="P49" s="3"/>
      <c r="Q49" s="35"/>
      <c r="R49" s="52"/>
      <c r="S49" s="3"/>
      <c r="T49" s="74"/>
      <c r="U49" s="3"/>
    </row>
    <row r="50" spans="1:21">
      <c r="A50" s="362"/>
      <c r="G50" s="3"/>
      <c r="P50" s="3"/>
      <c r="Q50" s="3"/>
      <c r="R50" s="3"/>
      <c r="S50" s="3"/>
      <c r="T50" s="74"/>
      <c r="U50" s="3" t="s">
        <v>2</v>
      </c>
    </row>
    <row r="51" spans="1:21">
      <c r="Q51" s="17"/>
    </row>
    <row r="52" spans="1:21">
      <c r="Q52" s="17"/>
    </row>
    <row r="54" spans="1:21">
      <c r="A54" s="362"/>
      <c r="G54" s="3"/>
      <c r="P54" s="3"/>
      <c r="Q54" s="17"/>
      <c r="R54" s="3"/>
      <c r="S54" s="6"/>
      <c r="U54" s="26"/>
    </row>
    <row r="55" spans="1:21">
      <c r="A55" s="362"/>
      <c r="C55" s="26"/>
      <c r="D55" s="26"/>
      <c r="G55" s="219" t="str">
        <f>+G5</f>
        <v>Attachment 1</v>
      </c>
      <c r="H55" s="219"/>
      <c r="P55" s="3"/>
      <c r="Q55" s="17"/>
      <c r="R55" s="3"/>
      <c r="S55" s="217" t="s">
        <v>160</v>
      </c>
      <c r="U55" s="26"/>
    </row>
    <row r="56" spans="1:21">
      <c r="A56" s="362"/>
      <c r="C56" s="26"/>
      <c r="D56" s="26"/>
      <c r="G56" s="219" t="str">
        <f>+G6</f>
        <v>Project Revenue Requirement Worksheet</v>
      </c>
      <c r="H56" s="219"/>
      <c r="L56" s="3"/>
      <c r="M56" s="3"/>
      <c r="N56" s="3"/>
      <c r="O56" s="3"/>
      <c r="P56" s="3"/>
      <c r="R56" s="3"/>
      <c r="S56" s="6"/>
      <c r="U56" s="26"/>
    </row>
    <row r="57" spans="1:21" ht="14.25" customHeight="1">
      <c r="A57" s="362"/>
      <c r="G57" s="219" t="str">
        <f>+G7</f>
        <v>PECO Energy Company</v>
      </c>
      <c r="P57" s="3"/>
      <c r="R57" s="3"/>
      <c r="S57" s="6"/>
      <c r="U57" s="26"/>
    </row>
    <row r="58" spans="1:21">
      <c r="A58" s="362"/>
      <c r="H58" s="219"/>
      <c r="P58" s="3"/>
      <c r="Q58" s="3"/>
      <c r="R58" s="3"/>
      <c r="S58" s="6"/>
      <c r="U58" s="26"/>
    </row>
    <row r="59" spans="1:21">
      <c r="A59" s="362"/>
      <c r="E59" s="26"/>
      <c r="F59" s="26"/>
      <c r="G59" s="26"/>
      <c r="H59" s="26"/>
      <c r="I59" s="26"/>
      <c r="J59" s="26"/>
      <c r="K59" s="26"/>
      <c r="L59" s="26"/>
      <c r="M59" s="26"/>
      <c r="N59" s="26"/>
      <c r="O59" s="26"/>
      <c r="P59" s="26"/>
      <c r="Q59" s="26"/>
      <c r="R59" s="3"/>
      <c r="S59" s="6"/>
      <c r="U59" s="26"/>
    </row>
    <row r="60" spans="1:21">
      <c r="A60" s="362"/>
      <c r="E60" s="31"/>
      <c r="F60" s="31"/>
      <c r="H60" s="6"/>
      <c r="I60" s="6"/>
      <c r="J60" s="6"/>
      <c r="K60" s="6"/>
      <c r="L60" s="6"/>
      <c r="M60" s="6"/>
      <c r="N60" s="6"/>
      <c r="O60" s="6"/>
      <c r="P60" s="3"/>
      <c r="Q60" s="3"/>
      <c r="R60" s="3"/>
      <c r="S60" s="6"/>
      <c r="U60" s="26"/>
    </row>
    <row r="61" spans="1:21">
      <c r="A61" s="362"/>
      <c r="E61" s="31"/>
      <c r="F61" s="31"/>
      <c r="H61" s="6"/>
      <c r="I61" s="6"/>
      <c r="J61" s="6"/>
      <c r="K61" s="6"/>
      <c r="L61" s="6"/>
      <c r="M61" s="6"/>
      <c r="N61" s="6"/>
      <c r="O61" s="6"/>
      <c r="P61" s="3"/>
      <c r="Q61" s="3"/>
      <c r="R61" s="3"/>
      <c r="S61" s="6"/>
      <c r="U61" s="26"/>
    </row>
    <row r="62" spans="1:21">
      <c r="A62" s="362"/>
      <c r="C62" s="53">
        <v>-1</v>
      </c>
      <c r="D62" s="53">
        <v>-2</v>
      </c>
      <c r="E62" s="53">
        <v>-3</v>
      </c>
      <c r="F62" s="53">
        <v>-4</v>
      </c>
      <c r="G62" s="53">
        <v>-5</v>
      </c>
      <c r="H62" s="53">
        <v>-6</v>
      </c>
      <c r="I62" s="53">
        <v>-7</v>
      </c>
      <c r="J62" s="53">
        <v>-8</v>
      </c>
      <c r="K62" s="53">
        <v>-9</v>
      </c>
      <c r="L62" s="53">
        <v>-10</v>
      </c>
      <c r="M62" s="53">
        <v>-11</v>
      </c>
      <c r="N62" s="53">
        <v>-12</v>
      </c>
      <c r="O62" s="53" t="s">
        <v>341</v>
      </c>
      <c r="P62" s="53">
        <v>-13</v>
      </c>
      <c r="Q62" s="113" t="s">
        <v>286</v>
      </c>
      <c r="R62" s="113" t="s">
        <v>287</v>
      </c>
      <c r="S62" s="113" t="s">
        <v>308</v>
      </c>
      <c r="U62" s="26"/>
    </row>
    <row r="63" spans="1:21" ht="53.25" customHeight="1">
      <c r="A63" s="54" t="s">
        <v>161</v>
      </c>
      <c r="B63" s="55"/>
      <c r="C63" s="701" t="s">
        <v>462</v>
      </c>
      <c r="D63" s="56" t="s">
        <v>485</v>
      </c>
      <c r="E63" s="57" t="s">
        <v>162</v>
      </c>
      <c r="F63" s="57" t="s">
        <v>148</v>
      </c>
      <c r="G63" s="58" t="s">
        <v>163</v>
      </c>
      <c r="H63" s="57" t="s">
        <v>460</v>
      </c>
      <c r="I63" s="57" t="s">
        <v>159</v>
      </c>
      <c r="J63" s="58" t="s">
        <v>164</v>
      </c>
      <c r="K63" s="57" t="s">
        <v>184</v>
      </c>
      <c r="L63" s="59" t="s">
        <v>165</v>
      </c>
      <c r="M63" s="59" t="s">
        <v>186</v>
      </c>
      <c r="N63" s="59" t="s">
        <v>185</v>
      </c>
      <c r="O63" s="59" t="s">
        <v>339</v>
      </c>
      <c r="P63" s="59" t="s">
        <v>465</v>
      </c>
      <c r="Q63" s="59" t="s">
        <v>193</v>
      </c>
      <c r="R63" s="59" t="s">
        <v>166</v>
      </c>
      <c r="S63" s="59" t="s">
        <v>401</v>
      </c>
      <c r="U63" s="26"/>
    </row>
    <row r="64" spans="1:21" ht="46.5" customHeight="1">
      <c r="A64" s="60"/>
      <c r="B64" s="61"/>
      <c r="C64" s="61"/>
      <c r="D64" s="61"/>
      <c r="E64" s="62" t="s">
        <v>108</v>
      </c>
      <c r="F64" s="62" t="s">
        <v>298</v>
      </c>
      <c r="G64" s="63" t="s">
        <v>167</v>
      </c>
      <c r="H64" s="62" t="s">
        <v>337</v>
      </c>
      <c r="I64" s="62" t="s">
        <v>299</v>
      </c>
      <c r="J64" s="63" t="s">
        <v>168</v>
      </c>
      <c r="K64" s="62" t="s">
        <v>338</v>
      </c>
      <c r="L64" s="63" t="s">
        <v>169</v>
      </c>
      <c r="M64" s="62" t="s">
        <v>332</v>
      </c>
      <c r="N64" s="184" t="s">
        <v>715</v>
      </c>
      <c r="O64" s="64" t="s">
        <v>340</v>
      </c>
      <c r="P64" s="122" t="s">
        <v>311</v>
      </c>
      <c r="Q64" s="64" t="s">
        <v>309</v>
      </c>
      <c r="R64" s="65" t="s">
        <v>170</v>
      </c>
      <c r="S64" s="64" t="s">
        <v>310</v>
      </c>
      <c r="U64" s="26"/>
    </row>
    <row r="65" spans="1:21">
      <c r="A65" s="66"/>
      <c r="B65" s="6"/>
      <c r="C65" s="6"/>
      <c r="D65" s="6"/>
      <c r="E65" s="6"/>
      <c r="F65" s="6"/>
      <c r="G65" s="67"/>
      <c r="H65" s="6"/>
      <c r="I65" s="6"/>
      <c r="J65" s="67"/>
      <c r="K65" s="6"/>
      <c r="L65" s="67"/>
      <c r="M65" s="183"/>
      <c r="N65" s="67"/>
      <c r="O65" s="67"/>
      <c r="P65" s="6"/>
      <c r="Q65" s="121"/>
      <c r="R65" s="3"/>
      <c r="S65" s="68"/>
      <c r="U65" s="26"/>
    </row>
    <row r="66" spans="1:21">
      <c r="A66" s="69" t="s">
        <v>670</v>
      </c>
      <c r="B66" s="70"/>
      <c r="C66" s="70" t="s">
        <v>484</v>
      </c>
      <c r="D66" s="445" t="s">
        <v>486</v>
      </c>
      <c r="E66" s="658">
        <f>+'Attachment H-7'!I47-SUM(E67:E93)</f>
        <v>1356614571.9861538</v>
      </c>
      <c r="F66" s="15">
        <f t="shared" ref="F66:F90" si="0">$L$36</f>
        <v>5.2789220976299546E-2</v>
      </c>
      <c r="G66" s="71">
        <f t="shared" ref="G66:G85" si="1">E66*F66</f>
        <v>71614626.420245096</v>
      </c>
      <c r="H66" s="658">
        <f>+'Attachment H-7'!I67-SUM(H67:H93)</f>
        <v>875878416.51328421</v>
      </c>
      <c r="I66" s="15">
        <f>$L$46</f>
        <v>8.4915075141025212E-2</v>
      </c>
      <c r="J66" s="165">
        <f>H66*I66</f>
        <v>74375281.552627712</v>
      </c>
      <c r="K66" s="218">
        <f>+'Attachment H-7'!I125-SUM(K67:K93)</f>
        <v>20243624.77778592</v>
      </c>
      <c r="L66" s="165">
        <f>G66+J66+K66</f>
        <v>166233532.75065872</v>
      </c>
      <c r="M66" s="659">
        <v>0</v>
      </c>
      <c r="N66" s="165">
        <f>+'2-Incentive ROE'!K$40*'1-Project Rev Req'!M66/100*H66</f>
        <v>0</v>
      </c>
      <c r="O66" s="165">
        <f>+L66+N66</f>
        <v>166233532.75065872</v>
      </c>
      <c r="P66" s="218">
        <v>0</v>
      </c>
      <c r="Q66" s="165">
        <f t="shared" ref="Q66:Q84" si="2">+L66+N66-P66</f>
        <v>166233532.75065872</v>
      </c>
      <c r="R66" s="218">
        <f>+'3-Project True-up'!K18</f>
        <v>0</v>
      </c>
      <c r="S66" s="165">
        <f>+Q66+R66</f>
        <v>166233532.75065872</v>
      </c>
    </row>
    <row r="67" spans="1:21">
      <c r="A67" s="69" t="s">
        <v>672</v>
      </c>
      <c r="B67" s="70"/>
      <c r="C67" s="656" t="s">
        <v>1349</v>
      </c>
      <c r="D67" s="571" t="s">
        <v>777</v>
      </c>
      <c r="E67" s="870">
        <v>34906891.653333329</v>
      </c>
      <c r="F67" s="15">
        <f t="shared" si="0"/>
        <v>5.2789220976299546E-2</v>
      </c>
      <c r="G67" s="71">
        <f t="shared" si="1"/>
        <v>1842707.6170835593</v>
      </c>
      <c r="H67" s="870">
        <v>29435423.288594592</v>
      </c>
      <c r="I67" s="15">
        <f t="shared" ref="I67:I90" si="3">$L$46</f>
        <v>8.4915075141025212E-2</v>
      </c>
      <c r="J67" s="165">
        <f t="shared" ref="J67:J85" si="4">H67*I67</f>
        <v>2499511.1803588932</v>
      </c>
      <c r="K67" s="873">
        <v>687064.4995893623</v>
      </c>
      <c r="L67" s="165">
        <f t="shared" ref="L67:L85" si="5">G67+J67+K67</f>
        <v>5029283.2970318152</v>
      </c>
      <c r="M67" s="876">
        <v>0</v>
      </c>
      <c r="N67" s="165">
        <f>+'2-Incentive ROE'!K$40*'1-Project Rev Req'!M67/100*H67</f>
        <v>0</v>
      </c>
      <c r="O67" s="165">
        <f>+L67+N67</f>
        <v>5029283.2970318152</v>
      </c>
      <c r="P67" s="873">
        <v>0</v>
      </c>
      <c r="Q67" s="165">
        <f t="shared" si="2"/>
        <v>5029283.2970318152</v>
      </c>
      <c r="R67" s="873">
        <f>+'3-Project True-up'!K19</f>
        <v>0</v>
      </c>
      <c r="S67" s="165">
        <f>+Q67+R67</f>
        <v>5029283.2970318152</v>
      </c>
    </row>
    <row r="68" spans="1:21">
      <c r="A68" s="69" t="s">
        <v>674</v>
      </c>
      <c r="B68" s="70"/>
      <c r="C68" s="656" t="s">
        <v>1349</v>
      </c>
      <c r="D68" s="571" t="s">
        <v>777</v>
      </c>
      <c r="E68" s="870">
        <v>17453445.826666664</v>
      </c>
      <c r="F68" s="15">
        <f t="shared" si="0"/>
        <v>5.2789220976299546E-2</v>
      </c>
      <c r="G68" s="71">
        <f t="shared" si="1"/>
        <v>921353.80854177964</v>
      </c>
      <c r="H68" s="870">
        <v>14717711.644297296</v>
      </c>
      <c r="I68" s="15">
        <f t="shared" si="3"/>
        <v>8.4915075141025212E-2</v>
      </c>
      <c r="J68" s="165">
        <f>H68*I68</f>
        <v>1249755.5901794466</v>
      </c>
      <c r="K68" s="873">
        <v>343532.24979468115</v>
      </c>
      <c r="L68" s="165">
        <f>G68+J68+K68</f>
        <v>2514641.6485159076</v>
      </c>
      <c r="M68" s="876">
        <v>0</v>
      </c>
      <c r="N68" s="165">
        <f>+'2-Incentive ROE'!K$40*'1-Project Rev Req'!M68/100*H68</f>
        <v>0</v>
      </c>
      <c r="O68" s="165">
        <f t="shared" ref="O68:O84" si="6">+L68+N68</f>
        <v>2514641.6485159076</v>
      </c>
      <c r="P68" s="873">
        <v>0</v>
      </c>
      <c r="Q68" s="165">
        <f t="shared" si="2"/>
        <v>2514641.6485159076</v>
      </c>
      <c r="R68" s="873">
        <f>+'3-Project True-up'!K20</f>
        <v>0</v>
      </c>
      <c r="S68" s="165">
        <f>+Q68+R68</f>
        <v>2514641.6485159076</v>
      </c>
    </row>
    <row r="69" spans="1:21">
      <c r="A69" s="69" t="s">
        <v>676</v>
      </c>
      <c r="B69" s="70"/>
      <c r="C69" s="656" t="s">
        <v>892</v>
      </c>
      <c r="D69" s="571" t="s">
        <v>779</v>
      </c>
      <c r="E69" s="870">
        <v>4605740.7974999994</v>
      </c>
      <c r="F69" s="15">
        <f t="shared" si="0"/>
        <v>5.2789220976299546E-2</v>
      </c>
      <c r="G69" s="71">
        <f t="shared" si="1"/>
        <v>243133.46871878556</v>
      </c>
      <c r="H69" s="870">
        <v>4387749.2847566148</v>
      </c>
      <c r="I69" s="15">
        <f t="shared" si="3"/>
        <v>8.4915075141025212E-2</v>
      </c>
      <c r="J69" s="165">
        <f t="shared" si="4"/>
        <v>372586.06021508755</v>
      </c>
      <c r="K69" s="873">
        <v>110157.31303182003</v>
      </c>
      <c r="L69" s="165">
        <f t="shared" si="5"/>
        <v>725876.84196569317</v>
      </c>
      <c r="M69" s="876">
        <v>0</v>
      </c>
      <c r="N69" s="165">
        <f>+'2-Incentive ROE'!K$40*'1-Project Rev Req'!M69/100*H69</f>
        <v>0</v>
      </c>
      <c r="O69" s="165">
        <f t="shared" si="6"/>
        <v>725876.84196569317</v>
      </c>
      <c r="P69" s="873">
        <v>0</v>
      </c>
      <c r="Q69" s="165">
        <f t="shared" si="2"/>
        <v>725876.84196569317</v>
      </c>
      <c r="R69" s="873">
        <f>+'3-Project True-up'!K21</f>
        <v>0</v>
      </c>
      <c r="S69" s="165">
        <f>+Q69+R69</f>
        <v>725876.84196569317</v>
      </c>
    </row>
    <row r="70" spans="1:21">
      <c r="A70" s="69" t="s">
        <v>678</v>
      </c>
      <c r="B70" s="70"/>
      <c r="C70" s="656" t="s">
        <v>892</v>
      </c>
      <c r="D70" s="571" t="s">
        <v>1350</v>
      </c>
      <c r="E70" s="870">
        <v>1535246.9324999999</v>
      </c>
      <c r="F70" s="15">
        <f t="shared" si="0"/>
        <v>5.2789220976299546E-2</v>
      </c>
      <c r="G70" s="71">
        <f t="shared" si="1"/>
        <v>81044.48957292852</v>
      </c>
      <c r="H70" s="870">
        <v>1462583.0949188715</v>
      </c>
      <c r="I70" s="15">
        <f t="shared" si="3"/>
        <v>8.4915075141025212E-2</v>
      </c>
      <c r="J70" s="165">
        <f t="shared" si="4"/>
        <v>124195.35340502919</v>
      </c>
      <c r="K70" s="873">
        <v>36719.104343940009</v>
      </c>
      <c r="L70" s="165">
        <f t="shared" si="5"/>
        <v>241958.94732189772</v>
      </c>
      <c r="M70" s="876">
        <v>0</v>
      </c>
      <c r="N70" s="165">
        <f>+'2-Incentive ROE'!K$40*'1-Project Rev Req'!M70/100*H70</f>
        <v>0</v>
      </c>
      <c r="O70" s="165">
        <f t="shared" si="6"/>
        <v>241958.94732189772</v>
      </c>
      <c r="P70" s="873">
        <v>0</v>
      </c>
      <c r="Q70" s="165">
        <f t="shared" si="2"/>
        <v>241958.94732189772</v>
      </c>
      <c r="R70" s="873">
        <f>+'3-Project True-up'!K22</f>
        <v>0</v>
      </c>
      <c r="S70" s="165">
        <f>+Q70+R70</f>
        <v>241958.94732189772</v>
      </c>
    </row>
    <row r="71" spans="1:21">
      <c r="A71" s="69" t="s">
        <v>680</v>
      </c>
      <c r="B71" s="70"/>
      <c r="C71" s="656" t="s">
        <v>893</v>
      </c>
      <c r="D71" s="571" t="s">
        <v>780</v>
      </c>
      <c r="E71" s="870">
        <v>3258302.26</v>
      </c>
      <c r="F71" s="15">
        <f t="shared" si="0"/>
        <v>5.2789220976299546E-2</v>
      </c>
      <c r="G71" s="71">
        <f t="shared" si="1"/>
        <v>172003.23801071622</v>
      </c>
      <c r="H71" s="870">
        <v>2742607.020190883</v>
      </c>
      <c r="I71" s="15">
        <f t="shared" si="3"/>
        <v>8.4915075141025212E-2</v>
      </c>
      <c r="J71" s="165">
        <f t="shared" si="4"/>
        <v>232888.68120181208</v>
      </c>
      <c r="K71" s="873">
        <v>63904.167291496517</v>
      </c>
      <c r="L71" s="165">
        <f t="shared" si="5"/>
        <v>468796.0865040248</v>
      </c>
      <c r="M71" s="876">
        <v>0</v>
      </c>
      <c r="N71" s="165">
        <f>+'2-Incentive ROE'!K$40*'1-Project Rev Req'!M71/100*H71</f>
        <v>0</v>
      </c>
      <c r="O71" s="165">
        <f t="shared" si="6"/>
        <v>468796.0865040248</v>
      </c>
      <c r="P71" s="873">
        <v>0</v>
      </c>
      <c r="Q71" s="165">
        <f t="shared" si="2"/>
        <v>468796.0865040248</v>
      </c>
      <c r="R71" s="873">
        <f>+'3-Project True-up'!K23</f>
        <v>0</v>
      </c>
      <c r="S71" s="165">
        <f t="shared" ref="S71:S84" si="7">+Q71+R71</f>
        <v>468796.0865040248</v>
      </c>
    </row>
    <row r="72" spans="1:21">
      <c r="A72" s="69" t="s">
        <v>682</v>
      </c>
      <c r="B72" s="70"/>
      <c r="C72" s="656" t="s">
        <v>894</v>
      </c>
      <c r="D72" s="571" t="s">
        <v>781</v>
      </c>
      <c r="E72" s="870">
        <v>4456731.2700000005</v>
      </c>
      <c r="F72" s="15">
        <f t="shared" si="0"/>
        <v>5.2789220976299546E-2</v>
      </c>
      <c r="G72" s="71">
        <f t="shared" si="1"/>
        <v>235267.37184401415</v>
      </c>
      <c r="H72" s="870">
        <v>3663958.0761945751</v>
      </c>
      <c r="I72" s="15">
        <f t="shared" si="3"/>
        <v>8.4915075141025212E-2</v>
      </c>
      <c r="J72" s="165">
        <f t="shared" si="4"/>
        <v>311125.2753536285</v>
      </c>
      <c r="K72" s="873">
        <v>85372.125181051961</v>
      </c>
      <c r="L72" s="165">
        <f t="shared" si="5"/>
        <v>631764.7723786945</v>
      </c>
      <c r="M72" s="876">
        <v>0</v>
      </c>
      <c r="N72" s="165">
        <f>+'2-Incentive ROE'!K$40*'1-Project Rev Req'!M72/100*H72</f>
        <v>0</v>
      </c>
      <c r="O72" s="165">
        <f t="shared" si="6"/>
        <v>631764.7723786945</v>
      </c>
      <c r="P72" s="873">
        <v>0</v>
      </c>
      <c r="Q72" s="165">
        <f t="shared" si="2"/>
        <v>631764.7723786945</v>
      </c>
      <c r="R72" s="873">
        <f>+'3-Project True-up'!K24</f>
        <v>0</v>
      </c>
      <c r="S72" s="165">
        <f t="shared" si="7"/>
        <v>631764.7723786945</v>
      </c>
    </row>
    <row r="73" spans="1:21">
      <c r="A73" s="69" t="s">
        <v>822</v>
      </c>
      <c r="B73" s="70"/>
      <c r="C73" s="656" t="s">
        <v>895</v>
      </c>
      <c r="D73" s="571" t="s">
        <v>891</v>
      </c>
      <c r="E73" s="870">
        <v>13978666.729999999</v>
      </c>
      <c r="F73" s="15">
        <f t="shared" si="0"/>
        <v>5.2789220976299546E-2</v>
      </c>
      <c r="G73" s="71">
        <f t="shared" si="1"/>
        <v>737922.92696401651</v>
      </c>
      <c r="H73" s="870">
        <v>12896559.074808411</v>
      </c>
      <c r="I73" s="15">
        <f t="shared" si="3"/>
        <v>8.4915075141025212E-2</v>
      </c>
      <c r="J73" s="165">
        <f t="shared" si="4"/>
        <v>1095112.2828980268</v>
      </c>
      <c r="K73" s="873">
        <v>332356.43562687101</v>
      </c>
      <c r="L73" s="165">
        <f t="shared" si="5"/>
        <v>2165391.6454889141</v>
      </c>
      <c r="M73" s="876">
        <v>0</v>
      </c>
      <c r="N73" s="165">
        <f>+'2-Incentive ROE'!K$40*'1-Project Rev Req'!M73/100*H73</f>
        <v>0</v>
      </c>
      <c r="O73" s="165">
        <f t="shared" si="6"/>
        <v>2165391.6454889141</v>
      </c>
      <c r="P73" s="873">
        <v>0</v>
      </c>
      <c r="Q73" s="165">
        <f t="shared" si="2"/>
        <v>2165391.6454889141</v>
      </c>
      <c r="R73" s="873">
        <f>+'3-Project True-up'!K25</f>
        <v>0</v>
      </c>
      <c r="S73" s="165">
        <f t="shared" si="7"/>
        <v>2165391.6454889141</v>
      </c>
    </row>
    <row r="74" spans="1:21">
      <c r="A74" s="69" t="s">
        <v>823</v>
      </c>
      <c r="B74" s="70"/>
      <c r="C74" s="656" t="s">
        <v>1007</v>
      </c>
      <c r="D74" s="571" t="s">
        <v>1008</v>
      </c>
      <c r="E74" s="870">
        <v>24482803.179999985</v>
      </c>
      <c r="F74" s="15">
        <f t="shared" si="0"/>
        <v>5.2789220976299546E-2</v>
      </c>
      <c r="G74" s="71">
        <f t="shared" si="1"/>
        <v>1292428.1071882683</v>
      </c>
      <c r="H74" s="870">
        <v>32317037.646204431</v>
      </c>
      <c r="I74" s="15">
        <f t="shared" si="3"/>
        <v>8.4915075141025212E-2</v>
      </c>
      <c r="J74" s="165">
        <f t="shared" si="4"/>
        <v>2744203.6800627899</v>
      </c>
      <c r="K74" s="873">
        <v>839744.75661873166</v>
      </c>
      <c r="L74" s="165">
        <f t="shared" si="5"/>
        <v>4876376.5438697897</v>
      </c>
      <c r="M74" s="876">
        <v>0</v>
      </c>
      <c r="N74" s="165">
        <f>+'2-Incentive ROE'!K$40*'1-Project Rev Req'!M74/100*H74</f>
        <v>0</v>
      </c>
      <c r="O74" s="165">
        <f t="shared" si="6"/>
        <v>4876376.5438697897</v>
      </c>
      <c r="P74" s="873">
        <v>0</v>
      </c>
      <c r="Q74" s="165">
        <f t="shared" si="2"/>
        <v>4876376.5438697897</v>
      </c>
      <c r="R74" s="873">
        <f>+'3-Project True-up'!K26</f>
        <v>0</v>
      </c>
      <c r="S74" s="165">
        <f t="shared" si="7"/>
        <v>4876376.5438697897</v>
      </c>
    </row>
    <row r="75" spans="1:21">
      <c r="A75" s="69" t="s">
        <v>824</v>
      </c>
      <c r="B75" s="70"/>
      <c r="C75" s="656" t="s">
        <v>896</v>
      </c>
      <c r="D75" s="571" t="s">
        <v>786</v>
      </c>
      <c r="E75" s="870">
        <v>18633213.23</v>
      </c>
      <c r="F75" s="15">
        <f t="shared" si="0"/>
        <v>5.2789220976299546E-2</v>
      </c>
      <c r="G75" s="71">
        <f t="shared" si="1"/>
        <v>983632.81069697824</v>
      </c>
      <c r="H75" s="870">
        <v>16868388.436767675</v>
      </c>
      <c r="I75" s="15">
        <f t="shared" si="3"/>
        <v>8.4915075141025212E-2</v>
      </c>
      <c r="J75" s="165">
        <f t="shared" si="4"/>
        <v>1432380.471616128</v>
      </c>
      <c r="K75" s="873">
        <v>518466.80867336527</v>
      </c>
      <c r="L75" s="165">
        <f t="shared" si="5"/>
        <v>2934480.0909864716</v>
      </c>
      <c r="M75" s="876">
        <v>0</v>
      </c>
      <c r="N75" s="165">
        <f>+'2-Incentive ROE'!K$40*'1-Project Rev Req'!M75/100*H75</f>
        <v>0</v>
      </c>
      <c r="O75" s="165">
        <f t="shared" si="6"/>
        <v>2934480.0909864716</v>
      </c>
      <c r="P75" s="873">
        <v>0</v>
      </c>
      <c r="Q75" s="165">
        <f t="shared" si="2"/>
        <v>2934480.0909864716</v>
      </c>
      <c r="R75" s="873">
        <f>+'3-Project True-up'!K27</f>
        <v>0</v>
      </c>
      <c r="S75" s="165">
        <f t="shared" si="7"/>
        <v>2934480.0909864716</v>
      </c>
    </row>
    <row r="76" spans="1:21">
      <c r="A76" s="69" t="s">
        <v>825</v>
      </c>
      <c r="B76" s="70"/>
      <c r="C76" s="656" t="s">
        <v>897</v>
      </c>
      <c r="D76" s="571" t="s">
        <v>787</v>
      </c>
      <c r="E76" s="870">
        <v>17048149.039999999</v>
      </c>
      <c r="F76" s="15">
        <f t="shared" si="0"/>
        <v>5.2789220976299546E-2</v>
      </c>
      <c r="G76" s="71">
        <f t="shared" si="1"/>
        <v>899958.50690944889</v>
      </c>
      <c r="H76" s="870">
        <v>16204806.150358932</v>
      </c>
      <c r="I76" s="15">
        <f t="shared" si="3"/>
        <v>8.4915075141025212E-2</v>
      </c>
      <c r="J76" s="165">
        <f t="shared" si="4"/>
        <v>1376032.3319034763</v>
      </c>
      <c r="K76" s="873">
        <v>383211.32206213323</v>
      </c>
      <c r="L76" s="165">
        <f t="shared" si="5"/>
        <v>2659202.1608750583</v>
      </c>
      <c r="M76" s="876">
        <v>0</v>
      </c>
      <c r="N76" s="165">
        <f>+'2-Incentive ROE'!K$40*'1-Project Rev Req'!M76/100*H76</f>
        <v>0</v>
      </c>
      <c r="O76" s="165">
        <f t="shared" si="6"/>
        <v>2659202.1608750583</v>
      </c>
      <c r="P76" s="873">
        <v>0</v>
      </c>
      <c r="Q76" s="165">
        <f t="shared" si="2"/>
        <v>2659202.1608750583</v>
      </c>
      <c r="R76" s="873">
        <f>+'3-Project True-up'!K28</f>
        <v>0</v>
      </c>
      <c r="S76" s="165">
        <f t="shared" si="7"/>
        <v>2659202.1608750583</v>
      </c>
    </row>
    <row r="77" spans="1:21">
      <c r="A77" s="69" t="s">
        <v>826</v>
      </c>
      <c r="B77" s="70"/>
      <c r="C77" s="656" t="s">
        <v>898</v>
      </c>
      <c r="D77" s="571" t="s">
        <v>788</v>
      </c>
      <c r="E77" s="870">
        <v>17950806.600000001</v>
      </c>
      <c r="F77" s="15">
        <f t="shared" si="0"/>
        <v>5.2789220976299546E-2</v>
      </c>
      <c r="G77" s="71">
        <f t="shared" si="1"/>
        <v>947609.09631021647</v>
      </c>
      <c r="H77" s="870">
        <v>15726100.311622102</v>
      </c>
      <c r="I77" s="15">
        <f t="shared" si="3"/>
        <v>8.4915075141025212E-2</v>
      </c>
      <c r="J77" s="165">
        <f t="shared" si="4"/>
        <v>1335382.9896366908</v>
      </c>
      <c r="K77" s="873">
        <v>439238.43651898729</v>
      </c>
      <c r="L77" s="165">
        <f t="shared" si="5"/>
        <v>2722230.5224658945</v>
      </c>
      <c r="M77" s="876">
        <v>0</v>
      </c>
      <c r="N77" s="165">
        <f>+'2-Incentive ROE'!K$40*'1-Project Rev Req'!M77/100*H77</f>
        <v>0</v>
      </c>
      <c r="O77" s="165">
        <f t="shared" si="6"/>
        <v>2722230.5224658945</v>
      </c>
      <c r="P77" s="873">
        <v>0</v>
      </c>
      <c r="Q77" s="165">
        <f t="shared" si="2"/>
        <v>2722230.5224658945</v>
      </c>
      <c r="R77" s="873">
        <f>+'3-Project True-up'!K29</f>
        <v>0</v>
      </c>
      <c r="S77" s="165">
        <f t="shared" si="7"/>
        <v>2722230.5224658945</v>
      </c>
    </row>
    <row r="78" spans="1:21">
      <c r="A78" s="69" t="s">
        <v>827</v>
      </c>
      <c r="B78" s="70"/>
      <c r="C78" s="656" t="s">
        <v>899</v>
      </c>
      <c r="D78" s="571" t="s">
        <v>789</v>
      </c>
      <c r="E78" s="870">
        <v>11220087.26</v>
      </c>
      <c r="F78" s="15">
        <f t="shared" si="0"/>
        <v>5.2789220976299546E-2</v>
      </c>
      <c r="G78" s="71">
        <f t="shared" si="1"/>
        <v>592299.66574150324</v>
      </c>
      <c r="H78" s="870">
        <v>10737050.367726367</v>
      </c>
      <c r="I78" s="15">
        <f t="shared" si="3"/>
        <v>8.4915075141025212E-2</v>
      </c>
      <c r="J78" s="165">
        <f t="shared" si="4"/>
        <v>911737.43876845681</v>
      </c>
      <c r="K78" s="873">
        <v>258033.47029142917</v>
      </c>
      <c r="L78" s="165">
        <f t="shared" si="5"/>
        <v>1762070.5748013891</v>
      </c>
      <c r="M78" s="876">
        <v>0</v>
      </c>
      <c r="N78" s="165">
        <f>+'2-Incentive ROE'!K$40*'1-Project Rev Req'!M78/100*H78</f>
        <v>0</v>
      </c>
      <c r="O78" s="165">
        <f t="shared" si="6"/>
        <v>1762070.5748013891</v>
      </c>
      <c r="P78" s="873">
        <v>0</v>
      </c>
      <c r="Q78" s="165">
        <f t="shared" si="2"/>
        <v>1762070.5748013891</v>
      </c>
      <c r="R78" s="873">
        <f>+'3-Project True-up'!K30</f>
        <v>0</v>
      </c>
      <c r="S78" s="165">
        <f t="shared" si="7"/>
        <v>1762070.5748013891</v>
      </c>
    </row>
    <row r="79" spans="1:21">
      <c r="A79" s="69" t="s">
        <v>828</v>
      </c>
      <c r="B79" s="70"/>
      <c r="C79" s="656" t="s">
        <v>900</v>
      </c>
      <c r="D79" s="571" t="s">
        <v>790</v>
      </c>
      <c r="E79" s="870">
        <v>8362589.580000001</v>
      </c>
      <c r="F79" s="15">
        <f t="shared" si="0"/>
        <v>5.2789220976299546E-2</v>
      </c>
      <c r="G79" s="71">
        <f t="shared" si="1"/>
        <v>441454.58927272004</v>
      </c>
      <c r="H79" s="870">
        <v>7342445.3731036186</v>
      </c>
      <c r="I79" s="15">
        <f t="shared" si="3"/>
        <v>8.4915075141025212E-2</v>
      </c>
      <c r="J79" s="165">
        <f t="shared" si="4"/>
        <v>623484.30057596671</v>
      </c>
      <c r="K79" s="873">
        <v>171214.99810898473</v>
      </c>
      <c r="L79" s="165">
        <f t="shared" si="5"/>
        <v>1236153.8879576714</v>
      </c>
      <c r="M79" s="876">
        <v>0</v>
      </c>
      <c r="N79" s="165">
        <f>+'2-Incentive ROE'!K$40*'1-Project Rev Req'!M79/100*H79</f>
        <v>0</v>
      </c>
      <c r="O79" s="165">
        <f t="shared" si="6"/>
        <v>1236153.8879576714</v>
      </c>
      <c r="P79" s="873">
        <v>0</v>
      </c>
      <c r="Q79" s="165">
        <f t="shared" si="2"/>
        <v>1236153.8879576714</v>
      </c>
      <c r="R79" s="873">
        <f>+'3-Project True-up'!K31</f>
        <v>0</v>
      </c>
      <c r="S79" s="165">
        <f t="shared" si="7"/>
        <v>1236153.8879576714</v>
      </c>
    </row>
    <row r="80" spans="1:21">
      <c r="A80" s="69" t="s">
        <v>829</v>
      </c>
      <c r="B80" s="70"/>
      <c r="C80" s="656" t="s">
        <v>901</v>
      </c>
      <c r="D80" s="571" t="s">
        <v>791</v>
      </c>
      <c r="E80" s="870">
        <v>1712754.31</v>
      </c>
      <c r="F80" s="15">
        <f t="shared" si="0"/>
        <v>5.2789220976299546E-2</v>
      </c>
      <c r="G80" s="71">
        <f t="shared" si="1"/>
        <v>90414.965748699455</v>
      </c>
      <c r="H80" s="870">
        <v>1585529.5203904915</v>
      </c>
      <c r="I80" s="15">
        <f t="shared" si="3"/>
        <v>8.4915075141025212E-2</v>
      </c>
      <c r="J80" s="165">
        <f t="shared" si="4"/>
        <v>134635.35836227224</v>
      </c>
      <c r="K80" s="873">
        <v>36943.660892980683</v>
      </c>
      <c r="L80" s="165">
        <f t="shared" si="5"/>
        <v>261993.9850039524</v>
      </c>
      <c r="M80" s="876">
        <v>0</v>
      </c>
      <c r="N80" s="165">
        <f>+'2-Incentive ROE'!K$40*'1-Project Rev Req'!M80/100*H80</f>
        <v>0</v>
      </c>
      <c r="O80" s="165">
        <f t="shared" si="6"/>
        <v>261993.9850039524</v>
      </c>
      <c r="P80" s="873">
        <v>0</v>
      </c>
      <c r="Q80" s="165">
        <f t="shared" si="2"/>
        <v>261993.9850039524</v>
      </c>
      <c r="R80" s="873">
        <f>+'3-Project True-up'!K32</f>
        <v>0</v>
      </c>
      <c r="S80" s="165">
        <f t="shared" si="7"/>
        <v>261993.9850039524</v>
      </c>
    </row>
    <row r="81" spans="1:19">
      <c r="A81" s="69" t="s">
        <v>830</v>
      </c>
      <c r="B81" s="70"/>
      <c r="C81" s="656" t="s">
        <v>902</v>
      </c>
      <c r="D81" s="571" t="s">
        <v>792</v>
      </c>
      <c r="E81" s="870">
        <v>2229231.87</v>
      </c>
      <c r="F81" s="15">
        <f t="shared" si="0"/>
        <v>5.2789220976299546E-2</v>
      </c>
      <c r="G81" s="71">
        <f t="shared" si="1"/>
        <v>117679.41379283946</v>
      </c>
      <c r="H81" s="870">
        <v>1866447.149695066</v>
      </c>
      <c r="I81" s="15">
        <f t="shared" si="3"/>
        <v>8.4915075141025212E-2</v>
      </c>
      <c r="J81" s="165">
        <f t="shared" si="4"/>
        <v>158489.49996310886</v>
      </c>
      <c r="K81" s="873">
        <v>52027.589448679348</v>
      </c>
      <c r="L81" s="165">
        <f t="shared" si="5"/>
        <v>328196.50320462766</v>
      </c>
      <c r="M81" s="876">
        <v>0</v>
      </c>
      <c r="N81" s="165">
        <f>+'2-Incentive ROE'!K$40*'1-Project Rev Req'!M81/100*H81</f>
        <v>0</v>
      </c>
      <c r="O81" s="165">
        <f t="shared" si="6"/>
        <v>328196.50320462766</v>
      </c>
      <c r="P81" s="873">
        <v>0</v>
      </c>
      <c r="Q81" s="165">
        <f t="shared" si="2"/>
        <v>328196.50320462766</v>
      </c>
      <c r="R81" s="873">
        <f>+'3-Project True-up'!K33</f>
        <v>0</v>
      </c>
      <c r="S81" s="165">
        <f t="shared" si="7"/>
        <v>328196.50320462766</v>
      </c>
    </row>
    <row r="82" spans="1:19">
      <c r="A82" s="69" t="s">
        <v>831</v>
      </c>
      <c r="B82" s="70"/>
      <c r="C82" s="656" t="s">
        <v>1151</v>
      </c>
      <c r="D82" s="571" t="s">
        <v>793</v>
      </c>
      <c r="E82" s="870">
        <v>2546903.0099999998</v>
      </c>
      <c r="F82" s="15">
        <f t="shared" si="0"/>
        <v>5.2789220976299546E-2</v>
      </c>
      <c r="G82" s="71">
        <f t="shared" si="1"/>
        <v>134449.02580009244</v>
      </c>
      <c r="H82" s="870">
        <v>2063844.6776774561</v>
      </c>
      <c r="I82" s="15">
        <f t="shared" si="3"/>
        <v>8.4915075141025212E-2</v>
      </c>
      <c r="J82" s="165">
        <f t="shared" si="4"/>
        <v>175251.52588438615</v>
      </c>
      <c r="K82" s="873">
        <v>57530.08521756831</v>
      </c>
      <c r="L82" s="165">
        <f t="shared" si="5"/>
        <v>367230.63690204691</v>
      </c>
      <c r="M82" s="876">
        <v>0</v>
      </c>
      <c r="N82" s="165">
        <f>+'2-Incentive ROE'!K$40*'1-Project Rev Req'!M82/100*H82</f>
        <v>0</v>
      </c>
      <c r="O82" s="165">
        <f t="shared" si="6"/>
        <v>367230.63690204691</v>
      </c>
      <c r="P82" s="873">
        <v>0</v>
      </c>
      <c r="Q82" s="165">
        <f t="shared" si="2"/>
        <v>367230.63690204691</v>
      </c>
      <c r="R82" s="873">
        <f>+'3-Project True-up'!K34</f>
        <v>0</v>
      </c>
      <c r="S82" s="165">
        <f t="shared" si="7"/>
        <v>367230.63690204691</v>
      </c>
    </row>
    <row r="83" spans="1:19">
      <c r="A83" s="69" t="s">
        <v>832</v>
      </c>
      <c r="B83" s="70"/>
      <c r="C83" s="656" t="s">
        <v>901</v>
      </c>
      <c r="D83" s="571" t="s">
        <v>794</v>
      </c>
      <c r="E83" s="870">
        <v>2359200.13</v>
      </c>
      <c r="F83" s="15">
        <f t="shared" si="0"/>
        <v>5.2789220976299546E-2</v>
      </c>
      <c r="G83" s="71">
        <f t="shared" si="1"/>
        <v>124540.33698988461</v>
      </c>
      <c r="H83" s="870">
        <v>2163071.4383679233</v>
      </c>
      <c r="I83" s="15">
        <f t="shared" si="3"/>
        <v>8.4915075141025212E-2</v>
      </c>
      <c r="J83" s="165">
        <f t="shared" si="4"/>
        <v>183677.3737244177</v>
      </c>
      <c r="K83" s="873">
        <v>50400.687390970481</v>
      </c>
      <c r="L83" s="165">
        <f t="shared" si="5"/>
        <v>358618.39810527279</v>
      </c>
      <c r="M83" s="876">
        <v>0</v>
      </c>
      <c r="N83" s="165">
        <f>+'2-Incentive ROE'!K$40*'1-Project Rev Req'!M83/100*H83</f>
        <v>0</v>
      </c>
      <c r="O83" s="165">
        <f t="shared" si="6"/>
        <v>358618.39810527279</v>
      </c>
      <c r="P83" s="873">
        <v>0</v>
      </c>
      <c r="Q83" s="165">
        <f t="shared" si="2"/>
        <v>358618.39810527279</v>
      </c>
      <c r="R83" s="873">
        <f>+'3-Project True-up'!K35</f>
        <v>0</v>
      </c>
      <c r="S83" s="165">
        <f t="shared" si="7"/>
        <v>358618.39810527279</v>
      </c>
    </row>
    <row r="84" spans="1:19">
      <c r="A84" s="69" t="s">
        <v>833</v>
      </c>
      <c r="B84" s="70"/>
      <c r="C84" s="656" t="s">
        <v>903</v>
      </c>
      <c r="D84" s="571" t="s">
        <v>795</v>
      </c>
      <c r="E84" s="870">
        <v>3631395.7</v>
      </c>
      <c r="F84" s="15">
        <f t="shared" si="0"/>
        <v>5.2789220976299546E-2</v>
      </c>
      <c r="G84" s="71">
        <f t="shared" si="1"/>
        <v>191698.55005968397</v>
      </c>
      <c r="H84" s="870">
        <v>2748576.0583527763</v>
      </c>
      <c r="I84" s="15">
        <f t="shared" si="3"/>
        <v>8.4915075141025212E-2</v>
      </c>
      <c r="J84" s="165">
        <f t="shared" si="4"/>
        <v>233395.5425258489</v>
      </c>
      <c r="K84" s="873">
        <v>64043.248979269803</v>
      </c>
      <c r="L84" s="165">
        <f t="shared" si="5"/>
        <v>489137.34156480269</v>
      </c>
      <c r="M84" s="876">
        <v>0</v>
      </c>
      <c r="N84" s="165">
        <f>+'2-Incentive ROE'!K$40*'1-Project Rev Req'!M84/100*H84</f>
        <v>0</v>
      </c>
      <c r="O84" s="165">
        <f t="shared" si="6"/>
        <v>489137.34156480269</v>
      </c>
      <c r="P84" s="873">
        <v>0</v>
      </c>
      <c r="Q84" s="165">
        <f t="shared" si="2"/>
        <v>489137.34156480269</v>
      </c>
      <c r="R84" s="873">
        <f>+'3-Project True-up'!K36</f>
        <v>0</v>
      </c>
      <c r="S84" s="165">
        <f t="shared" si="7"/>
        <v>489137.34156480269</v>
      </c>
    </row>
    <row r="85" spans="1:19">
      <c r="A85" s="69" t="s">
        <v>834</v>
      </c>
      <c r="B85" s="70"/>
      <c r="C85" s="656" t="s">
        <v>904</v>
      </c>
      <c r="D85" s="571" t="s">
        <v>796</v>
      </c>
      <c r="E85" s="870">
        <v>4811873.2300000004</v>
      </c>
      <c r="F85" s="15">
        <f t="shared" si="0"/>
        <v>5.2789220976299546E-2</v>
      </c>
      <c r="G85" s="71">
        <f t="shared" si="1"/>
        <v>254015.03924841026</v>
      </c>
      <c r="H85" s="870">
        <v>3742281.8841556953</v>
      </c>
      <c r="I85" s="15">
        <f t="shared" si="3"/>
        <v>8.4915075141025212E-2</v>
      </c>
      <c r="J85" s="165">
        <f t="shared" si="4"/>
        <v>317776.1473919783</v>
      </c>
      <c r="K85" s="873">
        <v>87197.11056539847</v>
      </c>
      <c r="L85" s="165">
        <f t="shared" si="5"/>
        <v>658988.29720578704</v>
      </c>
      <c r="M85" s="876">
        <v>0</v>
      </c>
      <c r="N85" s="165">
        <f>+'2-Incentive ROE'!K$40*'1-Project Rev Req'!M85/100*H85</f>
        <v>0</v>
      </c>
      <c r="O85" s="165">
        <f t="shared" ref="O85" si="8">+L85+N85</f>
        <v>658988.29720578704</v>
      </c>
      <c r="P85" s="873">
        <v>0</v>
      </c>
      <c r="Q85" s="165">
        <f t="shared" ref="Q85" si="9">+L85+N85-P85</f>
        <v>658988.29720578704</v>
      </c>
      <c r="R85" s="873">
        <f>+'3-Project True-up'!K37</f>
        <v>0</v>
      </c>
      <c r="S85" s="165">
        <f t="shared" ref="S85" si="10">+Q85+R85</f>
        <v>658988.29720578704</v>
      </c>
    </row>
    <row r="86" spans="1:19">
      <c r="A86" s="69" t="s">
        <v>835</v>
      </c>
      <c r="B86" s="70"/>
      <c r="C86" s="656" t="s">
        <v>905</v>
      </c>
      <c r="D86" s="571" t="s">
        <v>798</v>
      </c>
      <c r="E86" s="870">
        <v>2699443.66</v>
      </c>
      <c r="F86" s="15">
        <f t="shared" si="0"/>
        <v>5.2789220976299546E-2</v>
      </c>
      <c r="G86" s="71">
        <f t="shared" ref="G86" si="11">E86*F86</f>
        <v>142501.52788081084</v>
      </c>
      <c r="H86" s="870">
        <v>2133083.7670106036</v>
      </c>
      <c r="I86" s="15">
        <f t="shared" si="3"/>
        <v>8.4915075141025212E-2</v>
      </c>
      <c r="J86" s="165">
        <f t="shared" ref="J86:J87" si="12">H86*I86</f>
        <v>181130.96835780653</v>
      </c>
      <c r="K86" s="873">
        <v>49701.959081375775</v>
      </c>
      <c r="L86" s="165">
        <f t="shared" ref="L86:L90" si="13">G86+J86+K86</f>
        <v>373334.45531999314</v>
      </c>
      <c r="M86" s="876">
        <v>0</v>
      </c>
      <c r="N86" s="165">
        <f>+'2-Incentive ROE'!K$40*'1-Project Rev Req'!M86/100*H86</f>
        <v>0</v>
      </c>
      <c r="O86" s="165">
        <f t="shared" ref="O86" si="14">+L86+N86</f>
        <v>373334.45531999314</v>
      </c>
      <c r="P86" s="873">
        <v>0</v>
      </c>
      <c r="Q86" s="165">
        <f t="shared" ref="Q86" si="15">+L86+N86-P86</f>
        <v>373334.45531999314</v>
      </c>
      <c r="R86" s="873">
        <f>+'3-Project True-up'!K38</f>
        <v>0</v>
      </c>
      <c r="S86" s="165">
        <f t="shared" ref="S86" si="16">+Q86+R86</f>
        <v>373334.45531999314</v>
      </c>
    </row>
    <row r="87" spans="1:19">
      <c r="A87" s="69" t="s">
        <v>836</v>
      </c>
      <c r="B87" s="70"/>
      <c r="C87" s="656" t="s">
        <v>1152</v>
      </c>
      <c r="D87" s="571" t="s">
        <v>1153</v>
      </c>
      <c r="E87" s="870">
        <v>2221241.1800000002</v>
      </c>
      <c r="F87" s="15">
        <f t="shared" si="0"/>
        <v>5.2789220976299546E-2</v>
      </c>
      <c r="G87" s="71">
        <f t="shared" ref="G87" si="17">E87*F87</f>
        <v>117257.59149267637</v>
      </c>
      <c r="H87" s="870">
        <v>1731116.3917730909</v>
      </c>
      <c r="I87" s="15">
        <f t="shared" si="3"/>
        <v>8.4915075141025212E-2</v>
      </c>
      <c r="J87" s="165">
        <f t="shared" si="12"/>
        <v>146997.87848527246</v>
      </c>
      <c r="K87" s="873">
        <v>48255.217370480685</v>
      </c>
      <c r="L87" s="165">
        <f t="shared" si="13"/>
        <v>312510.68734842952</v>
      </c>
      <c r="M87" s="876">
        <v>0</v>
      </c>
      <c r="N87" s="165">
        <f>+'2-Incentive ROE'!K$40*'1-Project Rev Req'!M87/100*H87</f>
        <v>0</v>
      </c>
      <c r="O87" s="165">
        <f t="shared" ref="O87" si="18">+L87+N87</f>
        <v>312510.68734842952</v>
      </c>
      <c r="P87" s="873">
        <v>0</v>
      </c>
      <c r="Q87" s="165">
        <f t="shared" ref="Q87" si="19">+L87+N87-P87</f>
        <v>312510.68734842952</v>
      </c>
      <c r="R87" s="873">
        <f>+'3-Project True-up'!K39</f>
        <v>0</v>
      </c>
      <c r="S87" s="165">
        <f t="shared" ref="S87" si="20">+Q87+R87</f>
        <v>312510.68734842952</v>
      </c>
    </row>
    <row r="88" spans="1:19">
      <c r="A88" s="69" t="s">
        <v>837</v>
      </c>
      <c r="B88" s="70"/>
      <c r="C88" s="656" t="s">
        <v>906</v>
      </c>
      <c r="D88" s="571" t="s">
        <v>800</v>
      </c>
      <c r="E88" s="870">
        <v>1723078.3099999996</v>
      </c>
      <c r="F88" s="15">
        <f t="shared" si="0"/>
        <v>5.2789220976299546E-2</v>
      </c>
      <c r="G88" s="71">
        <f t="shared" ref="G88:G90" si="21">E88*F88</f>
        <v>90959.961666058749</v>
      </c>
      <c r="H88" s="870">
        <v>1940977.6620453219</v>
      </c>
      <c r="I88" s="15">
        <f t="shared" si="3"/>
        <v>8.4915075141025212E-2</v>
      </c>
      <c r="J88" s="165">
        <f t="shared" ref="J88:J90" si="22">H88*I88</f>
        <v>164818.26401962995</v>
      </c>
      <c r="K88" s="873">
        <v>58718.784021822859</v>
      </c>
      <c r="L88" s="165">
        <f t="shared" si="13"/>
        <v>314497.00970751158</v>
      </c>
      <c r="M88" s="876">
        <v>0</v>
      </c>
      <c r="N88" s="165">
        <f>+'2-Incentive ROE'!K$40*'1-Project Rev Req'!M88/100*H88</f>
        <v>0</v>
      </c>
      <c r="O88" s="165">
        <f t="shared" ref="O88:O90" si="23">+L88+N88</f>
        <v>314497.00970751158</v>
      </c>
      <c r="P88" s="873">
        <v>0</v>
      </c>
      <c r="Q88" s="165">
        <f t="shared" ref="Q88:Q90" si="24">+L88+N88-P88</f>
        <v>314497.00970751158</v>
      </c>
      <c r="R88" s="873">
        <f>+'3-Project True-up'!K40</f>
        <v>0</v>
      </c>
      <c r="S88" s="165">
        <f t="shared" ref="S88:S90" si="25">+Q88+R88</f>
        <v>314497.00970751158</v>
      </c>
    </row>
    <row r="89" spans="1:19">
      <c r="A89" s="69" t="s">
        <v>838</v>
      </c>
      <c r="B89" s="70"/>
      <c r="C89" s="656" t="s">
        <v>1351</v>
      </c>
      <c r="D89" s="571" t="s">
        <v>778</v>
      </c>
      <c r="E89" s="870">
        <v>5325224.6099999975</v>
      </c>
      <c r="F89" s="15">
        <f t="shared" si="0"/>
        <v>5.2789220976299546E-2</v>
      </c>
      <c r="G89" s="71">
        <f t="shared" si="21"/>
        <v>281114.45868571842</v>
      </c>
      <c r="H89" s="870">
        <v>4711734.6784580518</v>
      </c>
      <c r="I89" s="15">
        <f t="shared" si="3"/>
        <v>8.4915075141025212E-2</v>
      </c>
      <c r="J89" s="165">
        <f t="shared" si="22"/>
        <v>400097.30426583975</v>
      </c>
      <c r="K89" s="873">
        <v>109785.86392751694</v>
      </c>
      <c r="L89" s="165">
        <f t="shared" si="13"/>
        <v>790997.62687907519</v>
      </c>
      <c r="M89" s="876">
        <v>0</v>
      </c>
      <c r="N89" s="165">
        <f>+'2-Incentive ROE'!K$40*'1-Project Rev Req'!M89/100*H89</f>
        <v>0</v>
      </c>
      <c r="O89" s="165">
        <f t="shared" si="23"/>
        <v>790997.62687907519</v>
      </c>
      <c r="P89" s="873">
        <v>0</v>
      </c>
      <c r="Q89" s="165">
        <f t="shared" si="24"/>
        <v>790997.62687907519</v>
      </c>
      <c r="R89" s="873">
        <f>+'3-Project True-up'!K41</f>
        <v>0</v>
      </c>
      <c r="S89" s="165">
        <f t="shared" si="25"/>
        <v>790997.62687907519</v>
      </c>
    </row>
    <row r="90" spans="1:19">
      <c r="A90" s="69" t="s">
        <v>1357</v>
      </c>
      <c r="C90" s="656" t="s">
        <v>1352</v>
      </c>
      <c r="D90" s="572" t="s">
        <v>797</v>
      </c>
      <c r="E90" s="870">
        <v>4315230.49</v>
      </c>
      <c r="F90" s="15">
        <f t="shared" si="0"/>
        <v>5.2789220976299546E-2</v>
      </c>
      <c r="G90" s="71">
        <f t="shared" si="21"/>
        <v>227797.65590027539</v>
      </c>
      <c r="H90" s="870">
        <v>3356033.7350540096</v>
      </c>
      <c r="I90" s="15">
        <f t="shared" si="3"/>
        <v>8.4915075141025212E-2</v>
      </c>
      <c r="J90" s="165">
        <f t="shared" si="22"/>
        <v>284977.85678792675</v>
      </c>
      <c r="K90" s="873">
        <v>78197.328185162594</v>
      </c>
      <c r="L90" s="165">
        <f t="shared" si="13"/>
        <v>590972.84087336471</v>
      </c>
      <c r="M90" s="876">
        <v>0</v>
      </c>
      <c r="N90" s="165">
        <f>+'2-Incentive ROE'!K$40*'1-Project Rev Req'!M90/100*H90</f>
        <v>0</v>
      </c>
      <c r="O90" s="165">
        <f t="shared" si="23"/>
        <v>590972.84087336471</v>
      </c>
      <c r="P90" s="873">
        <v>0</v>
      </c>
      <c r="Q90" s="165">
        <f t="shared" si="24"/>
        <v>590972.84087336471</v>
      </c>
      <c r="R90" s="873">
        <f>+'3-Project True-up'!K42</f>
        <v>0</v>
      </c>
      <c r="S90" s="165">
        <f t="shared" si="25"/>
        <v>590972.84087336471</v>
      </c>
    </row>
    <row r="91" spans="1:19">
      <c r="A91" s="69"/>
      <c r="C91" s="573"/>
      <c r="D91" s="572"/>
      <c r="E91" s="870"/>
      <c r="F91" s="15"/>
      <c r="G91" s="71"/>
      <c r="H91" s="872"/>
      <c r="I91" s="15"/>
      <c r="J91" s="165"/>
      <c r="K91" s="874"/>
      <c r="L91" s="165"/>
      <c r="M91" s="876"/>
      <c r="N91" s="165"/>
      <c r="O91" s="165"/>
      <c r="P91" s="873"/>
      <c r="Q91" s="165"/>
      <c r="R91" s="873"/>
      <c r="S91" s="165"/>
    </row>
    <row r="92" spans="1:19">
      <c r="A92" s="72"/>
      <c r="C92" s="552"/>
      <c r="D92" s="552"/>
      <c r="E92" s="870"/>
      <c r="F92" s="15"/>
      <c r="G92" s="71"/>
      <c r="H92" s="870"/>
      <c r="I92" s="15"/>
      <c r="J92" s="165"/>
      <c r="K92" s="873"/>
      <c r="L92" s="165"/>
      <c r="M92" s="876"/>
      <c r="N92" s="165"/>
      <c r="O92" s="165"/>
      <c r="P92" s="873"/>
      <c r="Q92" s="165"/>
      <c r="R92" s="873"/>
      <c r="S92" s="165"/>
    </row>
    <row r="93" spans="1:19">
      <c r="A93" s="72"/>
      <c r="C93" s="552"/>
      <c r="D93" s="552"/>
      <c r="E93" s="870"/>
      <c r="F93" s="15"/>
      <c r="G93" s="71"/>
      <c r="H93" s="870"/>
      <c r="I93" s="15"/>
      <c r="J93" s="165"/>
      <c r="K93" s="873"/>
      <c r="L93" s="165"/>
      <c r="M93" s="876"/>
      <c r="N93" s="165"/>
      <c r="O93" s="165"/>
      <c r="P93" s="873"/>
      <c r="Q93" s="165"/>
      <c r="R93" s="873"/>
      <c r="S93" s="165"/>
    </row>
    <row r="94" spans="1:19">
      <c r="A94" s="73"/>
      <c r="B94" s="13"/>
      <c r="C94" s="553"/>
      <c r="D94" s="553"/>
      <c r="E94" s="871"/>
      <c r="F94" s="13"/>
      <c r="G94" s="14"/>
      <c r="H94" s="871"/>
      <c r="I94" s="13"/>
      <c r="J94" s="166"/>
      <c r="K94" s="875"/>
      <c r="L94" s="166"/>
      <c r="M94" s="877"/>
      <c r="N94" s="226"/>
      <c r="O94" s="226"/>
      <c r="P94" s="878"/>
      <c r="Q94" s="226"/>
      <c r="R94" s="875"/>
      <c r="S94" s="166"/>
    </row>
    <row r="95" spans="1:19">
      <c r="A95" s="40" t="s">
        <v>254</v>
      </c>
      <c r="B95" s="45"/>
      <c r="C95" s="26" t="s">
        <v>172</v>
      </c>
      <c r="D95" s="26"/>
      <c r="E95" s="218">
        <f>SUM(E66:E94)</f>
        <v>1568082822.8461535</v>
      </c>
      <c r="F95" s="219"/>
      <c r="G95" s="3"/>
      <c r="H95" s="218">
        <f t="shared" ref="H95:S95" si="26">SUM(H66:H94)</f>
        <v>1072423533.2458092</v>
      </c>
      <c r="I95" s="3"/>
      <c r="J95" s="218">
        <f t="shared" si="26"/>
        <v>91064924.908571601</v>
      </c>
      <c r="K95" s="218">
        <f t="shared" si="26"/>
        <v>25205442</v>
      </c>
      <c r="L95" s="218">
        <f t="shared" si="26"/>
        <v>199048237.5529367</v>
      </c>
      <c r="M95" s="218"/>
      <c r="N95" s="218">
        <f t="shared" si="26"/>
        <v>0</v>
      </c>
      <c r="O95" s="218">
        <f t="shared" si="26"/>
        <v>199048237.5529367</v>
      </c>
      <c r="P95" s="218">
        <f t="shared" si="26"/>
        <v>0</v>
      </c>
      <c r="Q95" s="218">
        <f t="shared" si="26"/>
        <v>199048237.5529367</v>
      </c>
      <c r="R95" s="218">
        <f t="shared" si="26"/>
        <v>0</v>
      </c>
      <c r="S95" s="218">
        <f t="shared" si="26"/>
        <v>199048237.5529367</v>
      </c>
    </row>
    <row r="96" spans="1:19">
      <c r="E96" s="218"/>
      <c r="F96" s="218"/>
      <c r="G96" s="218"/>
      <c r="H96" s="218"/>
      <c r="I96" s="218"/>
      <c r="J96" s="218"/>
      <c r="K96" s="218"/>
      <c r="L96" s="15"/>
    </row>
    <row r="97" spans="1:20">
      <c r="A97" s="75"/>
      <c r="E97" s="218"/>
      <c r="F97" s="218"/>
      <c r="G97" s="218"/>
      <c r="H97" s="218"/>
      <c r="I97" s="218"/>
      <c r="J97" s="218"/>
      <c r="K97" s="218"/>
      <c r="L97" s="15"/>
      <c r="M97" s="49"/>
      <c r="N97" s="49"/>
      <c r="O97" s="49"/>
      <c r="T97" s="218">
        <f>+'Attachment H-7'!I11</f>
        <v>199048237.55293682</v>
      </c>
    </row>
    <row r="98" spans="1:20">
      <c r="K98" s="16"/>
      <c r="L98" s="16"/>
      <c r="M98" s="16"/>
      <c r="N98" s="16"/>
      <c r="O98" s="16"/>
      <c r="T98" s="218">
        <f>+S95</f>
        <v>199048237.5529367</v>
      </c>
    </row>
    <row r="99" spans="1:20">
      <c r="K99" s="16"/>
      <c r="L99" s="16"/>
      <c r="M99" s="16"/>
      <c r="N99" s="16"/>
      <c r="O99" s="16"/>
      <c r="T99" s="218">
        <f>+T97-T98</f>
        <v>0</v>
      </c>
    </row>
    <row r="100" spans="1:20">
      <c r="A100" s="217" t="s">
        <v>60</v>
      </c>
    </row>
    <row r="101" spans="1:20" ht="13.8" thickBot="1">
      <c r="A101" s="76" t="s">
        <v>61</v>
      </c>
    </row>
    <row r="102" spans="1:20">
      <c r="A102" s="77" t="s">
        <v>62</v>
      </c>
      <c r="C102" s="1001" t="s">
        <v>399</v>
      </c>
      <c r="D102" s="1001"/>
      <c r="E102" s="1001"/>
      <c r="F102" s="1001"/>
      <c r="G102" s="1001"/>
      <c r="H102" s="1001"/>
      <c r="I102" s="1001"/>
      <c r="J102" s="1001"/>
      <c r="K102" s="1001"/>
      <c r="L102" s="1001"/>
      <c r="M102" s="1001"/>
      <c r="N102" s="1001"/>
      <c r="O102" s="1001"/>
      <c r="P102" s="1001"/>
      <c r="Q102" s="1001"/>
    </row>
    <row r="103" spans="1:20">
      <c r="A103" s="77" t="s">
        <v>63</v>
      </c>
      <c r="C103" s="1001" t="s">
        <v>382</v>
      </c>
      <c r="D103" s="1001"/>
      <c r="E103" s="1001"/>
      <c r="F103" s="1001"/>
      <c r="G103" s="1001"/>
      <c r="H103" s="1001"/>
      <c r="I103" s="1001"/>
      <c r="J103" s="1001"/>
      <c r="K103" s="1001"/>
      <c r="L103" s="1001"/>
      <c r="M103" s="1001"/>
      <c r="N103" s="1001"/>
      <c r="O103" s="1001"/>
      <c r="P103" s="1001"/>
      <c r="Q103" s="1001"/>
    </row>
    <row r="104" spans="1:20">
      <c r="A104" s="77" t="s">
        <v>64</v>
      </c>
      <c r="C104" s="1002" t="s">
        <v>389</v>
      </c>
      <c r="D104" s="1002"/>
      <c r="E104" s="1002"/>
      <c r="F104" s="1002"/>
      <c r="G104" s="1002"/>
      <c r="H104" s="1002"/>
      <c r="I104" s="1002"/>
      <c r="J104" s="1002"/>
      <c r="K104" s="1002"/>
      <c r="L104" s="1002"/>
      <c r="M104" s="1002"/>
      <c r="N104" s="1002"/>
      <c r="O104" s="1002"/>
      <c r="P104" s="1002"/>
      <c r="Q104" s="1002"/>
    </row>
    <row r="105" spans="1:20">
      <c r="C105" s="217" t="s">
        <v>383</v>
      </c>
    </row>
    <row r="106" spans="1:20">
      <c r="A106" s="77" t="s">
        <v>65</v>
      </c>
      <c r="C106" s="1002" t="s">
        <v>1267</v>
      </c>
      <c r="D106" s="1002"/>
      <c r="E106" s="1002"/>
      <c r="F106" s="1002"/>
      <c r="G106" s="1002"/>
      <c r="H106" s="1002"/>
      <c r="I106" s="1002"/>
      <c r="J106" s="1002"/>
      <c r="K106" s="1002"/>
      <c r="L106" s="1002"/>
      <c r="M106" s="1002"/>
      <c r="N106" s="1002"/>
      <c r="O106" s="1002"/>
      <c r="P106" s="1002"/>
      <c r="Q106" s="1002"/>
    </row>
    <row r="107" spans="1:20">
      <c r="A107" s="219" t="s">
        <v>66</v>
      </c>
      <c r="C107" s="1000" t="s">
        <v>1014</v>
      </c>
      <c r="D107" s="1000"/>
      <c r="E107" s="1000"/>
      <c r="F107" s="1000"/>
      <c r="G107" s="1000"/>
      <c r="H107" s="1000"/>
      <c r="I107" s="1000"/>
      <c r="J107" s="1000"/>
      <c r="K107" s="1000"/>
      <c r="L107" s="1000"/>
      <c r="M107" s="1000"/>
      <c r="N107" s="1000"/>
      <c r="O107" s="1000"/>
      <c r="P107" s="1000"/>
      <c r="Q107" s="1000"/>
    </row>
    <row r="108" spans="1:20">
      <c r="A108" s="219" t="s">
        <v>67</v>
      </c>
      <c r="C108" s="1000" t="s">
        <v>453</v>
      </c>
      <c r="D108" s="1000"/>
      <c r="E108" s="1000"/>
      <c r="F108" s="1000"/>
      <c r="G108" s="1000"/>
      <c r="H108" s="1000"/>
      <c r="I108" s="1000"/>
      <c r="J108" s="1000"/>
      <c r="K108" s="1000"/>
      <c r="L108" s="1000"/>
      <c r="M108" s="1000"/>
      <c r="N108" s="1000"/>
      <c r="O108" s="1000"/>
      <c r="P108" s="1000"/>
      <c r="Q108" s="1000"/>
    </row>
    <row r="109" spans="1:20">
      <c r="A109" s="219" t="s">
        <v>68</v>
      </c>
      <c r="C109" s="1000" t="s">
        <v>466</v>
      </c>
      <c r="D109" s="1000"/>
      <c r="E109" s="1000"/>
      <c r="F109" s="1000"/>
      <c r="G109" s="1000"/>
      <c r="H109" s="1000"/>
      <c r="I109" s="1000"/>
      <c r="J109" s="1000"/>
      <c r="K109" s="1000"/>
      <c r="L109" s="1000"/>
      <c r="M109" s="1000"/>
      <c r="N109" s="1000"/>
      <c r="O109" s="1000"/>
      <c r="P109" s="1000"/>
      <c r="Q109" s="1000"/>
    </row>
    <row r="110" spans="1:20">
      <c r="A110" s="219" t="s">
        <v>69</v>
      </c>
      <c r="C110" s="1000" t="s">
        <v>400</v>
      </c>
      <c r="D110" s="1000"/>
      <c r="E110" s="1000"/>
      <c r="F110" s="1000"/>
      <c r="G110" s="1000"/>
      <c r="H110" s="1000"/>
      <c r="I110" s="1000"/>
      <c r="J110" s="1000"/>
      <c r="K110" s="1000"/>
      <c r="L110" s="1000"/>
      <c r="M110" s="1000"/>
      <c r="N110" s="1000"/>
      <c r="O110" s="1000"/>
      <c r="P110" s="1000"/>
      <c r="Q110" s="1000"/>
    </row>
    <row r="111" spans="1:20">
      <c r="A111" s="219" t="s">
        <v>70</v>
      </c>
      <c r="C111" s="217" t="s">
        <v>335</v>
      </c>
    </row>
    <row r="112" spans="1:20">
      <c r="A112" s="25" t="s">
        <v>71</v>
      </c>
      <c r="C112" s="217" t="s">
        <v>467</v>
      </c>
      <c r="P112" s="3"/>
      <c r="Q112" s="52"/>
    </row>
    <row r="113" spans="1:17">
      <c r="A113" s="25" t="s">
        <v>104</v>
      </c>
      <c r="C113" s="217" t="s">
        <v>331</v>
      </c>
      <c r="D113" s="25"/>
      <c r="E113" s="219"/>
      <c r="F113" s="219"/>
      <c r="G113" s="3"/>
      <c r="J113" s="38"/>
      <c r="P113" s="3"/>
      <c r="Q113" s="35"/>
    </row>
    <row r="114" spans="1:17">
      <c r="A114" s="219" t="s">
        <v>123</v>
      </c>
      <c r="C114" s="115" t="s">
        <v>1232</v>
      </c>
      <c r="G114" s="580"/>
    </row>
    <row r="115" spans="1:17">
      <c r="A115" s="219" t="s">
        <v>436</v>
      </c>
      <c r="C115" s="217" t="s">
        <v>437</v>
      </c>
      <c r="K115" s="580"/>
    </row>
    <row r="116" spans="1:17">
      <c r="A116" s="219" t="s">
        <v>126</v>
      </c>
      <c r="C116" s="217" t="s">
        <v>441</v>
      </c>
    </row>
    <row r="117" spans="1:17">
      <c r="C117" s="217" t="s">
        <v>438</v>
      </c>
    </row>
    <row r="118" spans="1:17">
      <c r="A118" s="219" t="s">
        <v>127</v>
      </c>
      <c r="C118" s="999" t="s">
        <v>851</v>
      </c>
      <c r="D118" s="999"/>
      <c r="E118" s="999"/>
      <c r="F118" s="999"/>
      <c r="G118" s="999"/>
    </row>
  </sheetData>
  <sheetProtection algorithmName="SHA-512" hashValue="4zc7QxW9M1jyqOBSc7ZbdPhrmOZSz200cCdPSQA9E4cI5YXq7x+1d3n3uc2h7An+PkPQ7zt93HlNlLVWATllqA==" saltValue="IB+DHXPODGfFY3ok/OFEBA==" spinCount="100000" sheet="1" objects="1" scenarios="1"/>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s>
  <mergeCells count="9">
    <mergeCell ref="C118:G118"/>
    <mergeCell ref="C109:Q109"/>
    <mergeCell ref="C110:Q110"/>
    <mergeCell ref="C102:Q102"/>
    <mergeCell ref="C103:Q103"/>
    <mergeCell ref="C104:Q104"/>
    <mergeCell ref="C106:Q106"/>
    <mergeCell ref="C107:Q107"/>
    <mergeCell ref="C108:Q108"/>
  </mergeCells>
  <phoneticPr fontId="0" type="noConversion"/>
  <pageMargins left="0.25" right="0.25" top="0.75" bottom="0.75" header="0.3" footer="0.3"/>
  <pageSetup scale="40" fitToHeight="2" orientation="landscape" r:id="rId2"/>
  <rowBreaks count="1" manualBreakCount="1">
    <brk id="51"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8"/>
  <sheetViews>
    <sheetView zoomScale="80" zoomScaleNormal="80" zoomScaleSheetLayoutView="70" workbookViewId="0"/>
  </sheetViews>
  <sheetFormatPr defaultRowHeight="15.6"/>
  <cols>
    <col min="1" max="1" width="5.54296875" style="123" customWidth="1"/>
    <col min="2" max="2" width="21.54296875" style="131" customWidth="1"/>
    <col min="3" max="3" width="38.453125" style="131" customWidth="1"/>
    <col min="4" max="4" width="25.1796875" style="131" customWidth="1"/>
    <col min="5" max="5" width="13.54296875" style="131" customWidth="1"/>
    <col min="6" max="6" width="6.54296875" style="131" customWidth="1"/>
    <col min="7" max="7" width="9" style="131" bestFit="1" customWidth="1"/>
    <col min="8" max="8" width="7.36328125" style="131" customWidth="1"/>
    <col min="9" max="9" width="12.36328125" style="131" customWidth="1"/>
    <col min="10" max="10" width="18" style="137" customWidth="1"/>
    <col min="11" max="11" width="16" customWidth="1"/>
  </cols>
  <sheetData>
    <row r="1" spans="1:11">
      <c r="C1" s="124"/>
      <c r="D1" s="124"/>
      <c r="E1" s="124"/>
      <c r="F1" s="125"/>
      <c r="G1" s="124"/>
      <c r="H1" s="124"/>
      <c r="I1" s="124"/>
      <c r="J1" s="174"/>
    </row>
    <row r="2" spans="1:11">
      <c r="B2" s="123"/>
      <c r="C2" s="124"/>
      <c r="D2" s="124"/>
      <c r="E2" s="124"/>
      <c r="F2" s="125"/>
      <c r="G2" s="124"/>
      <c r="H2" s="124"/>
      <c r="I2" s="124"/>
      <c r="J2" s="174"/>
    </row>
    <row r="3" spans="1:11">
      <c r="C3" s="124"/>
      <c r="D3" s="126" t="s">
        <v>2</v>
      </c>
      <c r="E3" s="126"/>
      <c r="F3" s="125" t="s">
        <v>262</v>
      </c>
      <c r="H3" s="126"/>
      <c r="I3" s="126"/>
      <c r="J3" s="127"/>
      <c r="K3" s="224" t="s">
        <v>454</v>
      </c>
    </row>
    <row r="4" spans="1:11">
      <c r="A4" s="762"/>
      <c r="B4" s="129"/>
      <c r="C4" s="129"/>
      <c r="D4" s="129"/>
      <c r="E4" s="129"/>
      <c r="F4" s="164" t="s">
        <v>336</v>
      </c>
      <c r="H4" s="129"/>
      <c r="I4" s="129"/>
      <c r="J4" s="129"/>
      <c r="K4" s="128"/>
    </row>
    <row r="5" spans="1:11">
      <c r="B5" s="129"/>
      <c r="C5" s="129"/>
      <c r="D5" s="129"/>
      <c r="F5" s="130" t="str">
        <f>+'Attachment H-7'!D5</f>
        <v>PECO Energy Company</v>
      </c>
      <c r="H5" s="129"/>
      <c r="I5" s="129"/>
      <c r="J5" s="129"/>
      <c r="K5" s="129"/>
    </row>
    <row r="7" spans="1:11">
      <c r="A7" s="123">
        <v>1</v>
      </c>
      <c r="B7" s="131" t="s">
        <v>324</v>
      </c>
      <c r="C7" s="131" t="s">
        <v>1224</v>
      </c>
      <c r="J7" s="131"/>
      <c r="K7" s="162">
        <f>+'Attachment H-7'!I98</f>
        <v>906514324.20476174</v>
      </c>
    </row>
    <row r="8" spans="1:11">
      <c r="J8" s="131"/>
      <c r="K8" s="137"/>
    </row>
    <row r="9" spans="1:11" ht="16.2" thickBot="1">
      <c r="A9" s="133">
        <f>+A7+1</f>
        <v>2</v>
      </c>
      <c r="B9" s="134" t="s">
        <v>263</v>
      </c>
      <c r="C9" s="135"/>
      <c r="D9" s="135"/>
      <c r="E9" s="135"/>
      <c r="F9" s="135"/>
      <c r="G9" s="135"/>
      <c r="H9" s="135"/>
      <c r="I9" s="135"/>
      <c r="J9" s="136" t="s">
        <v>46</v>
      </c>
      <c r="K9" s="137"/>
    </row>
    <row r="10" spans="1:11">
      <c r="A10" s="133"/>
      <c r="B10" s="138"/>
      <c r="C10" s="135"/>
      <c r="D10" s="135"/>
      <c r="E10" s="135"/>
      <c r="F10" s="135"/>
      <c r="G10" s="135"/>
      <c r="H10" s="139" t="s">
        <v>54</v>
      </c>
      <c r="I10" s="135"/>
      <c r="J10" s="135"/>
      <c r="K10" s="137"/>
    </row>
    <row r="11" spans="1:11" ht="16.2" thickBot="1">
      <c r="A11" s="133"/>
      <c r="B11" s="138"/>
      <c r="C11" s="135"/>
      <c r="D11" s="135"/>
      <c r="E11" s="140" t="s">
        <v>46</v>
      </c>
      <c r="F11" s="140" t="s">
        <v>55</v>
      </c>
      <c r="G11" s="135"/>
      <c r="H11" s="140"/>
      <c r="I11" s="135"/>
      <c r="J11" s="140" t="s">
        <v>56</v>
      </c>
      <c r="K11" s="137"/>
    </row>
    <row r="12" spans="1:11">
      <c r="A12" s="133">
        <f>+A9+1</f>
        <v>3</v>
      </c>
      <c r="B12" s="134" t="s">
        <v>242</v>
      </c>
      <c r="C12" s="141" t="s">
        <v>1222</v>
      </c>
      <c r="D12" s="141"/>
      <c r="E12" s="336">
        <f>+'Attachment H-7'!D197</f>
        <v>3126726301.3076925</v>
      </c>
      <c r="F12" s="574">
        <f>+'Attachment H-7'!E197</f>
        <v>0.46387322745475129</v>
      </c>
      <c r="G12" s="132"/>
      <c r="H12" s="574">
        <f>+'Attachment H-7'!G197</f>
        <v>4.1341234743168399E-2</v>
      </c>
      <c r="I12" s="132"/>
      <c r="J12" s="575">
        <f>F12*H12</f>
        <v>1.917709198727802E-2</v>
      </c>
      <c r="K12" s="137"/>
    </row>
    <row r="13" spans="1:11">
      <c r="A13" s="133">
        <f>+A12+1</f>
        <v>4</v>
      </c>
      <c r="B13" s="134" t="s">
        <v>325</v>
      </c>
      <c r="C13" s="141" t="s">
        <v>1222</v>
      </c>
      <c r="D13" s="141"/>
      <c r="E13" s="336">
        <f>+'Attachment H-7'!D198</f>
        <v>0</v>
      </c>
      <c r="F13" s="574">
        <f>+'Attachment H-7'!E198</f>
        <v>0</v>
      </c>
      <c r="G13" s="132"/>
      <c r="H13" s="574">
        <f>+'Attachment H-7'!G198</f>
        <v>0</v>
      </c>
      <c r="I13" s="132"/>
      <c r="J13" s="575">
        <f>F13*H13</f>
        <v>0</v>
      </c>
      <c r="K13" s="137"/>
    </row>
    <row r="14" spans="1:11" ht="31.8" thickBot="1">
      <c r="A14" s="763">
        <f>+A13+1</f>
        <v>5</v>
      </c>
      <c r="B14" s="134" t="s">
        <v>293</v>
      </c>
      <c r="C14" s="141" t="s">
        <v>1223</v>
      </c>
      <c r="D14" s="171" t="s">
        <v>1240</v>
      </c>
      <c r="E14" s="336">
        <f>+'Attachment H-7'!D199</f>
        <v>3613749579.2769237</v>
      </c>
      <c r="F14" s="574">
        <f>+'Attachment H-7'!E199</f>
        <v>0.53612677254524876</v>
      </c>
      <c r="G14" s="132"/>
      <c r="H14" s="574">
        <f>+'Attachment H-7'!G199+0.01</f>
        <v>0.12</v>
      </c>
      <c r="I14" s="132"/>
      <c r="J14" s="576">
        <f>F14*H14</f>
        <v>6.4335212705429856E-2</v>
      </c>
      <c r="K14" s="137"/>
    </row>
    <row r="15" spans="1:11">
      <c r="A15" s="133">
        <f>+A14+1</f>
        <v>6</v>
      </c>
      <c r="B15" s="138" t="s">
        <v>402</v>
      </c>
      <c r="C15" s="142"/>
      <c r="D15" s="142"/>
      <c r="E15" s="336">
        <f>SUM(E12:E14)</f>
        <v>6740475880.5846157</v>
      </c>
      <c r="F15" s="132" t="s">
        <v>2</v>
      </c>
      <c r="G15" s="132"/>
      <c r="H15" s="132"/>
      <c r="I15" s="132"/>
      <c r="J15" s="575">
        <f>SUM(J12:J14)</f>
        <v>8.3512304692707873E-2</v>
      </c>
      <c r="K15" s="137"/>
    </row>
    <row r="16" spans="1:11">
      <c r="A16" s="133">
        <f t="shared" ref="A16:A40" si="0">+A15+1</f>
        <v>7</v>
      </c>
      <c r="B16" s="138" t="s">
        <v>270</v>
      </c>
      <c r="C16" s="142"/>
      <c r="D16" s="142"/>
      <c r="E16" s="143"/>
      <c r="F16" s="135"/>
      <c r="G16" s="135"/>
      <c r="H16" s="135"/>
      <c r="I16" s="135"/>
      <c r="J16" s="132"/>
      <c r="K16" s="132">
        <f>+J15*K7</f>
        <v>75705100.451292232</v>
      </c>
    </row>
    <row r="17" spans="1:11">
      <c r="A17" s="133"/>
      <c r="J17" s="131"/>
      <c r="K17" s="137"/>
    </row>
    <row r="18" spans="1:11">
      <c r="A18" s="133">
        <f>+A16+1</f>
        <v>8</v>
      </c>
      <c r="B18" s="138" t="s">
        <v>38</v>
      </c>
      <c r="C18" s="144"/>
      <c r="D18" s="144"/>
      <c r="E18" s="135"/>
      <c r="F18" s="135"/>
      <c r="G18" s="142"/>
      <c r="H18" s="145"/>
      <c r="I18" s="135"/>
      <c r="J18" s="142"/>
      <c r="K18" s="137"/>
    </row>
    <row r="19" spans="1:11">
      <c r="A19" s="133">
        <f t="shared" si="0"/>
        <v>9</v>
      </c>
      <c r="B19" s="146" t="s">
        <v>330</v>
      </c>
      <c r="C19" s="135"/>
      <c r="D19" s="8"/>
      <c r="E19" s="577">
        <f>IF('Attachment H-7'!D226&gt;0,1-(((1-'Attachment H-7'!D227)*(1-'Attachment H-7'!D226))/(1-'Attachment H-7'!D226*'Attachment H-7'!D227*'Attachment H-7'!D228)),0)</f>
        <v>0.28892099999999998</v>
      </c>
      <c r="F19" s="167"/>
      <c r="G19" s="142"/>
      <c r="H19" s="145"/>
      <c r="I19" s="135"/>
      <c r="J19" s="142"/>
      <c r="K19" s="137"/>
    </row>
    <row r="20" spans="1:11">
      <c r="A20" s="133">
        <f t="shared" si="0"/>
        <v>10</v>
      </c>
      <c r="B20" s="142" t="s">
        <v>39</v>
      </c>
      <c r="C20" s="135"/>
      <c r="D20" s="8"/>
      <c r="E20" s="577">
        <f>IF(J15&gt;0,(E19/(1-E19))*(1-J12/J15),0)</f>
        <v>0.31301094839961835</v>
      </c>
      <c r="F20" s="135"/>
      <c r="G20" s="142"/>
      <c r="H20" s="145"/>
      <c r="I20" s="135"/>
      <c r="J20" s="142"/>
      <c r="K20" s="137"/>
    </row>
    <row r="21" spans="1:11">
      <c r="A21" s="133">
        <f t="shared" si="0"/>
        <v>11</v>
      </c>
      <c r="B21" s="144" t="s">
        <v>326</v>
      </c>
      <c r="C21" s="144"/>
      <c r="D21" s="8"/>
      <c r="E21" s="135"/>
      <c r="F21" s="135"/>
      <c r="G21" s="142"/>
      <c r="H21" s="145"/>
      <c r="I21" s="135"/>
      <c r="J21" s="142"/>
      <c r="K21" s="137"/>
    </row>
    <row r="22" spans="1:11">
      <c r="A22" s="133">
        <f t="shared" si="0"/>
        <v>12</v>
      </c>
      <c r="B22" s="147" t="s">
        <v>327</v>
      </c>
      <c r="C22" s="144"/>
      <c r="D22" s="144"/>
      <c r="E22" s="135"/>
      <c r="F22" s="135"/>
      <c r="G22" s="142"/>
      <c r="H22" s="145"/>
      <c r="I22" s="135"/>
      <c r="J22" s="142"/>
      <c r="K22" s="137"/>
    </row>
    <row r="23" spans="1:11">
      <c r="A23" s="133">
        <f t="shared" si="0"/>
        <v>13</v>
      </c>
      <c r="B23" s="148" t="str">
        <f>"      1 / (1 - T)  =  (from line "&amp;A19&amp;")"</f>
        <v xml:space="preserve">      1 / (1 - T)  =  (from line 9)</v>
      </c>
      <c r="C23" s="144"/>
      <c r="D23" s="144"/>
      <c r="E23" s="167">
        <f>IF(E19&gt;0,1/(1-E19),0)</f>
        <v>1.4063135038441579</v>
      </c>
      <c r="F23" s="135"/>
      <c r="G23" s="142"/>
      <c r="H23" s="145"/>
      <c r="I23" s="135"/>
      <c r="J23" s="142"/>
      <c r="K23" s="137"/>
    </row>
    <row r="24" spans="1:11">
      <c r="A24" s="133">
        <f t="shared" si="0"/>
        <v>14</v>
      </c>
      <c r="B24" s="147" t="s">
        <v>264</v>
      </c>
      <c r="C24" s="144"/>
      <c r="D24" s="144" t="s">
        <v>1225</v>
      </c>
      <c r="E24" s="846">
        <f>+'Attachment H-7'!D152</f>
        <v>-3978.9374610137602</v>
      </c>
      <c r="F24" s="135"/>
      <c r="G24" s="142"/>
      <c r="H24" s="145"/>
      <c r="I24" s="135"/>
      <c r="J24" s="142"/>
      <c r="K24" s="137"/>
    </row>
    <row r="25" spans="1:11">
      <c r="A25" s="133">
        <f t="shared" si="0"/>
        <v>15</v>
      </c>
      <c r="B25" s="147" t="s">
        <v>265</v>
      </c>
      <c r="C25" s="144"/>
      <c r="D25" s="144" t="s">
        <v>1226</v>
      </c>
      <c r="E25" s="846">
        <f>+'Attachment H-7'!D153</f>
        <v>-1360026</v>
      </c>
      <c r="F25" s="135"/>
      <c r="G25" s="142"/>
      <c r="H25" s="149"/>
      <c r="I25" s="135"/>
      <c r="J25" s="142"/>
      <c r="K25" s="137"/>
    </row>
    <row r="26" spans="1:11">
      <c r="A26" s="133">
        <f t="shared" si="0"/>
        <v>16</v>
      </c>
      <c r="B26" s="147" t="s">
        <v>328</v>
      </c>
      <c r="C26" s="144"/>
      <c r="D26" s="144" t="s">
        <v>1227</v>
      </c>
      <c r="E26" s="846">
        <f>+'Attachment H-7'!D154</f>
        <v>296018.03437660693</v>
      </c>
      <c r="F26" s="135"/>
      <c r="G26" s="142"/>
      <c r="H26" s="145"/>
      <c r="I26" s="135"/>
      <c r="J26" s="142"/>
      <c r="K26" s="137"/>
    </row>
    <row r="27" spans="1:11">
      <c r="A27" s="133">
        <f t="shared" si="0"/>
        <v>17</v>
      </c>
      <c r="B27" s="148" t="str">
        <f>"Income Tax Calculation = line "&amp;A20&amp;" * line "&amp;A16&amp;""</f>
        <v>Income Tax Calculation = line 10 * line 7</v>
      </c>
      <c r="C27" s="150"/>
      <c r="E27" s="847">
        <f>+E20*K16</f>
        <v>23696525.290947355</v>
      </c>
      <c r="F27" s="151"/>
      <c r="G27" s="151" t="s">
        <v>22</v>
      </c>
      <c r="H27" s="152"/>
      <c r="I27" s="151"/>
      <c r="J27" s="847">
        <f>+E20*K16</f>
        <v>23696525.290947355</v>
      </c>
      <c r="K27" s="137"/>
    </row>
    <row r="28" spans="1:11">
      <c r="A28" s="133">
        <f t="shared" si="0"/>
        <v>18</v>
      </c>
      <c r="B28" s="141" t="str">
        <f>"ITC adjustment (line "&amp;A23&amp;" * line "&amp;A24&amp;")"</f>
        <v>ITC adjustment (line 13 * line 14)</v>
      </c>
      <c r="C28" s="150"/>
      <c r="D28" s="150"/>
      <c r="E28" s="847">
        <f>+E$23*E24</f>
        <v>-5595.6334823750385</v>
      </c>
      <c r="F28" s="151"/>
      <c r="G28" s="153" t="s">
        <v>15</v>
      </c>
      <c r="H28" s="575">
        <v>1</v>
      </c>
      <c r="I28" s="151"/>
      <c r="J28" s="847">
        <f>+E28*H28</f>
        <v>-5595.6334823750385</v>
      </c>
      <c r="K28" s="137"/>
    </row>
    <row r="29" spans="1:11">
      <c r="A29" s="133">
        <f t="shared" si="0"/>
        <v>19</v>
      </c>
      <c r="B29" s="141" t="str">
        <f>"Excess Deferred Income Tax Adjustment (line "&amp;A23&amp;" * line "&amp;A25&amp;")"</f>
        <v>Excess Deferred Income Tax Adjustment (line 13 * line 15)</v>
      </c>
      <c r="C29" s="150"/>
      <c r="D29" s="150"/>
      <c r="E29" s="847">
        <f>+E$23*E25</f>
        <v>-1912622.9293791547</v>
      </c>
      <c r="F29" s="151"/>
      <c r="G29" s="153" t="s">
        <v>15</v>
      </c>
      <c r="H29" s="575">
        <f>H28</f>
        <v>1</v>
      </c>
      <c r="I29" s="151"/>
      <c r="J29" s="847">
        <f>+E29*H29</f>
        <v>-1912622.9293791547</v>
      </c>
      <c r="K29" s="137"/>
    </row>
    <row r="30" spans="1:11">
      <c r="A30" s="133">
        <f t="shared" si="0"/>
        <v>20</v>
      </c>
      <c r="B30" s="141" t="str">
        <f>"Permanent Differences Tax Adjustment (line "&amp;A23&amp;" * "&amp;A26&amp;")"</f>
        <v>Permanent Differences Tax Adjustment (line 13 * 16)</v>
      </c>
      <c r="C30" s="150"/>
      <c r="D30" s="150"/>
      <c r="E30" s="848">
        <f>+E$23*E26</f>
        <v>416294.15912522649</v>
      </c>
      <c r="F30" s="151"/>
      <c r="G30" s="153" t="s">
        <v>15</v>
      </c>
      <c r="H30" s="575">
        <f>H29</f>
        <v>1</v>
      </c>
      <c r="I30" s="151"/>
      <c r="J30" s="848">
        <f>+E30*H30</f>
        <v>416294.15912522649</v>
      </c>
      <c r="K30" s="137"/>
    </row>
    <row r="31" spans="1:11">
      <c r="A31" s="133">
        <f t="shared" si="0"/>
        <v>21</v>
      </c>
      <c r="B31" s="154" t="str">
        <f>"Total Income Taxes (sum lines "&amp;A27&amp;" - "&amp;A30&amp;")"</f>
        <v>Total Income Taxes (sum lines 17 - 20)</v>
      </c>
      <c r="C31" s="141"/>
      <c r="D31" s="141"/>
      <c r="E31" s="846">
        <f>SUM(E27:E30)</f>
        <v>22194600.887211055</v>
      </c>
      <c r="F31" s="151"/>
      <c r="G31" s="151" t="s">
        <v>2</v>
      </c>
      <c r="H31" s="152" t="s">
        <v>2</v>
      </c>
      <c r="I31" s="151"/>
      <c r="J31" s="846">
        <f>SUM(J27:J30)</f>
        <v>22194600.887211055</v>
      </c>
      <c r="K31" s="162">
        <f>+J31</f>
        <v>22194600.887211055</v>
      </c>
    </row>
    <row r="32" spans="1:11">
      <c r="A32" s="133"/>
      <c r="J32" s="131"/>
      <c r="K32" s="849"/>
    </row>
    <row r="33" spans="1:11">
      <c r="A33" s="133">
        <f>+A31+1</f>
        <v>22</v>
      </c>
      <c r="B33" s="141" t="s">
        <v>266</v>
      </c>
      <c r="D33" s="131" t="s">
        <v>469</v>
      </c>
      <c r="J33" s="131"/>
      <c r="K33" s="162">
        <f>+K31+K16</f>
        <v>97899701.338503286</v>
      </c>
    </row>
    <row r="34" spans="1:11">
      <c r="A34" s="133"/>
      <c r="J34" s="131"/>
      <c r="K34" s="849"/>
    </row>
    <row r="35" spans="1:11">
      <c r="A35" s="133">
        <f>+A33+1</f>
        <v>23</v>
      </c>
      <c r="B35" s="131" t="s">
        <v>1230</v>
      </c>
      <c r="J35" s="131"/>
      <c r="K35" s="162">
        <f>+'Attachment H-7'!I162</f>
        <v>70845034.462272868</v>
      </c>
    </row>
    <row r="36" spans="1:11">
      <c r="A36" s="133">
        <f t="shared" si="0"/>
        <v>24</v>
      </c>
      <c r="B36" s="131" t="s">
        <v>1231</v>
      </c>
      <c r="J36" s="131"/>
      <c r="K36" s="162">
        <f>+'Attachment H-7'!I159</f>
        <v>20219890.446298771</v>
      </c>
    </row>
    <row r="37" spans="1:11">
      <c r="A37" s="133">
        <f t="shared" si="0"/>
        <v>25</v>
      </c>
      <c r="B37" s="141" t="s">
        <v>267</v>
      </c>
      <c r="D37" s="131" t="s">
        <v>470</v>
      </c>
      <c r="J37" s="131"/>
      <c r="K37" s="850">
        <f>SUM(K35:K36)</f>
        <v>91064924.908571631</v>
      </c>
    </row>
    <row r="38" spans="1:11">
      <c r="A38" s="133">
        <f t="shared" si="0"/>
        <v>26</v>
      </c>
      <c r="B38" s="141" t="s">
        <v>268</v>
      </c>
      <c r="D38" s="131" t="s">
        <v>471</v>
      </c>
      <c r="J38" s="131"/>
      <c r="K38" s="162">
        <f>+K33-K37</f>
        <v>6834776.4299316555</v>
      </c>
    </row>
    <row r="39" spans="1:11">
      <c r="A39" s="133">
        <f t="shared" si="0"/>
        <v>27</v>
      </c>
      <c r="B39" s="131" t="s">
        <v>329</v>
      </c>
      <c r="J39" s="131"/>
      <c r="K39" s="172">
        <f>+K7</f>
        <v>906514324.20476174</v>
      </c>
    </row>
    <row r="40" spans="1:11">
      <c r="A40" s="133">
        <f t="shared" si="0"/>
        <v>28</v>
      </c>
      <c r="B40" s="131" t="s">
        <v>269</v>
      </c>
      <c r="E40" s="131" t="s">
        <v>472</v>
      </c>
      <c r="J40" s="131"/>
      <c r="K40" s="173">
        <f>IF(K39=0,0,K38/K39)</f>
        <v>7.5396232000277024E-3</v>
      </c>
    </row>
    <row r="41" spans="1:11">
      <c r="J41" s="131"/>
      <c r="K41" s="137"/>
    </row>
    <row r="42" spans="1:11">
      <c r="A42" s="123" t="s">
        <v>302</v>
      </c>
      <c r="J42" s="131"/>
      <c r="K42" s="137"/>
    </row>
    <row r="43" spans="1:11">
      <c r="A43" s="170" t="s">
        <v>62</v>
      </c>
      <c r="B43" s="162" t="s">
        <v>301</v>
      </c>
      <c r="J43" s="131"/>
      <c r="K43" s="137"/>
    </row>
    <row r="44" spans="1:11">
      <c r="A44" s="170"/>
      <c r="B44" s="131" t="s">
        <v>404</v>
      </c>
      <c r="J44" s="131"/>
      <c r="K44" s="137"/>
    </row>
    <row r="45" spans="1:11">
      <c r="A45" s="170"/>
      <c r="B45" s="131" t="s">
        <v>304</v>
      </c>
      <c r="J45" s="131"/>
      <c r="K45" s="137"/>
    </row>
    <row r="46" spans="1:11">
      <c r="A46" s="170"/>
      <c r="B46" s="131" t="s">
        <v>403</v>
      </c>
      <c r="J46" s="131"/>
      <c r="K46" s="137"/>
    </row>
    <row r="47" spans="1:11">
      <c r="A47" s="170" t="s">
        <v>63</v>
      </c>
      <c r="B47" s="131" t="s">
        <v>303</v>
      </c>
      <c r="J47" s="131"/>
      <c r="K47" s="137"/>
    </row>
    <row r="48" spans="1:11">
      <c r="B48" s="131" t="s">
        <v>1064</v>
      </c>
      <c r="J48" s="131"/>
      <c r="K48" s="137"/>
    </row>
    <row r="68" ht="24" customHeight="1"/>
  </sheetData>
  <sheetProtection algorithmName="SHA-512" hashValue="+9lWMLEvIABIpRnAoo5hIeR24zEr2iGsCCSUru+AOYCDK+0B+DeBTDsb+ZOnGOs3MI+zbU9/yPng8wIpTQWnjQ==" saltValue="oAKTtmaoUw5SzS/SapyGGQ==" spinCount="100000" sheet="1" objects="1" scenarios="1"/>
  <phoneticPr fontId="0" type="noConversion"/>
  <pageMargins left="0.7" right="0.7" top="0.75" bottom="0.75" header="0.3" footer="0.3"/>
  <pageSetup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77"/>
  <sheetViews>
    <sheetView view="pageBreakPreview" zoomScaleNormal="65" zoomScaleSheetLayoutView="100" workbookViewId="0"/>
  </sheetViews>
  <sheetFormatPr defaultColWidth="8.90625" defaultRowHeight="13.2"/>
  <cols>
    <col min="1" max="1" width="6" style="217" customWidth="1"/>
    <col min="2" max="2" width="27.08984375" style="217" customWidth="1"/>
    <col min="3" max="3" width="11.1796875" style="217" customWidth="1"/>
    <col min="4" max="4" width="18.6328125" style="217" customWidth="1"/>
    <col min="5" max="5" width="22.1796875" style="217" customWidth="1"/>
    <col min="6" max="6" width="15.1796875" style="217" customWidth="1"/>
    <col min="7" max="7" width="18.36328125" style="217" customWidth="1"/>
    <col min="8" max="8" width="14.453125" style="217" customWidth="1"/>
    <col min="9" max="9" width="18.54296875" style="217" customWidth="1"/>
    <col min="10" max="10" width="13.81640625" style="217" customWidth="1"/>
    <col min="11" max="11" width="14.453125" style="217" customWidth="1"/>
    <col min="12" max="12" width="13.54296875" style="217" customWidth="1"/>
    <col min="13" max="16384" width="8.90625" style="217"/>
  </cols>
  <sheetData>
    <row r="1" spans="1:13">
      <c r="J1" s="2" t="s">
        <v>454</v>
      </c>
    </row>
    <row r="5" spans="1:13">
      <c r="A5" s="205"/>
      <c r="D5" s="2"/>
      <c r="E5" s="362" t="s">
        <v>196</v>
      </c>
      <c r="F5" s="2"/>
      <c r="G5" s="2"/>
      <c r="I5" s="2"/>
      <c r="J5" s="2"/>
      <c r="K5" s="2"/>
      <c r="L5" s="5"/>
    </row>
    <row r="6" spans="1:13">
      <c r="A6" s="205"/>
      <c r="D6" s="2"/>
      <c r="E6" s="181" t="s">
        <v>306</v>
      </c>
      <c r="F6" s="3"/>
      <c r="G6" s="3"/>
      <c r="I6" s="3"/>
      <c r="J6" s="3"/>
      <c r="K6" s="3"/>
      <c r="L6" s="5"/>
    </row>
    <row r="7" spans="1:13">
      <c r="A7" s="205"/>
      <c r="C7" s="6"/>
      <c r="D7" s="6"/>
      <c r="E7" s="223" t="str">
        <f>+'2-Incentive ROE'!F5</f>
        <v>PECO Energy Company</v>
      </c>
      <c r="F7" s="6"/>
      <c r="G7" s="6"/>
      <c r="I7" s="6"/>
      <c r="J7" s="6"/>
      <c r="K7" s="6"/>
      <c r="L7" s="6"/>
    </row>
    <row r="8" spans="1:13" s="169" customFormat="1" ht="13.8">
      <c r="A8" s="206"/>
      <c r="B8" s="217"/>
      <c r="C8" s="217"/>
      <c r="D8" s="217"/>
      <c r="E8" s="31"/>
      <c r="F8" s="31"/>
      <c r="G8" s="31"/>
      <c r="H8" s="217"/>
      <c r="I8" s="6"/>
      <c r="J8" s="6"/>
      <c r="K8" s="6"/>
      <c r="L8" s="6"/>
    </row>
    <row r="9" spans="1:13" s="169" customFormat="1" ht="13.8">
      <c r="A9" s="209"/>
      <c r="B9" s="116"/>
      <c r="C9" s="116"/>
      <c r="D9" s="116"/>
      <c r="E9" s="116"/>
      <c r="F9" s="116"/>
      <c r="G9" s="116"/>
      <c r="H9" s="116"/>
      <c r="I9" s="116"/>
      <c r="J9" s="116"/>
      <c r="K9" s="163"/>
      <c r="L9" s="116"/>
    </row>
    <row r="10" spans="1:13" s="169" customFormat="1" ht="13.8">
      <c r="A10" s="209"/>
      <c r="B10" s="116"/>
      <c r="C10" s="116"/>
      <c r="D10" s="1006" t="s">
        <v>451</v>
      </c>
      <c r="E10" s="1007"/>
      <c r="F10" s="446"/>
      <c r="G10" s="447" t="s">
        <v>367</v>
      </c>
      <c r="H10" s="446"/>
      <c r="I10" s="448"/>
      <c r="J10" s="448"/>
      <c r="K10" s="449"/>
    </row>
    <row r="11" spans="1:13" s="169" customFormat="1" ht="16.2">
      <c r="A11" s="209">
        <v>1</v>
      </c>
      <c r="B11" s="116" t="s">
        <v>450</v>
      </c>
      <c r="C11" s="116"/>
      <c r="D11" s="1008" t="s">
        <v>452</v>
      </c>
      <c r="E11" s="1009"/>
      <c r="F11" s="450" t="s">
        <v>405</v>
      </c>
      <c r="G11" s="451" t="s">
        <v>368</v>
      </c>
      <c r="H11" s="450" t="s">
        <v>369</v>
      </c>
      <c r="I11" s="452"/>
      <c r="J11" s="452"/>
      <c r="K11" s="453"/>
    </row>
    <row r="12" spans="1:13" s="169" customFormat="1" ht="13.8">
      <c r="A12" s="209">
        <v>2</v>
      </c>
      <c r="B12" s="116"/>
      <c r="C12" s="116"/>
      <c r="D12" s="454"/>
      <c r="E12" s="454"/>
      <c r="F12" s="879">
        <v>0</v>
      </c>
      <c r="G12" s="455"/>
      <c r="H12" s="454"/>
      <c r="I12" s="454"/>
      <c r="J12" s="454"/>
      <c r="K12" s="446"/>
    </row>
    <row r="13" spans="1:13" s="169" customFormat="1" ht="13.8">
      <c r="B13" s="456" t="s">
        <v>62</v>
      </c>
      <c r="C13" s="456" t="s">
        <v>63</v>
      </c>
      <c r="D13" s="451" t="s">
        <v>64</v>
      </c>
      <c r="E13" s="451" t="s">
        <v>65</v>
      </c>
      <c r="F13" s="447" t="s">
        <v>66</v>
      </c>
      <c r="G13" s="456" t="s">
        <v>67</v>
      </c>
      <c r="H13" s="457" t="s">
        <v>68</v>
      </c>
      <c r="I13" s="457" t="s">
        <v>69</v>
      </c>
      <c r="J13" s="457" t="s">
        <v>70</v>
      </c>
      <c r="K13" s="458" t="s">
        <v>71</v>
      </c>
      <c r="M13" s="361"/>
    </row>
    <row r="14" spans="1:13" s="169" customFormat="1" ht="13.8">
      <c r="A14" s="209"/>
      <c r="B14" s="454"/>
      <c r="C14" s="447"/>
      <c r="D14" s="447"/>
      <c r="E14" s="459" t="s">
        <v>406</v>
      </c>
      <c r="F14" s="447"/>
      <c r="G14" s="447"/>
      <c r="H14" s="454"/>
      <c r="I14" s="447"/>
      <c r="J14" s="454"/>
      <c r="K14" s="454"/>
    </row>
    <row r="15" spans="1:13" s="169" customFormat="1" ht="13.8">
      <c r="A15" s="209"/>
      <c r="B15" s="454"/>
      <c r="C15" s="447"/>
      <c r="D15" s="457" t="s">
        <v>443</v>
      </c>
      <c r="E15" s="458" t="s">
        <v>13</v>
      </c>
      <c r="F15" s="457" t="s">
        <v>372</v>
      </c>
      <c r="G15" s="457" t="s">
        <v>442</v>
      </c>
      <c r="H15" s="457" t="s">
        <v>370</v>
      </c>
      <c r="I15" s="457"/>
      <c r="J15" s="457" t="s">
        <v>313</v>
      </c>
      <c r="K15" s="457"/>
    </row>
    <row r="16" spans="1:13" s="169" customFormat="1" ht="25.5" customHeight="1">
      <c r="A16" s="209"/>
      <c r="B16" s="1003" t="s">
        <v>462</v>
      </c>
      <c r="C16" s="1011" t="s">
        <v>749</v>
      </c>
      <c r="D16" s="457" t="s">
        <v>371</v>
      </c>
      <c r="E16" s="458" t="s">
        <v>407</v>
      </c>
      <c r="F16" s="457" t="s">
        <v>375</v>
      </c>
      <c r="G16" s="457" t="s">
        <v>371</v>
      </c>
      <c r="H16" s="457" t="s">
        <v>323</v>
      </c>
      <c r="I16" s="447" t="s">
        <v>390</v>
      </c>
      <c r="J16" s="457" t="s">
        <v>373</v>
      </c>
      <c r="K16" s="457" t="s">
        <v>408</v>
      </c>
    </row>
    <row r="17" spans="1:11" s="169" customFormat="1" ht="16.2">
      <c r="A17" s="209"/>
      <c r="B17" s="1004"/>
      <c r="C17" s="1012"/>
      <c r="D17" s="451" t="s">
        <v>374</v>
      </c>
      <c r="E17" s="458" t="s">
        <v>368</v>
      </c>
      <c r="F17" s="207" t="s">
        <v>444</v>
      </c>
      <c r="G17" s="451" t="s">
        <v>409</v>
      </c>
      <c r="H17" s="451" t="s">
        <v>445</v>
      </c>
      <c r="I17" s="457" t="s">
        <v>410</v>
      </c>
      <c r="J17" s="451" t="s">
        <v>411</v>
      </c>
      <c r="K17" s="451" t="s">
        <v>446</v>
      </c>
    </row>
    <row r="18" spans="1:11" s="169" customFormat="1" ht="13.8">
      <c r="A18" s="209">
        <v>3</v>
      </c>
      <c r="B18" s="455" t="s">
        <v>486</v>
      </c>
      <c r="C18" s="455" t="s">
        <v>486</v>
      </c>
      <c r="D18" s="880"/>
      <c r="E18" s="550">
        <f>IF(D$48=0,0,D18/D$48)</f>
        <v>0</v>
      </c>
      <c r="F18" s="560">
        <f>IF(F$12=0,0,E18*F$12)</f>
        <v>0</v>
      </c>
      <c r="G18" s="884"/>
      <c r="H18" s="586">
        <f t="shared" ref="H18:H43" si="0">+G18-F18</f>
        <v>0</v>
      </c>
      <c r="I18" s="886">
        <v>0</v>
      </c>
      <c r="J18" s="584">
        <f>+'6-True-Up Interest'!G41</f>
        <v>0</v>
      </c>
      <c r="K18" s="549">
        <f>+H18+J18+I18</f>
        <v>0</v>
      </c>
    </row>
    <row r="19" spans="1:11" s="169" customFormat="1" ht="13.8">
      <c r="A19" s="69" t="s">
        <v>412</v>
      </c>
      <c r="B19" s="883"/>
      <c r="C19" s="883"/>
      <c r="D19" s="881"/>
      <c r="E19" s="547">
        <f t="shared" ref="E19:E43" si="1">IF(D$48=0,0,D19/D$48)</f>
        <v>0</v>
      </c>
      <c r="F19" s="560">
        <f t="shared" ref="F19:F43" si="2">IF(F$12=0,0,E19*F$12)</f>
        <v>0</v>
      </c>
      <c r="G19" s="885"/>
      <c r="H19" s="586">
        <f t="shared" si="0"/>
        <v>0</v>
      </c>
      <c r="I19" s="885">
        <v>0</v>
      </c>
      <c r="J19" s="584">
        <f>+'6-True-Up Interest'!G42</f>
        <v>0</v>
      </c>
      <c r="K19" s="549">
        <f t="shared" ref="K19:K43" si="3">+H19+J19+I19</f>
        <v>0</v>
      </c>
    </row>
    <row r="20" spans="1:11" s="169" customFormat="1" ht="13.8">
      <c r="A20" s="69" t="s">
        <v>413</v>
      </c>
      <c r="B20" s="883"/>
      <c r="C20" s="883"/>
      <c r="D20" s="881"/>
      <c r="E20" s="547">
        <f t="shared" si="1"/>
        <v>0</v>
      </c>
      <c r="F20" s="560">
        <f t="shared" si="2"/>
        <v>0</v>
      </c>
      <c r="G20" s="885"/>
      <c r="H20" s="586">
        <f t="shared" si="0"/>
        <v>0</v>
      </c>
      <c r="I20" s="885">
        <v>0</v>
      </c>
      <c r="J20" s="584">
        <f>+'6-True-Up Interest'!G43</f>
        <v>0</v>
      </c>
      <c r="K20" s="549">
        <f t="shared" si="3"/>
        <v>0</v>
      </c>
    </row>
    <row r="21" spans="1:11" s="169" customFormat="1" ht="13.8">
      <c r="A21" s="69" t="s">
        <v>414</v>
      </c>
      <c r="B21" s="883"/>
      <c r="C21" s="883"/>
      <c r="D21" s="881"/>
      <c r="E21" s="547">
        <f t="shared" si="1"/>
        <v>0</v>
      </c>
      <c r="F21" s="560">
        <f t="shared" si="2"/>
        <v>0</v>
      </c>
      <c r="G21" s="885"/>
      <c r="H21" s="586">
        <f t="shared" si="0"/>
        <v>0</v>
      </c>
      <c r="I21" s="885">
        <v>0</v>
      </c>
      <c r="J21" s="584">
        <f>+'6-True-Up Interest'!G44</f>
        <v>0</v>
      </c>
      <c r="K21" s="549">
        <f t="shared" si="3"/>
        <v>0</v>
      </c>
    </row>
    <row r="22" spans="1:11" s="169" customFormat="1" ht="13.8">
      <c r="A22" s="69" t="s">
        <v>910</v>
      </c>
      <c r="B22" s="883"/>
      <c r="C22" s="883"/>
      <c r="D22" s="881"/>
      <c r="E22" s="547">
        <f t="shared" si="1"/>
        <v>0</v>
      </c>
      <c r="F22" s="560">
        <f t="shared" si="2"/>
        <v>0</v>
      </c>
      <c r="G22" s="885"/>
      <c r="H22" s="586">
        <f t="shared" si="0"/>
        <v>0</v>
      </c>
      <c r="I22" s="885">
        <v>0</v>
      </c>
      <c r="J22" s="584">
        <f>+'6-True-Up Interest'!G45</f>
        <v>0</v>
      </c>
      <c r="K22" s="549">
        <f t="shared" si="3"/>
        <v>0</v>
      </c>
    </row>
    <row r="23" spans="1:11" s="169" customFormat="1" ht="13.8">
      <c r="A23" s="69" t="s">
        <v>911</v>
      </c>
      <c r="B23" s="883"/>
      <c r="C23" s="883"/>
      <c r="D23" s="881"/>
      <c r="E23" s="547">
        <f t="shared" si="1"/>
        <v>0</v>
      </c>
      <c r="F23" s="560">
        <f t="shared" si="2"/>
        <v>0</v>
      </c>
      <c r="G23" s="885"/>
      <c r="H23" s="586">
        <f t="shared" si="0"/>
        <v>0</v>
      </c>
      <c r="I23" s="885">
        <v>0</v>
      </c>
      <c r="J23" s="584">
        <f>+'6-True-Up Interest'!G46</f>
        <v>0</v>
      </c>
      <c r="K23" s="549">
        <f t="shared" si="3"/>
        <v>0</v>
      </c>
    </row>
    <row r="24" spans="1:11" s="169" customFormat="1" ht="13.8">
      <c r="A24" s="69" t="s">
        <v>912</v>
      </c>
      <c r="B24" s="883"/>
      <c r="C24" s="883"/>
      <c r="D24" s="881"/>
      <c r="E24" s="547">
        <f t="shared" si="1"/>
        <v>0</v>
      </c>
      <c r="F24" s="560">
        <f t="shared" si="2"/>
        <v>0</v>
      </c>
      <c r="G24" s="885"/>
      <c r="H24" s="586">
        <f t="shared" si="0"/>
        <v>0</v>
      </c>
      <c r="I24" s="885">
        <v>0</v>
      </c>
      <c r="J24" s="584">
        <f>+'6-True-Up Interest'!G47</f>
        <v>0</v>
      </c>
      <c r="K24" s="549">
        <f t="shared" si="3"/>
        <v>0</v>
      </c>
    </row>
    <row r="25" spans="1:11">
      <c r="A25" s="69" t="s">
        <v>913</v>
      </c>
      <c r="B25" s="883"/>
      <c r="C25" s="883"/>
      <c r="D25" s="881"/>
      <c r="E25" s="547">
        <f t="shared" si="1"/>
        <v>0</v>
      </c>
      <c r="F25" s="560">
        <f t="shared" si="2"/>
        <v>0</v>
      </c>
      <c r="G25" s="885"/>
      <c r="H25" s="586">
        <f t="shared" si="0"/>
        <v>0</v>
      </c>
      <c r="I25" s="885">
        <v>0</v>
      </c>
      <c r="J25" s="584">
        <f>+'6-True-Up Interest'!G48</f>
        <v>0</v>
      </c>
      <c r="K25" s="549">
        <f t="shared" si="3"/>
        <v>0</v>
      </c>
    </row>
    <row r="26" spans="1:11">
      <c r="A26" s="69" t="s">
        <v>914</v>
      </c>
      <c r="B26" s="883"/>
      <c r="C26" s="883"/>
      <c r="D26" s="881"/>
      <c r="E26" s="547">
        <f t="shared" si="1"/>
        <v>0</v>
      </c>
      <c r="F26" s="560">
        <f t="shared" si="2"/>
        <v>0</v>
      </c>
      <c r="G26" s="885"/>
      <c r="H26" s="586">
        <f t="shared" si="0"/>
        <v>0</v>
      </c>
      <c r="I26" s="885">
        <v>0</v>
      </c>
      <c r="J26" s="584">
        <f>+'6-True-Up Interest'!G49</f>
        <v>0</v>
      </c>
      <c r="K26" s="549">
        <f t="shared" si="3"/>
        <v>0</v>
      </c>
    </row>
    <row r="27" spans="1:11">
      <c r="A27" s="69" t="s">
        <v>915</v>
      </c>
      <c r="B27" s="883"/>
      <c r="C27" s="883"/>
      <c r="D27" s="881"/>
      <c r="E27" s="547">
        <f t="shared" si="1"/>
        <v>0</v>
      </c>
      <c r="F27" s="560">
        <f t="shared" si="2"/>
        <v>0</v>
      </c>
      <c r="G27" s="885"/>
      <c r="H27" s="586">
        <f t="shared" si="0"/>
        <v>0</v>
      </c>
      <c r="I27" s="885">
        <v>0</v>
      </c>
      <c r="J27" s="584">
        <f>+'6-True-Up Interest'!G50</f>
        <v>0</v>
      </c>
      <c r="K27" s="549">
        <f t="shared" si="3"/>
        <v>0</v>
      </c>
    </row>
    <row r="28" spans="1:11" ht="12.75" customHeight="1">
      <c r="A28" s="69" t="s">
        <v>916</v>
      </c>
      <c r="B28" s="883"/>
      <c r="C28" s="883"/>
      <c r="D28" s="881"/>
      <c r="E28" s="547">
        <f t="shared" si="1"/>
        <v>0</v>
      </c>
      <c r="F28" s="560">
        <f t="shared" si="2"/>
        <v>0</v>
      </c>
      <c r="G28" s="885"/>
      <c r="H28" s="586">
        <f t="shared" si="0"/>
        <v>0</v>
      </c>
      <c r="I28" s="885">
        <v>0</v>
      </c>
      <c r="J28" s="584">
        <f>+'6-True-Up Interest'!G51</f>
        <v>0</v>
      </c>
      <c r="K28" s="549">
        <f t="shared" si="3"/>
        <v>0</v>
      </c>
    </row>
    <row r="29" spans="1:11">
      <c r="A29" s="69" t="s">
        <v>917</v>
      </c>
      <c r="B29" s="883"/>
      <c r="C29" s="883"/>
      <c r="D29" s="881"/>
      <c r="E29" s="547">
        <f t="shared" si="1"/>
        <v>0</v>
      </c>
      <c r="F29" s="560">
        <f t="shared" si="2"/>
        <v>0</v>
      </c>
      <c r="G29" s="885"/>
      <c r="H29" s="586">
        <f t="shared" si="0"/>
        <v>0</v>
      </c>
      <c r="I29" s="885">
        <v>0</v>
      </c>
      <c r="J29" s="584">
        <f>+'6-True-Up Interest'!G52</f>
        <v>0</v>
      </c>
      <c r="K29" s="549">
        <f t="shared" si="3"/>
        <v>0</v>
      </c>
    </row>
    <row r="30" spans="1:11">
      <c r="A30" s="69" t="s">
        <v>918</v>
      </c>
      <c r="B30" s="883"/>
      <c r="C30" s="883"/>
      <c r="D30" s="881"/>
      <c r="E30" s="547">
        <f t="shared" si="1"/>
        <v>0</v>
      </c>
      <c r="F30" s="560">
        <f t="shared" si="2"/>
        <v>0</v>
      </c>
      <c r="G30" s="885"/>
      <c r="H30" s="586">
        <f t="shared" si="0"/>
        <v>0</v>
      </c>
      <c r="I30" s="885">
        <v>0</v>
      </c>
      <c r="J30" s="584">
        <f>+'6-True-Up Interest'!G53</f>
        <v>0</v>
      </c>
      <c r="K30" s="549">
        <f t="shared" si="3"/>
        <v>0</v>
      </c>
    </row>
    <row r="31" spans="1:11">
      <c r="A31" s="69" t="s">
        <v>919</v>
      </c>
      <c r="B31" s="883"/>
      <c r="C31" s="883"/>
      <c r="D31" s="881"/>
      <c r="E31" s="547">
        <f t="shared" si="1"/>
        <v>0</v>
      </c>
      <c r="F31" s="560">
        <f t="shared" si="2"/>
        <v>0</v>
      </c>
      <c r="G31" s="885"/>
      <c r="H31" s="586">
        <f t="shared" si="0"/>
        <v>0</v>
      </c>
      <c r="I31" s="885">
        <v>0</v>
      </c>
      <c r="J31" s="584">
        <f>+'6-True-Up Interest'!G54</f>
        <v>0</v>
      </c>
      <c r="K31" s="549">
        <f t="shared" si="3"/>
        <v>0</v>
      </c>
    </row>
    <row r="32" spans="1:11">
      <c r="A32" s="69" t="s">
        <v>920</v>
      </c>
      <c r="B32" s="883"/>
      <c r="C32" s="883"/>
      <c r="D32" s="881"/>
      <c r="E32" s="547">
        <f t="shared" si="1"/>
        <v>0</v>
      </c>
      <c r="F32" s="560">
        <f t="shared" si="2"/>
        <v>0</v>
      </c>
      <c r="G32" s="885"/>
      <c r="H32" s="586">
        <f t="shared" si="0"/>
        <v>0</v>
      </c>
      <c r="I32" s="885">
        <v>0</v>
      </c>
      <c r="J32" s="584">
        <f>+'6-True-Up Interest'!G55</f>
        <v>0</v>
      </c>
      <c r="K32" s="549">
        <f t="shared" si="3"/>
        <v>0</v>
      </c>
    </row>
    <row r="33" spans="1:11">
      <c r="A33" s="69" t="s">
        <v>921</v>
      </c>
      <c r="B33" s="883"/>
      <c r="C33" s="883"/>
      <c r="D33" s="881"/>
      <c r="E33" s="547">
        <f t="shared" si="1"/>
        <v>0</v>
      </c>
      <c r="F33" s="560">
        <f t="shared" si="2"/>
        <v>0</v>
      </c>
      <c r="G33" s="885"/>
      <c r="H33" s="586">
        <f t="shared" si="0"/>
        <v>0</v>
      </c>
      <c r="I33" s="885">
        <v>0</v>
      </c>
      <c r="J33" s="584">
        <f>+'6-True-Up Interest'!G56</f>
        <v>0</v>
      </c>
      <c r="K33" s="549">
        <f t="shared" si="3"/>
        <v>0</v>
      </c>
    </row>
    <row r="34" spans="1:11">
      <c r="A34" s="69" t="s">
        <v>922</v>
      </c>
      <c r="B34" s="883"/>
      <c r="C34" s="883"/>
      <c r="D34" s="881"/>
      <c r="E34" s="547">
        <f t="shared" si="1"/>
        <v>0</v>
      </c>
      <c r="F34" s="560">
        <f t="shared" si="2"/>
        <v>0</v>
      </c>
      <c r="G34" s="885"/>
      <c r="H34" s="586">
        <f t="shared" si="0"/>
        <v>0</v>
      </c>
      <c r="I34" s="885">
        <v>0</v>
      </c>
      <c r="J34" s="584">
        <f>+'6-True-Up Interest'!G57</f>
        <v>0</v>
      </c>
      <c r="K34" s="549">
        <f t="shared" si="3"/>
        <v>0</v>
      </c>
    </row>
    <row r="35" spans="1:11">
      <c r="A35" s="69" t="s">
        <v>923</v>
      </c>
      <c r="B35" s="883"/>
      <c r="C35" s="883"/>
      <c r="D35" s="881"/>
      <c r="E35" s="547">
        <f t="shared" si="1"/>
        <v>0</v>
      </c>
      <c r="F35" s="560">
        <f t="shared" si="2"/>
        <v>0</v>
      </c>
      <c r="G35" s="885"/>
      <c r="H35" s="586">
        <f t="shared" si="0"/>
        <v>0</v>
      </c>
      <c r="I35" s="885">
        <v>0</v>
      </c>
      <c r="J35" s="584">
        <f>+'6-True-Up Interest'!G58</f>
        <v>0</v>
      </c>
      <c r="K35" s="549">
        <f t="shared" si="3"/>
        <v>0</v>
      </c>
    </row>
    <row r="36" spans="1:11">
      <c r="A36" s="69" t="s">
        <v>924</v>
      </c>
      <c r="B36" s="883"/>
      <c r="C36" s="883"/>
      <c r="D36" s="881"/>
      <c r="E36" s="547">
        <f t="shared" si="1"/>
        <v>0</v>
      </c>
      <c r="F36" s="560">
        <f t="shared" si="2"/>
        <v>0</v>
      </c>
      <c r="G36" s="885"/>
      <c r="H36" s="586">
        <f t="shared" si="0"/>
        <v>0</v>
      </c>
      <c r="I36" s="885">
        <v>0</v>
      </c>
      <c r="J36" s="584">
        <f>+'6-True-Up Interest'!G59</f>
        <v>0</v>
      </c>
      <c r="K36" s="549">
        <f t="shared" si="3"/>
        <v>0</v>
      </c>
    </row>
    <row r="37" spans="1:11">
      <c r="A37" s="69" t="s">
        <v>925</v>
      </c>
      <c r="B37" s="883"/>
      <c r="C37" s="883"/>
      <c r="D37" s="881"/>
      <c r="E37" s="547">
        <f t="shared" si="1"/>
        <v>0</v>
      </c>
      <c r="F37" s="560">
        <f t="shared" si="2"/>
        <v>0</v>
      </c>
      <c r="G37" s="885"/>
      <c r="H37" s="586">
        <f t="shared" si="0"/>
        <v>0</v>
      </c>
      <c r="I37" s="885">
        <v>0</v>
      </c>
      <c r="J37" s="584">
        <f>+'6-True-Up Interest'!G60</f>
        <v>0</v>
      </c>
      <c r="K37" s="549">
        <f t="shared" si="3"/>
        <v>0</v>
      </c>
    </row>
    <row r="38" spans="1:11">
      <c r="A38" s="69" t="s">
        <v>926</v>
      </c>
      <c r="B38" s="883"/>
      <c r="C38" s="883"/>
      <c r="D38" s="881"/>
      <c r="E38" s="547">
        <f t="shared" si="1"/>
        <v>0</v>
      </c>
      <c r="F38" s="560">
        <f t="shared" si="2"/>
        <v>0</v>
      </c>
      <c r="G38" s="885"/>
      <c r="H38" s="586">
        <f t="shared" si="0"/>
        <v>0</v>
      </c>
      <c r="I38" s="885">
        <v>0</v>
      </c>
      <c r="J38" s="584">
        <f>+'6-True-Up Interest'!G61</f>
        <v>0</v>
      </c>
      <c r="K38" s="549">
        <f t="shared" si="3"/>
        <v>0</v>
      </c>
    </row>
    <row r="39" spans="1:11">
      <c r="A39" s="69" t="s">
        <v>927</v>
      </c>
      <c r="B39" s="883"/>
      <c r="C39" s="883"/>
      <c r="D39" s="881"/>
      <c r="E39" s="547">
        <f t="shared" si="1"/>
        <v>0</v>
      </c>
      <c r="F39" s="560">
        <f t="shared" si="2"/>
        <v>0</v>
      </c>
      <c r="G39" s="885"/>
      <c r="H39" s="586">
        <f t="shared" si="0"/>
        <v>0</v>
      </c>
      <c r="I39" s="885">
        <v>0</v>
      </c>
      <c r="J39" s="584">
        <f>+'6-True-Up Interest'!G62</f>
        <v>0</v>
      </c>
      <c r="K39" s="549">
        <f t="shared" si="3"/>
        <v>0</v>
      </c>
    </row>
    <row r="40" spans="1:11">
      <c r="A40" s="69" t="s">
        <v>928</v>
      </c>
      <c r="B40" s="883"/>
      <c r="C40" s="883"/>
      <c r="D40" s="881"/>
      <c r="E40" s="547">
        <f t="shared" si="1"/>
        <v>0</v>
      </c>
      <c r="F40" s="560">
        <f t="shared" si="2"/>
        <v>0</v>
      </c>
      <c r="G40" s="885"/>
      <c r="H40" s="586">
        <f t="shared" si="0"/>
        <v>0</v>
      </c>
      <c r="I40" s="885">
        <v>0</v>
      </c>
      <c r="J40" s="584">
        <f>+'6-True-Up Interest'!G63</f>
        <v>0</v>
      </c>
      <c r="K40" s="549">
        <f t="shared" si="3"/>
        <v>0</v>
      </c>
    </row>
    <row r="41" spans="1:11">
      <c r="A41" s="69" t="s">
        <v>929</v>
      </c>
      <c r="B41" s="883"/>
      <c r="C41" s="883"/>
      <c r="D41" s="881"/>
      <c r="E41" s="547">
        <f t="shared" si="1"/>
        <v>0</v>
      </c>
      <c r="F41" s="560">
        <f t="shared" si="2"/>
        <v>0</v>
      </c>
      <c r="G41" s="885"/>
      <c r="H41" s="586">
        <f t="shared" si="0"/>
        <v>0</v>
      </c>
      <c r="I41" s="885">
        <v>0</v>
      </c>
      <c r="J41" s="584">
        <f>+'6-True-Up Interest'!G64</f>
        <v>0</v>
      </c>
      <c r="K41" s="549">
        <f t="shared" si="3"/>
        <v>0</v>
      </c>
    </row>
    <row r="42" spans="1:11">
      <c r="A42" s="69" t="s">
        <v>930</v>
      </c>
      <c r="B42" s="883"/>
      <c r="C42" s="883"/>
      <c r="D42" s="881"/>
      <c r="E42" s="547">
        <f t="shared" si="1"/>
        <v>0</v>
      </c>
      <c r="F42" s="560">
        <f t="shared" si="2"/>
        <v>0</v>
      </c>
      <c r="G42" s="885"/>
      <c r="H42" s="586">
        <f t="shared" si="0"/>
        <v>0</v>
      </c>
      <c r="I42" s="885">
        <v>0</v>
      </c>
      <c r="J42" s="584">
        <f>+'6-True-Up Interest'!G65</f>
        <v>0</v>
      </c>
      <c r="K42" s="549">
        <f t="shared" si="3"/>
        <v>0</v>
      </c>
    </row>
    <row r="43" spans="1:11">
      <c r="A43" s="209"/>
      <c r="B43" s="883"/>
      <c r="C43" s="883"/>
      <c r="D43" s="881"/>
      <c r="E43" s="547">
        <f t="shared" si="1"/>
        <v>0</v>
      </c>
      <c r="F43" s="560">
        <f t="shared" si="2"/>
        <v>0</v>
      </c>
      <c r="G43" s="885"/>
      <c r="H43" s="586">
        <f t="shared" si="0"/>
        <v>0</v>
      </c>
      <c r="I43" s="885">
        <v>0</v>
      </c>
      <c r="J43" s="584">
        <f>+'6-True-Up Interest'!G66</f>
        <v>0</v>
      </c>
      <c r="K43" s="549">
        <f t="shared" si="3"/>
        <v>0</v>
      </c>
    </row>
    <row r="44" spans="1:11" ht="13.5" customHeight="1">
      <c r="A44" s="209"/>
      <c r="B44" s="883"/>
      <c r="C44" s="883"/>
      <c r="D44" s="881"/>
      <c r="E44" s="547"/>
      <c r="F44" s="560"/>
      <c r="G44" s="885"/>
      <c r="H44" s="548"/>
      <c r="I44" s="885"/>
      <c r="J44" s="585"/>
      <c r="K44" s="549"/>
    </row>
    <row r="45" spans="1:11" ht="13.5" customHeight="1">
      <c r="A45" s="209"/>
      <c r="B45" s="883"/>
      <c r="C45" s="883"/>
      <c r="D45" s="881"/>
      <c r="E45" s="547"/>
      <c r="F45" s="560"/>
      <c r="G45" s="885"/>
      <c r="H45" s="548"/>
      <c r="I45" s="885"/>
      <c r="J45" s="585"/>
      <c r="K45" s="549"/>
    </row>
    <row r="46" spans="1:11">
      <c r="A46" s="209"/>
      <c r="B46" s="883"/>
      <c r="C46" s="883"/>
      <c r="D46" s="881"/>
      <c r="E46" s="547"/>
      <c r="F46" s="560"/>
      <c r="G46" s="885"/>
      <c r="H46" s="548"/>
      <c r="I46" s="885"/>
      <c r="J46" s="585"/>
      <c r="K46" s="549"/>
    </row>
    <row r="47" spans="1:11">
      <c r="A47" s="209"/>
      <c r="B47" s="460"/>
      <c r="C47" s="460"/>
      <c r="D47" s="882"/>
      <c r="E47" s="461"/>
      <c r="F47" s="119"/>
      <c r="G47" s="588"/>
      <c r="H47" s="587"/>
      <c r="I47" s="460"/>
      <c r="J47" s="460"/>
      <c r="K47" s="460"/>
    </row>
    <row r="48" spans="1:11">
      <c r="A48" s="209">
        <v>4</v>
      </c>
      <c r="B48" s="116" t="s">
        <v>384</v>
      </c>
      <c r="C48" s="116"/>
      <c r="D48" s="79">
        <f>SUM(D18:D47)</f>
        <v>0</v>
      </c>
      <c r="E48" s="79">
        <f>SUM(E18:E47)</f>
        <v>0</v>
      </c>
      <c r="F48" s="79">
        <f>SUM(F18:F47)</f>
        <v>0</v>
      </c>
      <c r="G48" s="79">
        <f>SUM(G18:G47)</f>
        <v>0</v>
      </c>
      <c r="H48" s="79">
        <f>SUM(H18:H47)</f>
        <v>0</v>
      </c>
      <c r="I48" s="79"/>
      <c r="J48" s="79">
        <f>SUM(J18:J47)</f>
        <v>0</v>
      </c>
      <c r="K48" s="79">
        <f>SUM(K18:K47)</f>
        <v>0</v>
      </c>
    </row>
    <row r="49" spans="1:12">
      <c r="A49" s="209"/>
      <c r="B49" s="116"/>
      <c r="C49" s="116"/>
      <c r="D49" s="79"/>
      <c r="E49" s="79"/>
      <c r="F49" s="79"/>
      <c r="G49" s="79"/>
      <c r="H49" s="79"/>
      <c r="I49" s="79"/>
      <c r="J49" s="79"/>
      <c r="K49" s="79"/>
    </row>
    <row r="50" spans="1:12">
      <c r="A50" s="209"/>
      <c r="B50" s="116"/>
      <c r="C50" s="116"/>
      <c r="D50" s="79"/>
      <c r="E50" s="79"/>
      <c r="F50" s="79"/>
      <c r="G50" s="79" t="s">
        <v>376</v>
      </c>
      <c r="H50" s="79"/>
      <c r="I50" s="79"/>
      <c r="J50" s="79">
        <f>'6-True-Up Interest'!E26</f>
        <v>0</v>
      </c>
      <c r="K50" s="79"/>
    </row>
    <row r="51" spans="1:12">
      <c r="A51" s="209"/>
      <c r="B51" s="116"/>
      <c r="C51" s="116"/>
      <c r="D51" s="79"/>
      <c r="E51" s="79"/>
      <c r="F51" s="79"/>
      <c r="G51" s="79" t="s">
        <v>377</v>
      </c>
      <c r="H51" s="79"/>
      <c r="I51" s="79"/>
      <c r="J51" s="79">
        <f>+J48</f>
        <v>0</v>
      </c>
      <c r="K51" s="79"/>
    </row>
    <row r="52" spans="1:12">
      <c r="A52" s="209"/>
      <c r="B52" s="116" t="s">
        <v>188</v>
      </c>
      <c r="C52" s="116"/>
      <c r="D52" s="116"/>
      <c r="E52" s="116"/>
      <c r="F52" s="116"/>
      <c r="G52" s="116"/>
      <c r="H52" s="116"/>
      <c r="I52" s="116"/>
      <c r="J52" s="116"/>
      <c r="K52" s="116"/>
      <c r="L52" s="116"/>
    </row>
    <row r="53" spans="1:12">
      <c r="A53" s="209"/>
      <c r="B53" s="116" t="s">
        <v>1268</v>
      </c>
      <c r="C53" s="116"/>
      <c r="D53" s="116"/>
      <c r="E53" s="116"/>
      <c r="F53" s="116"/>
      <c r="G53" s="116"/>
      <c r="H53" s="116"/>
      <c r="I53" s="116"/>
      <c r="J53" s="116"/>
      <c r="K53" s="116"/>
      <c r="L53" s="116"/>
    </row>
    <row r="54" spans="1:12">
      <c r="A54" s="209"/>
      <c r="B54" s="116" t="s">
        <v>1269</v>
      </c>
      <c r="C54" s="116"/>
      <c r="D54" s="116"/>
      <c r="E54" s="116"/>
      <c r="F54" s="116"/>
      <c r="G54" s="116"/>
      <c r="H54" s="116"/>
      <c r="I54" s="116"/>
      <c r="J54" s="116"/>
      <c r="K54" s="116"/>
      <c r="L54" s="116"/>
    </row>
    <row r="55" spans="1:12">
      <c r="A55" s="209"/>
      <c r="B55" s="116" t="s">
        <v>447</v>
      </c>
      <c r="C55" s="116"/>
      <c r="D55" s="116"/>
      <c r="E55" s="116"/>
      <c r="F55" s="116"/>
      <c r="G55" s="116"/>
      <c r="H55" s="116"/>
      <c r="I55" s="116"/>
      <c r="J55" s="116"/>
      <c r="K55" s="116"/>
      <c r="L55" s="116"/>
    </row>
    <row r="56" spans="1:12">
      <c r="A56" s="209"/>
      <c r="B56" s="217" t="s">
        <v>448</v>
      </c>
      <c r="C56" s="116"/>
      <c r="D56" s="116"/>
      <c r="E56" s="116"/>
      <c r="F56" s="116"/>
      <c r="G56" s="116"/>
      <c r="H56" s="116"/>
      <c r="I56" s="116"/>
      <c r="J56" s="116"/>
      <c r="K56" s="116"/>
      <c r="L56" s="116"/>
    </row>
    <row r="57" spans="1:12">
      <c r="A57" s="209"/>
      <c r="B57" s="217" t="s">
        <v>473</v>
      </c>
      <c r="C57" s="116"/>
      <c r="D57" s="116"/>
      <c r="E57" s="116"/>
      <c r="F57" s="116"/>
      <c r="G57" s="116"/>
      <c r="H57" s="116"/>
      <c r="I57" s="116"/>
      <c r="J57" s="116"/>
      <c r="K57" s="116"/>
      <c r="L57" s="116"/>
    </row>
    <row r="58" spans="1:12">
      <c r="A58" s="209"/>
      <c r="B58" s="116" t="s">
        <v>439</v>
      </c>
      <c r="C58" s="116"/>
      <c r="D58" s="116"/>
      <c r="E58" s="116"/>
      <c r="F58" s="116"/>
      <c r="G58" s="116"/>
      <c r="H58" s="116"/>
      <c r="I58" s="116"/>
      <c r="J58" s="116"/>
      <c r="K58" s="116"/>
      <c r="L58" s="116"/>
    </row>
    <row r="59" spans="1:12">
      <c r="A59" s="209"/>
      <c r="B59" s="196" t="s">
        <v>449</v>
      </c>
      <c r="C59" s="116"/>
      <c r="D59" s="116"/>
      <c r="E59" s="116"/>
      <c r="F59" s="116"/>
      <c r="G59" s="116"/>
      <c r="H59" s="116"/>
      <c r="I59" s="116"/>
      <c r="J59" s="116"/>
      <c r="K59" s="116"/>
      <c r="L59" s="116"/>
    </row>
    <row r="60" spans="1:12">
      <c r="A60" s="209"/>
      <c r="J60" s="116"/>
      <c r="K60" s="116"/>
      <c r="L60" s="116"/>
    </row>
    <row r="61" spans="1:12">
      <c r="A61" s="209"/>
      <c r="C61" s="116"/>
      <c r="D61" s="116"/>
      <c r="E61" s="116"/>
      <c r="F61" s="116"/>
      <c r="G61" s="116"/>
      <c r="H61" s="116"/>
      <c r="I61" s="116"/>
      <c r="J61" s="116"/>
      <c r="K61" s="116"/>
      <c r="L61" s="116"/>
    </row>
    <row r="62" spans="1:12">
      <c r="A62" s="209"/>
      <c r="C62" s="116"/>
      <c r="D62" s="116"/>
      <c r="E62" s="116"/>
      <c r="F62" s="116"/>
      <c r="G62" s="116"/>
      <c r="H62" s="116"/>
      <c r="I62" s="116"/>
      <c r="J62" s="116"/>
      <c r="K62" s="116"/>
      <c r="L62" s="116"/>
    </row>
    <row r="63" spans="1:12">
      <c r="A63" s="209"/>
      <c r="B63" s="462"/>
      <c r="C63" s="462"/>
      <c r="D63" s="83"/>
      <c r="E63" s="83"/>
      <c r="F63" s="83"/>
      <c r="G63" s="83"/>
      <c r="H63" s="83"/>
      <c r="I63" s="462"/>
      <c r="J63" s="462"/>
    </row>
    <row r="64" spans="1:12">
      <c r="A64" s="208" t="s">
        <v>1067</v>
      </c>
      <c r="C64" s="462"/>
      <c r="D64" s="83"/>
      <c r="E64" s="83"/>
      <c r="F64" s="83"/>
      <c r="G64" s="83"/>
      <c r="H64" s="83"/>
      <c r="I64" s="462"/>
      <c r="J64" s="462"/>
    </row>
    <row r="65" spans="1:10">
      <c r="A65" s="209"/>
      <c r="B65" s="219" t="s">
        <v>205</v>
      </c>
      <c r="C65" s="197" t="s">
        <v>206</v>
      </c>
      <c r="D65" s="463" t="s">
        <v>207</v>
      </c>
      <c r="E65" s="463" t="s">
        <v>208</v>
      </c>
      <c r="F65" s="219"/>
      <c r="J65" s="462"/>
    </row>
    <row r="66" spans="1:10">
      <c r="A66" s="209"/>
      <c r="B66" s="198" t="str">
        <f>+A64</f>
        <v>Prior Period Adjustments</v>
      </c>
      <c r="C66" s="199" t="s">
        <v>11</v>
      </c>
      <c r="D66" s="199" t="s">
        <v>313</v>
      </c>
      <c r="E66" s="199" t="s">
        <v>13</v>
      </c>
      <c r="J66" s="462"/>
    </row>
    <row r="67" spans="1:10">
      <c r="A67" s="209"/>
      <c r="B67" s="464" t="s">
        <v>415</v>
      </c>
      <c r="C67" s="465" t="s">
        <v>378</v>
      </c>
      <c r="D67" s="465" t="s">
        <v>347</v>
      </c>
      <c r="E67" s="465" t="s">
        <v>379</v>
      </c>
      <c r="J67" s="462"/>
    </row>
    <row r="68" spans="1:10">
      <c r="A68" s="209" t="s">
        <v>138</v>
      </c>
      <c r="B68" s="887">
        <v>0</v>
      </c>
      <c r="C68" s="888">
        <v>0</v>
      </c>
      <c r="D68" s="888">
        <v>0</v>
      </c>
      <c r="E68" s="551">
        <f>+C68+D68</f>
        <v>0</v>
      </c>
      <c r="J68" s="462"/>
    </row>
    <row r="69" spans="1:10">
      <c r="A69" s="209"/>
      <c r="B69" s="200"/>
      <c r="C69" s="14"/>
      <c r="D69" s="14"/>
      <c r="E69" s="166"/>
      <c r="J69" s="462"/>
    </row>
    <row r="70" spans="1:10">
      <c r="A70" s="209"/>
      <c r="C70" s="462"/>
      <c r="D70" s="462"/>
      <c r="E70" s="462"/>
      <c r="F70" s="462"/>
      <c r="G70" s="462"/>
      <c r="H70" s="95"/>
      <c r="J70" s="462"/>
    </row>
    <row r="71" spans="1:10" ht="66" customHeight="1">
      <c r="A71" s="209"/>
      <c r="C71" s="115"/>
      <c r="D71" s="466"/>
      <c r="E71" s="466"/>
      <c r="F71" s="466"/>
      <c r="G71" s="466"/>
      <c r="H71" s="466"/>
      <c r="I71" s="466"/>
      <c r="J71" s="462"/>
    </row>
    <row r="72" spans="1:10" ht="56.25" customHeight="1">
      <c r="A72" s="210" t="s">
        <v>188</v>
      </c>
      <c r="B72" s="77" t="s">
        <v>62</v>
      </c>
      <c r="C72" s="1010" t="s">
        <v>461</v>
      </c>
      <c r="D72" s="1010"/>
      <c r="E72" s="1010"/>
      <c r="F72" s="1010"/>
      <c r="G72" s="1010"/>
      <c r="H72" s="1010"/>
      <c r="I72" s="1010"/>
      <c r="J72" s="1010"/>
    </row>
    <row r="73" spans="1:10" ht="27" customHeight="1">
      <c r="A73" s="209"/>
      <c r="B73" s="201" t="s">
        <v>63</v>
      </c>
      <c r="C73" s="1005" t="s">
        <v>416</v>
      </c>
      <c r="D73" s="1005"/>
      <c r="E73" s="1005"/>
      <c r="F73" s="1005"/>
      <c r="G73" s="1005"/>
      <c r="H73" s="1005"/>
      <c r="I73" s="1005"/>
      <c r="J73" s="462"/>
    </row>
    <row r="77" spans="1:10" ht="24" customHeight="1"/>
  </sheetData>
  <sheetProtection algorithmName="SHA-512" hashValue="kKdzb28618aiEwF1bi/hE3eXD9x3qscGpjMdg81KKFZiGVRelTGDAp80fFO4a7r7K+eo6q089/bEIkD9TyqOSg==" saltValue="at0+pJUp5ooReW9kMem4kA==" spinCount="100000" sheet="1" objects="1" scenarios="1"/>
  <mergeCells count="6">
    <mergeCell ref="B16:B17"/>
    <mergeCell ref="C73:I73"/>
    <mergeCell ref="D10:E10"/>
    <mergeCell ref="D11:E11"/>
    <mergeCell ref="C72:J72"/>
    <mergeCell ref="C16:C17"/>
  </mergeCells>
  <phoneticPr fontId="0" type="noConversion"/>
  <pageMargins left="0.25" right="0.25" top="0.75" bottom="0.75" header="0.3" footer="0.3"/>
  <pageSetup scale="4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85"/>
  <sheetViews>
    <sheetView zoomScale="70" zoomScaleNormal="70" zoomScaleSheetLayoutView="70" workbookViewId="0"/>
  </sheetViews>
  <sheetFormatPr defaultColWidth="8.90625" defaultRowHeight="13.2"/>
  <cols>
    <col min="1" max="1" width="4.90625" style="467" customWidth="1"/>
    <col min="2" max="2" width="29" style="115" bestFit="1" customWidth="1"/>
    <col min="3" max="3" width="32.1796875" style="115" customWidth="1"/>
    <col min="4" max="4" width="19.1796875" style="115" customWidth="1"/>
    <col min="5" max="5" width="16" style="115" customWidth="1"/>
    <col min="6" max="6" width="17.36328125" style="115" customWidth="1"/>
    <col min="7" max="7" width="18.1796875" style="115" customWidth="1"/>
    <col min="8" max="8" width="18" style="115" customWidth="1"/>
    <col min="9" max="9" width="21.453125" style="115" customWidth="1"/>
    <col min="10" max="10" width="20.36328125" style="115" customWidth="1"/>
    <col min="11" max="14" width="11.81640625" style="115" customWidth="1"/>
    <col min="15" max="16384" width="8.90625" style="115"/>
  </cols>
  <sheetData>
    <row r="1" spans="1:12">
      <c r="C1" s="120"/>
      <c r="D1" s="120"/>
      <c r="E1" s="120"/>
      <c r="G1" s="362" t="s">
        <v>197</v>
      </c>
      <c r="H1" s="120"/>
      <c r="I1" s="120"/>
      <c r="L1" s="468" t="s">
        <v>457</v>
      </c>
    </row>
    <row r="2" spans="1:12">
      <c r="A2" s="192"/>
      <c r="C2" s="120"/>
      <c r="D2" s="120"/>
      <c r="E2" s="120"/>
      <c r="F2" s="120"/>
      <c r="G2" s="367" t="s">
        <v>271</v>
      </c>
      <c r="H2" s="120"/>
      <c r="I2" s="120"/>
      <c r="J2" s="120"/>
      <c r="L2" s="364"/>
    </row>
    <row r="3" spans="1:12">
      <c r="A3" s="192"/>
      <c r="C3" s="120"/>
      <c r="D3" s="120"/>
      <c r="E3" s="120"/>
      <c r="F3" s="120"/>
      <c r="G3" s="223" t="str">
        <f>+'Attachment H-7'!D5</f>
        <v>PECO Energy Company</v>
      </c>
      <c r="H3" s="120"/>
      <c r="I3" s="120"/>
      <c r="J3" s="120"/>
    </row>
    <row r="4" spans="1:12">
      <c r="A4" s="192"/>
      <c r="C4" s="120"/>
      <c r="D4" s="120"/>
      <c r="E4" s="120"/>
      <c r="F4" s="120"/>
      <c r="G4" s="120"/>
      <c r="H4" s="120"/>
      <c r="I4" s="120"/>
      <c r="J4" s="120"/>
    </row>
    <row r="5" spans="1:12">
      <c r="A5" s="192"/>
      <c r="B5" s="469"/>
      <c r="C5" s="469"/>
      <c r="D5" s="469"/>
      <c r="E5" s="469"/>
      <c r="F5" s="469"/>
      <c r="G5" s="469"/>
      <c r="H5" s="469"/>
      <c r="I5" s="469"/>
      <c r="J5" s="469"/>
    </row>
    <row r="6" spans="1:12">
      <c r="A6" s="192"/>
      <c r="B6" s="469"/>
      <c r="C6" s="1016" t="s">
        <v>216</v>
      </c>
      <c r="D6" s="1017"/>
      <c r="E6" s="1018"/>
      <c r="F6" s="470" t="s">
        <v>218</v>
      </c>
      <c r="G6" s="529" t="s">
        <v>219</v>
      </c>
      <c r="H6" s="529" t="s">
        <v>217</v>
      </c>
      <c r="I6" s="529"/>
      <c r="J6" s="1013" t="s">
        <v>215</v>
      </c>
      <c r="K6" s="1014"/>
      <c r="L6" s="1015"/>
    </row>
    <row r="7" spans="1:12" s="472" customFormat="1" ht="26.4">
      <c r="A7" s="471" t="s">
        <v>204</v>
      </c>
      <c r="B7" s="193" t="s">
        <v>173</v>
      </c>
      <c r="C7" s="193" t="s">
        <v>17</v>
      </c>
      <c r="D7" s="193" t="s">
        <v>702</v>
      </c>
      <c r="E7" s="481" t="s">
        <v>752</v>
      </c>
      <c r="F7" s="193" t="s">
        <v>417</v>
      </c>
      <c r="G7" s="193" t="s">
        <v>174</v>
      </c>
      <c r="H7" s="193" t="s">
        <v>175</v>
      </c>
      <c r="I7" s="193" t="s">
        <v>176</v>
      </c>
      <c r="J7" s="193" t="s">
        <v>17</v>
      </c>
      <c r="K7" s="193" t="s">
        <v>702</v>
      </c>
      <c r="L7" s="481" t="s">
        <v>752</v>
      </c>
    </row>
    <row r="8" spans="1:12" s="432" customFormat="1">
      <c r="A8" s="192"/>
      <c r="B8" s="470" t="s">
        <v>205</v>
      </c>
      <c r="C8" s="470" t="s">
        <v>206</v>
      </c>
      <c r="D8" s="470" t="s">
        <v>207</v>
      </c>
      <c r="E8" s="193" t="s">
        <v>1273</v>
      </c>
      <c r="F8" s="193" t="s">
        <v>210</v>
      </c>
      <c r="G8" s="193" t="s">
        <v>209</v>
      </c>
      <c r="H8" s="193" t="s">
        <v>211</v>
      </c>
      <c r="I8" s="1" t="s">
        <v>1272</v>
      </c>
      <c r="J8" s="1" t="s">
        <v>1274</v>
      </c>
      <c r="K8" s="1" t="s">
        <v>1275</v>
      </c>
      <c r="L8" s="1" t="s">
        <v>1276</v>
      </c>
    </row>
    <row r="9" spans="1:12" s="432" customFormat="1">
      <c r="A9" s="192"/>
      <c r="B9" s="203" t="s">
        <v>419</v>
      </c>
      <c r="C9" s="367">
        <v>2</v>
      </c>
      <c r="D9" s="367">
        <v>4</v>
      </c>
      <c r="E9" s="536">
        <v>5</v>
      </c>
      <c r="F9" s="534">
        <v>27</v>
      </c>
      <c r="G9" s="534">
        <v>31</v>
      </c>
      <c r="H9" s="534">
        <v>34</v>
      </c>
      <c r="I9" s="534">
        <v>35</v>
      </c>
      <c r="J9" s="535">
        <v>9</v>
      </c>
      <c r="K9" s="535">
        <v>11</v>
      </c>
      <c r="L9" s="536">
        <v>12</v>
      </c>
    </row>
    <row r="10" spans="1:12" s="432" customFormat="1" ht="77.25" customHeight="1">
      <c r="A10" s="192"/>
      <c r="B10" s="470"/>
      <c r="C10" s="473" t="s">
        <v>710</v>
      </c>
      <c r="D10" s="333" t="s">
        <v>709</v>
      </c>
      <c r="E10" s="474" t="s">
        <v>1241</v>
      </c>
      <c r="F10" s="474" t="s">
        <v>108</v>
      </c>
      <c r="G10" s="333" t="s">
        <v>1013</v>
      </c>
      <c r="H10" s="333" t="s">
        <v>1015</v>
      </c>
      <c r="I10" s="333" t="s">
        <v>322</v>
      </c>
      <c r="J10" s="333" t="s">
        <v>488</v>
      </c>
      <c r="K10" s="333" t="s">
        <v>701</v>
      </c>
      <c r="L10" s="474" t="s">
        <v>1241</v>
      </c>
    </row>
    <row r="11" spans="1:12">
      <c r="A11" s="192">
        <v>1</v>
      </c>
      <c r="B11" s="475" t="s">
        <v>202</v>
      </c>
      <c r="C11" s="889">
        <v>1547012084</v>
      </c>
      <c r="D11" s="889">
        <v>254708195</v>
      </c>
      <c r="E11" s="889">
        <v>553357031.87199998</v>
      </c>
      <c r="F11" s="889">
        <v>0</v>
      </c>
      <c r="G11" s="889">
        <v>1141404.6000000001</v>
      </c>
      <c r="H11" s="889">
        <v>12899807.33666091</v>
      </c>
      <c r="I11" s="890">
        <v>1171509.3588319633</v>
      </c>
      <c r="J11" s="890">
        <v>494610735.34593767</v>
      </c>
      <c r="K11" s="890">
        <v>63297973.074042626</v>
      </c>
      <c r="L11" s="890">
        <v>262215583.55033597</v>
      </c>
    </row>
    <row r="12" spans="1:12">
      <c r="A12" s="192">
        <v>2</v>
      </c>
      <c r="B12" s="475" t="s">
        <v>88</v>
      </c>
      <c r="C12" s="889">
        <v>1545817812</v>
      </c>
      <c r="D12" s="889">
        <v>255587400</v>
      </c>
      <c r="E12" s="889">
        <v>558359937.60000002</v>
      </c>
      <c r="F12" s="889">
        <v>0</v>
      </c>
      <c r="G12" s="889">
        <v>1141404.6000000001</v>
      </c>
      <c r="H12" s="889">
        <v>13355354.9169777</v>
      </c>
      <c r="I12" s="890">
        <v>1177694.173878693</v>
      </c>
      <c r="J12" s="890">
        <v>492249250.38070625</v>
      </c>
      <c r="K12" s="890">
        <v>64567502.139105886</v>
      </c>
      <c r="L12" s="890">
        <v>264818333.73657599</v>
      </c>
    </row>
    <row r="13" spans="1:12">
      <c r="A13" s="192">
        <v>3</v>
      </c>
      <c r="B13" s="120" t="s">
        <v>87</v>
      </c>
      <c r="C13" s="889">
        <v>1547575763</v>
      </c>
      <c r="D13" s="889">
        <v>253241208</v>
      </c>
      <c r="E13" s="889">
        <v>561007484.39040005</v>
      </c>
      <c r="F13" s="889">
        <v>0</v>
      </c>
      <c r="G13" s="889">
        <v>1141404.6000000001</v>
      </c>
      <c r="H13" s="889">
        <v>13191640.575528285</v>
      </c>
      <c r="I13" s="890">
        <v>1468673.4978776209</v>
      </c>
      <c r="J13" s="890">
        <v>491656045.14999998</v>
      </c>
      <c r="K13" s="890">
        <v>65889796.449999996</v>
      </c>
      <c r="L13" s="890">
        <v>267482557.57171205</v>
      </c>
    </row>
    <row r="14" spans="1:12">
      <c r="A14" s="192">
        <v>4</v>
      </c>
      <c r="B14" s="120" t="s">
        <v>177</v>
      </c>
      <c r="C14" s="889">
        <v>1544776810</v>
      </c>
      <c r="D14" s="889">
        <v>252700424</v>
      </c>
      <c r="E14" s="889">
        <v>561116756.56959999</v>
      </c>
      <c r="F14" s="889">
        <v>0</v>
      </c>
      <c r="G14" s="889">
        <v>1141404.6000000001</v>
      </c>
      <c r="H14" s="889">
        <v>14054169.508615064</v>
      </c>
      <c r="I14" s="890">
        <v>1504053.7131143736</v>
      </c>
      <c r="J14" s="890">
        <v>490757673.8482433</v>
      </c>
      <c r="K14" s="890">
        <v>67218925.888929427</v>
      </c>
      <c r="L14" s="890">
        <v>269305380.96953601</v>
      </c>
    </row>
    <row r="15" spans="1:12">
      <c r="A15" s="192">
        <v>5</v>
      </c>
      <c r="B15" s="120" t="s">
        <v>78</v>
      </c>
      <c r="C15" s="889">
        <v>1561290209</v>
      </c>
      <c r="D15" s="889">
        <v>253135473</v>
      </c>
      <c r="E15" s="889">
        <v>558511223.84640002</v>
      </c>
      <c r="F15" s="889">
        <v>0</v>
      </c>
      <c r="G15" s="889">
        <v>1141404.6000000001</v>
      </c>
      <c r="H15" s="889">
        <v>13177740.201006386</v>
      </c>
      <c r="I15" s="890">
        <v>1642819.256663505</v>
      </c>
      <c r="J15" s="890">
        <v>491926884.96673417</v>
      </c>
      <c r="K15" s="890">
        <v>68016057.940000013</v>
      </c>
      <c r="L15" s="890">
        <v>267918050.89548808</v>
      </c>
    </row>
    <row r="16" spans="1:12">
      <c r="A16" s="192">
        <v>6</v>
      </c>
      <c r="B16" s="120" t="s">
        <v>77</v>
      </c>
      <c r="C16" s="889">
        <v>1563925929</v>
      </c>
      <c r="D16" s="889">
        <v>260404072</v>
      </c>
      <c r="E16" s="889">
        <v>564120405.93920004</v>
      </c>
      <c r="F16" s="889">
        <v>0</v>
      </c>
      <c r="G16" s="889">
        <v>1141404.6000000001</v>
      </c>
      <c r="H16" s="889">
        <v>13012950.214592224</v>
      </c>
      <c r="I16" s="890">
        <v>1399885.3737836713</v>
      </c>
      <c r="J16" s="890">
        <v>492997527.97020131</v>
      </c>
      <c r="K16" s="890">
        <v>69248660.829999998</v>
      </c>
      <c r="L16" s="890">
        <v>270324538.38950408</v>
      </c>
    </row>
    <row r="17" spans="1:12">
      <c r="A17" s="192">
        <v>7</v>
      </c>
      <c r="B17" s="120" t="s">
        <v>97</v>
      </c>
      <c r="C17" s="889">
        <v>1566146827</v>
      </c>
      <c r="D17" s="889">
        <v>261255087</v>
      </c>
      <c r="E17" s="889">
        <v>561640199.42400002</v>
      </c>
      <c r="F17" s="889">
        <v>0</v>
      </c>
      <c r="G17" s="889">
        <v>360384</v>
      </c>
      <c r="H17" s="889">
        <v>13132445.666025329</v>
      </c>
      <c r="I17" s="890">
        <v>1827185.3186559088</v>
      </c>
      <c r="J17" s="890">
        <v>494002369.34017491</v>
      </c>
      <c r="K17" s="890">
        <v>70806568.915000007</v>
      </c>
      <c r="L17" s="890">
        <v>272785625.75961596</v>
      </c>
    </row>
    <row r="18" spans="1:12">
      <c r="A18" s="192">
        <v>8</v>
      </c>
      <c r="B18" s="120" t="s">
        <v>85</v>
      </c>
      <c r="C18" s="889">
        <v>1574711013</v>
      </c>
      <c r="D18" s="889">
        <v>263609193</v>
      </c>
      <c r="E18" s="889">
        <v>559462040.704</v>
      </c>
      <c r="F18" s="889">
        <v>0</v>
      </c>
      <c r="G18" s="889">
        <v>360384.10000000003</v>
      </c>
      <c r="H18" s="889">
        <v>13299113.810917737</v>
      </c>
      <c r="I18" s="890">
        <v>1322436.9353687065</v>
      </c>
      <c r="J18" s="890">
        <v>495493519.46806979</v>
      </c>
      <c r="K18" s="890">
        <v>71053081.185000002</v>
      </c>
      <c r="L18" s="890">
        <v>271284056.04505599</v>
      </c>
    </row>
    <row r="19" spans="1:12">
      <c r="A19" s="192">
        <v>9</v>
      </c>
      <c r="B19" s="120" t="s">
        <v>178</v>
      </c>
      <c r="C19" s="889">
        <v>1576289399</v>
      </c>
      <c r="D19" s="889">
        <v>265157424</v>
      </c>
      <c r="E19" s="889">
        <v>561771586.20160007</v>
      </c>
      <c r="F19" s="889">
        <v>0</v>
      </c>
      <c r="G19" s="889">
        <v>360384.10000000003</v>
      </c>
      <c r="H19" s="889">
        <v>13604274.361708941</v>
      </c>
      <c r="I19" s="890">
        <v>1134939.71075291</v>
      </c>
      <c r="J19" s="890">
        <v>497133425.71661174</v>
      </c>
      <c r="K19" s="890">
        <v>72329313.685000002</v>
      </c>
      <c r="L19" s="890">
        <v>273754097.23136008</v>
      </c>
    </row>
    <row r="20" spans="1:12">
      <c r="A20" s="192">
        <v>10</v>
      </c>
      <c r="B20" s="120" t="s">
        <v>83</v>
      </c>
      <c r="C20" s="889">
        <v>1579345958</v>
      </c>
      <c r="D20" s="889">
        <v>267326582</v>
      </c>
      <c r="E20" s="889">
        <v>563185245.6832</v>
      </c>
      <c r="F20" s="889">
        <v>0</v>
      </c>
      <c r="G20" s="889">
        <v>244518.93999999997</v>
      </c>
      <c r="H20" s="889">
        <v>13564403.983337855</v>
      </c>
      <c r="I20" s="890">
        <v>1235282.9400325981</v>
      </c>
      <c r="J20" s="890">
        <v>498849843.48780125</v>
      </c>
      <c r="K20" s="890">
        <v>73599213.465000004</v>
      </c>
      <c r="L20" s="890">
        <v>276254132.08448005</v>
      </c>
    </row>
    <row r="21" spans="1:12">
      <c r="A21" s="192">
        <v>11</v>
      </c>
      <c r="B21" s="120" t="s">
        <v>89</v>
      </c>
      <c r="C21" s="889">
        <v>1583208190</v>
      </c>
      <c r="D21" s="889">
        <v>271448187</v>
      </c>
      <c r="E21" s="889">
        <v>568514166.64320004</v>
      </c>
      <c r="F21" s="889">
        <v>0</v>
      </c>
      <c r="G21" s="889">
        <v>244519.27000000002</v>
      </c>
      <c r="H21" s="889">
        <v>13207640.968705012</v>
      </c>
      <c r="I21" s="890">
        <v>1580114.5066407607</v>
      </c>
      <c r="J21" s="890">
        <v>500060589.16999996</v>
      </c>
      <c r="K21" s="890">
        <v>73951778.159999996</v>
      </c>
      <c r="L21" s="890">
        <v>278725505.51078403</v>
      </c>
    </row>
    <row r="22" spans="1:12">
      <c r="A22" s="192">
        <v>12</v>
      </c>
      <c r="B22" s="120" t="s">
        <v>82</v>
      </c>
      <c r="C22" s="889">
        <v>1583600915</v>
      </c>
      <c r="D22" s="889">
        <v>272910543</v>
      </c>
      <c r="E22" s="889">
        <v>582479346.96960008</v>
      </c>
      <c r="F22" s="889">
        <v>0</v>
      </c>
      <c r="G22" s="889">
        <v>244519.27000000002</v>
      </c>
      <c r="H22" s="889">
        <v>13249406.39586946</v>
      </c>
      <c r="I22" s="890">
        <v>1753356.1131865971</v>
      </c>
      <c r="J22" s="890">
        <v>501010849.79999995</v>
      </c>
      <c r="K22" s="890">
        <v>74310286.230000004</v>
      </c>
      <c r="L22" s="890">
        <v>281092411.886976</v>
      </c>
    </row>
    <row r="23" spans="1:12">
      <c r="A23" s="192">
        <v>13</v>
      </c>
      <c r="B23" s="120" t="s">
        <v>203</v>
      </c>
      <c r="C23" s="889">
        <v>1611375788</v>
      </c>
      <c r="D23" s="889">
        <v>273765316</v>
      </c>
      <c r="E23" s="889">
        <v>589225120.88320005</v>
      </c>
      <c r="F23" s="889">
        <v>0</v>
      </c>
      <c r="G23" s="889">
        <v>244519.27000000002</v>
      </c>
      <c r="H23" s="889">
        <v>13217722.852653034</v>
      </c>
      <c r="I23" s="890">
        <v>1630472.5684784702</v>
      </c>
      <c r="J23" s="890">
        <v>502822050.15999997</v>
      </c>
      <c r="K23" s="890">
        <v>74681276.480000004</v>
      </c>
      <c r="L23" s="890">
        <v>283339966.83827198</v>
      </c>
    </row>
    <row r="24" spans="1:12" ht="13.8" thickBot="1">
      <c r="A24" s="192">
        <v>14</v>
      </c>
      <c r="B24" s="468" t="s">
        <v>272</v>
      </c>
      <c r="C24" s="476">
        <f t="shared" ref="C24:L24" si="0">SUM(C11:C23)/13</f>
        <v>1568082822.8461537</v>
      </c>
      <c r="D24" s="476">
        <f t="shared" si="0"/>
        <v>261942238.76923078</v>
      </c>
      <c r="E24" s="476">
        <f t="shared" si="0"/>
        <v>564826965.13279998</v>
      </c>
      <c r="F24" s="476">
        <f t="shared" si="0"/>
        <v>0</v>
      </c>
      <c r="G24" s="476">
        <f t="shared" si="0"/>
        <v>685204.34999999986</v>
      </c>
      <c r="H24" s="476">
        <f t="shared" si="0"/>
        <v>13305128.522507532</v>
      </c>
      <c r="I24" s="476">
        <f t="shared" si="0"/>
        <v>1449878.7282512137</v>
      </c>
      <c r="J24" s="476">
        <f t="shared" si="0"/>
        <v>495659289.60034472</v>
      </c>
      <c r="K24" s="476">
        <f t="shared" si="0"/>
        <v>69920802.649390608</v>
      </c>
      <c r="L24" s="476">
        <f t="shared" si="0"/>
        <v>272253864.65151507</v>
      </c>
    </row>
    <row r="25" spans="1:12" ht="13.8" thickTop="1">
      <c r="A25" s="192"/>
      <c r="B25" s="120"/>
      <c r="C25" s="477"/>
      <c r="D25" s="478"/>
      <c r="E25" s="478"/>
      <c r="F25" s="478"/>
      <c r="G25" s="477"/>
      <c r="H25" s="477"/>
      <c r="I25" s="477"/>
    </row>
    <row r="26" spans="1:12">
      <c r="A26" s="192"/>
      <c r="B26" s="479"/>
      <c r="C26" s="1019" t="s">
        <v>220</v>
      </c>
      <c r="D26" s="1019"/>
      <c r="E26" s="1019"/>
      <c r="F26" s="1019"/>
      <c r="G26" s="1019"/>
      <c r="H26" s="1019"/>
      <c r="I26" s="1019"/>
    </row>
    <row r="27" spans="1:12" ht="72" customHeight="1">
      <c r="A27" s="192" t="s">
        <v>204</v>
      </c>
      <c r="B27" s="470" t="s">
        <v>173</v>
      </c>
      <c r="C27" s="1" t="s">
        <v>179</v>
      </c>
      <c r="D27" s="1" t="s">
        <v>180</v>
      </c>
      <c r="E27" s="1" t="s">
        <v>364</v>
      </c>
      <c r="F27" s="1" t="s">
        <v>365</v>
      </c>
      <c r="G27" s="1" t="s">
        <v>366</v>
      </c>
      <c r="H27" s="1" t="s">
        <v>418</v>
      </c>
      <c r="I27" s="1" t="s">
        <v>274</v>
      </c>
      <c r="J27" s="480" t="s">
        <v>694</v>
      </c>
    </row>
    <row r="28" spans="1:12" s="432" customFormat="1">
      <c r="A28" s="192"/>
      <c r="B28" s="470" t="s">
        <v>205</v>
      </c>
      <c r="C28" s="1" t="s">
        <v>206</v>
      </c>
      <c r="D28" s="1" t="s">
        <v>207</v>
      </c>
      <c r="E28" s="1" t="s">
        <v>208</v>
      </c>
      <c r="F28" s="1" t="s">
        <v>210</v>
      </c>
      <c r="G28" s="1" t="s">
        <v>209</v>
      </c>
      <c r="H28" s="1" t="s">
        <v>211</v>
      </c>
      <c r="I28" s="1" t="s">
        <v>212</v>
      </c>
      <c r="J28" s="480" t="s">
        <v>213</v>
      </c>
    </row>
    <row r="29" spans="1:12" s="432" customFormat="1">
      <c r="A29" s="192"/>
      <c r="B29" s="203" t="s">
        <v>419</v>
      </c>
      <c r="C29" s="155">
        <v>28</v>
      </c>
      <c r="D29" s="155">
        <v>29</v>
      </c>
      <c r="E29" s="155">
        <v>22</v>
      </c>
      <c r="F29" s="155">
        <v>23</v>
      </c>
      <c r="G29" s="155">
        <v>24</v>
      </c>
      <c r="H29" s="155">
        <v>25</v>
      </c>
      <c r="I29" s="155">
        <v>26</v>
      </c>
      <c r="J29" s="163" t="s">
        <v>693</v>
      </c>
    </row>
    <row r="30" spans="1:12" s="432" customFormat="1" ht="51" customHeight="1">
      <c r="A30" s="192"/>
      <c r="B30" s="470"/>
      <c r="C30" s="193" t="s">
        <v>362</v>
      </c>
      <c r="D30" s="1" t="s">
        <v>363</v>
      </c>
      <c r="E30" s="1" t="s">
        <v>755</v>
      </c>
      <c r="F30" s="1" t="s">
        <v>756</v>
      </c>
      <c r="G30" s="1" t="s">
        <v>757</v>
      </c>
      <c r="H30" s="1" t="s">
        <v>758</v>
      </c>
      <c r="I30" s="1" t="s">
        <v>881</v>
      </c>
      <c r="J30" s="481" t="s">
        <v>695</v>
      </c>
    </row>
    <row r="31" spans="1:12">
      <c r="A31" s="192">
        <v>15</v>
      </c>
      <c r="B31" s="475" t="s">
        <v>202</v>
      </c>
      <c r="C31" s="889">
        <v>0</v>
      </c>
      <c r="D31" s="889">
        <v>0</v>
      </c>
      <c r="E31" s="531"/>
      <c r="F31" s="531"/>
      <c r="G31" s="531"/>
      <c r="H31" s="531"/>
      <c r="I31" s="889">
        <v>0</v>
      </c>
      <c r="J31" s="889">
        <v>26927374.960411768</v>
      </c>
    </row>
    <row r="32" spans="1:12">
      <c r="A32" s="192">
        <v>16</v>
      </c>
      <c r="B32" s="475" t="s">
        <v>88</v>
      </c>
      <c r="C32" s="889">
        <v>0</v>
      </c>
      <c r="D32" s="889">
        <v>0</v>
      </c>
      <c r="E32" s="531"/>
      <c r="F32" s="531"/>
      <c r="G32" s="531"/>
      <c r="H32" s="531"/>
      <c r="I32" s="889">
        <v>0</v>
      </c>
      <c r="J32" s="889">
        <v>28643300.519202802</v>
      </c>
    </row>
    <row r="33" spans="1:15">
      <c r="A33" s="192">
        <v>17</v>
      </c>
      <c r="B33" s="120" t="s">
        <v>87</v>
      </c>
      <c r="C33" s="889">
        <v>0</v>
      </c>
      <c r="D33" s="889">
        <v>0</v>
      </c>
      <c r="E33" s="531"/>
      <c r="F33" s="531"/>
      <c r="G33" s="531"/>
      <c r="H33" s="531"/>
      <c r="I33" s="889">
        <v>0</v>
      </c>
      <c r="J33" s="889">
        <v>28546634.924407315</v>
      </c>
    </row>
    <row r="34" spans="1:15">
      <c r="A34" s="192">
        <v>18</v>
      </c>
      <c r="B34" s="120" t="s">
        <v>177</v>
      </c>
      <c r="C34" s="889">
        <v>0</v>
      </c>
      <c r="D34" s="889">
        <v>0</v>
      </c>
      <c r="E34" s="531"/>
      <c r="F34" s="531"/>
      <c r="G34" s="531"/>
      <c r="H34" s="531"/>
      <c r="I34" s="889">
        <v>0</v>
      </c>
      <c r="J34" s="889">
        <v>28432558.951232187</v>
      </c>
    </row>
    <row r="35" spans="1:15">
      <c r="A35" s="192">
        <v>19</v>
      </c>
      <c r="B35" s="120" t="s">
        <v>78</v>
      </c>
      <c r="C35" s="889">
        <v>0</v>
      </c>
      <c r="D35" s="889">
        <v>0</v>
      </c>
      <c r="E35" s="531"/>
      <c r="F35" s="531"/>
      <c r="G35" s="531"/>
      <c r="H35" s="531"/>
      <c r="I35" s="889">
        <v>0</v>
      </c>
      <c r="J35" s="889">
        <v>28313623.225868359</v>
      </c>
    </row>
    <row r="36" spans="1:15">
      <c r="A36" s="192">
        <v>20</v>
      </c>
      <c r="B36" s="120" t="s">
        <v>77</v>
      </c>
      <c r="C36" s="889">
        <v>0</v>
      </c>
      <c r="D36" s="889">
        <v>0</v>
      </c>
      <c r="E36" s="531"/>
      <c r="F36" s="531"/>
      <c r="G36" s="531"/>
      <c r="H36" s="531"/>
      <c r="I36" s="889">
        <v>0</v>
      </c>
      <c r="J36" s="889">
        <v>28190629.362137444</v>
      </c>
    </row>
    <row r="37" spans="1:15">
      <c r="A37" s="192">
        <v>21</v>
      </c>
      <c r="B37" s="120" t="s">
        <v>97</v>
      </c>
      <c r="C37" s="889">
        <v>0</v>
      </c>
      <c r="D37" s="889">
        <v>0</v>
      </c>
      <c r="E37" s="531"/>
      <c r="F37" s="531"/>
      <c r="G37" s="531"/>
      <c r="H37" s="531"/>
      <c r="I37" s="889">
        <v>0</v>
      </c>
      <c r="J37" s="889">
        <v>28067635.498406526</v>
      </c>
    </row>
    <row r="38" spans="1:15">
      <c r="A38" s="192">
        <v>22</v>
      </c>
      <c r="B38" s="120" t="s">
        <v>85</v>
      </c>
      <c r="C38" s="889">
        <v>0</v>
      </c>
      <c r="D38" s="889">
        <v>0</v>
      </c>
      <c r="E38" s="531"/>
      <c r="F38" s="531"/>
      <c r="G38" s="531"/>
      <c r="H38" s="531"/>
      <c r="I38" s="889">
        <v>0</v>
      </c>
      <c r="J38" s="889">
        <v>27953862.753273685</v>
      </c>
    </row>
    <row r="39" spans="1:15">
      <c r="A39" s="192">
        <v>23</v>
      </c>
      <c r="B39" s="120" t="s">
        <v>178</v>
      </c>
      <c r="C39" s="889">
        <v>0</v>
      </c>
      <c r="D39" s="889">
        <v>0</v>
      </c>
      <c r="E39" s="531"/>
      <c r="F39" s="531"/>
      <c r="G39" s="531"/>
      <c r="H39" s="531"/>
      <c r="I39" s="889">
        <v>0</v>
      </c>
      <c r="J39" s="889">
        <v>27835216.850337368</v>
      </c>
    </row>
    <row r="40" spans="1:15">
      <c r="A40" s="192">
        <v>24</v>
      </c>
      <c r="B40" s="120" t="s">
        <v>83</v>
      </c>
      <c r="C40" s="889">
        <v>0</v>
      </c>
      <c r="D40" s="889">
        <v>0</v>
      </c>
      <c r="E40" s="531"/>
      <c r="F40" s="531"/>
      <c r="G40" s="531"/>
      <c r="H40" s="531"/>
      <c r="I40" s="889">
        <v>0</v>
      </c>
      <c r="J40" s="889">
        <v>27708454.670666877</v>
      </c>
    </row>
    <row r="41" spans="1:15">
      <c r="A41" s="192">
        <v>25</v>
      </c>
      <c r="B41" s="120" t="s">
        <v>89</v>
      </c>
      <c r="C41" s="889">
        <v>0</v>
      </c>
      <c r="D41" s="889">
        <v>0</v>
      </c>
      <c r="E41" s="531"/>
      <c r="F41" s="531"/>
      <c r="G41" s="531"/>
      <c r="H41" s="531"/>
      <c r="I41" s="889">
        <v>0</v>
      </c>
      <c r="J41" s="889">
        <v>27587205.933090754</v>
      </c>
    </row>
    <row r="42" spans="1:15">
      <c r="A42" s="192">
        <v>26</v>
      </c>
      <c r="B42" s="120" t="s">
        <v>82</v>
      </c>
      <c r="C42" s="889">
        <v>0</v>
      </c>
      <c r="D42" s="889">
        <v>0</v>
      </c>
      <c r="E42" s="531"/>
      <c r="F42" s="531"/>
      <c r="G42" s="531"/>
      <c r="H42" s="531"/>
      <c r="I42" s="889">
        <v>0</v>
      </c>
      <c r="J42" s="889">
        <v>27468755.158611212</v>
      </c>
    </row>
    <row r="43" spans="1:15">
      <c r="A43" s="192">
        <v>27</v>
      </c>
      <c r="B43" s="120" t="s">
        <v>203</v>
      </c>
      <c r="C43" s="889">
        <v>0</v>
      </c>
      <c r="D43" s="889">
        <v>0</v>
      </c>
      <c r="E43" s="531"/>
      <c r="F43" s="531"/>
      <c r="G43" s="531"/>
      <c r="H43" s="531"/>
      <c r="I43" s="889">
        <v>0</v>
      </c>
      <c r="J43" s="889">
        <v>27614545.798896968</v>
      </c>
    </row>
    <row r="44" spans="1:15" ht="13.8" thickBot="1">
      <c r="A44" s="192">
        <v>28</v>
      </c>
      <c r="B44" s="532" t="s">
        <v>273</v>
      </c>
      <c r="C44" s="476">
        <f t="shared" ref="C44:I44" si="1">SUM(C31:C43)/13</f>
        <v>0</v>
      </c>
      <c r="D44" s="744">
        <f t="shared" si="1"/>
        <v>0</v>
      </c>
      <c r="E44" s="744" t="str">
        <f>+'4A - ADIT Summary'!M90</f>
        <v>Zero</v>
      </c>
      <c r="F44" s="891">
        <f>'4A - ADIT Summary'!M78</f>
        <v>-276266562.19752669</v>
      </c>
      <c r="G44" s="891">
        <f>'4A - ADIT Summary'!M84</f>
        <v>-11797724.848290306</v>
      </c>
      <c r="H44" s="891">
        <f>'4A - ADIT Summary'!M96</f>
        <v>16292879.310196733</v>
      </c>
      <c r="I44" s="476">
        <f t="shared" si="1"/>
        <v>0</v>
      </c>
      <c r="J44" s="476">
        <f>SUM(J31:J43)/13</f>
        <v>27945369.123580255</v>
      </c>
    </row>
    <row r="45" spans="1:15" ht="13.8" thickTop="1">
      <c r="A45" s="192"/>
      <c r="B45" s="120" t="s">
        <v>754</v>
      </c>
      <c r="E45" s="1020"/>
      <c r="F45" s="1020"/>
      <c r="G45" s="1020"/>
      <c r="H45" s="1020"/>
      <c r="I45" s="478"/>
      <c r="J45" s="364"/>
    </row>
    <row r="46" spans="1:15">
      <c r="A46" s="192"/>
      <c r="J46" s="163"/>
    </row>
    <row r="47" spans="1:15">
      <c r="F47" s="627" t="s">
        <v>197</v>
      </c>
    </row>
    <row r="48" spans="1:15">
      <c r="A48" s="192"/>
      <c r="C48" s="185"/>
      <c r="D48" s="185"/>
      <c r="E48" s="185"/>
      <c r="F48" s="367" t="s">
        <v>271</v>
      </c>
      <c r="G48" s="185"/>
      <c r="L48" s="432"/>
      <c r="M48" s="432"/>
      <c r="N48" s="432"/>
      <c r="O48" s="432"/>
    </row>
    <row r="49" spans="1:16">
      <c r="A49" s="192"/>
      <c r="C49" s="185"/>
      <c r="D49" s="185"/>
      <c r="E49" s="185"/>
      <c r="F49" s="223" t="str">
        <f>'Attachment H-7'!$D$5</f>
        <v>PECO Energy Company</v>
      </c>
      <c r="G49" s="185"/>
      <c r="K49" s="432"/>
      <c r="L49" s="432"/>
      <c r="M49" s="432"/>
      <c r="N49" s="432"/>
      <c r="O49" s="432"/>
    </row>
    <row r="50" spans="1:16">
      <c r="A50" s="192"/>
      <c r="B50" s="163" t="s">
        <v>420</v>
      </c>
      <c r="C50" s="185"/>
      <c r="D50" s="185"/>
      <c r="E50" s="185"/>
      <c r="F50" s="223"/>
      <c r="G50" s="185"/>
      <c r="K50" s="432"/>
      <c r="L50" s="432"/>
      <c r="M50" s="432"/>
      <c r="N50" s="432"/>
      <c r="O50" s="432"/>
    </row>
    <row r="51" spans="1:16">
      <c r="A51" s="192"/>
      <c r="B51" s="163" t="s">
        <v>205</v>
      </c>
      <c r="C51" s="163" t="s">
        <v>206</v>
      </c>
      <c r="D51" s="163" t="s">
        <v>207</v>
      </c>
      <c r="E51" s="163" t="s">
        <v>208</v>
      </c>
      <c r="F51" s="163" t="s">
        <v>210</v>
      </c>
      <c r="G51" s="163" t="s">
        <v>209</v>
      </c>
      <c r="H51" s="163" t="s">
        <v>211</v>
      </c>
      <c r="I51" s="163" t="s">
        <v>212</v>
      </c>
      <c r="J51" s="364" t="s">
        <v>160</v>
      </c>
      <c r="L51" s="432"/>
      <c r="M51" s="432"/>
      <c r="N51" s="432"/>
      <c r="O51" s="432"/>
      <c r="P51" s="432"/>
    </row>
    <row r="52" spans="1:16" ht="79.2">
      <c r="A52" s="192">
        <v>29</v>
      </c>
      <c r="B52" s="186" t="s">
        <v>349</v>
      </c>
      <c r="C52" s="114"/>
      <c r="D52" s="187" t="s">
        <v>11</v>
      </c>
      <c r="E52" s="187" t="s">
        <v>350</v>
      </c>
      <c r="F52" s="187" t="s">
        <v>351</v>
      </c>
      <c r="G52" s="187" t="s">
        <v>459</v>
      </c>
      <c r="H52" s="188" t="s">
        <v>352</v>
      </c>
      <c r="I52" s="188" t="s">
        <v>353</v>
      </c>
      <c r="J52" s="186"/>
      <c r="K52" s="186"/>
      <c r="L52" s="186"/>
      <c r="M52" s="482"/>
      <c r="N52" s="432"/>
      <c r="O52" s="432"/>
      <c r="P52" s="432"/>
    </row>
    <row r="53" spans="1:16">
      <c r="A53" s="192" t="s">
        <v>354</v>
      </c>
      <c r="B53" s="180"/>
      <c r="C53" s="892" t="s">
        <v>1314</v>
      </c>
      <c r="D53" s="893">
        <v>-1280524.689025335</v>
      </c>
      <c r="E53" s="894">
        <v>1</v>
      </c>
      <c r="F53" s="895">
        <v>1</v>
      </c>
      <c r="G53" s="896">
        <v>1</v>
      </c>
      <c r="H53" s="628">
        <f>'Attachment H-7'!I191</f>
        <v>9.880621410235467E-2</v>
      </c>
      <c r="I53" s="189">
        <f>+H53*E53*D53*F53*G53</f>
        <v>-126523.79658718838</v>
      </c>
      <c r="J53" s="186"/>
      <c r="K53" s="180"/>
      <c r="L53" s="180"/>
      <c r="M53" s="482"/>
      <c r="N53" s="432"/>
      <c r="O53" s="432"/>
      <c r="P53" s="432"/>
    </row>
    <row r="54" spans="1:16">
      <c r="A54" s="192" t="s">
        <v>355</v>
      </c>
      <c r="B54" s="180"/>
      <c r="C54" s="892" t="s">
        <v>1315</v>
      </c>
      <c r="D54" s="893">
        <v>-173263.13865154321</v>
      </c>
      <c r="E54" s="894">
        <v>1</v>
      </c>
      <c r="F54" s="895">
        <v>1</v>
      </c>
      <c r="G54" s="896">
        <v>1</v>
      </c>
      <c r="H54" s="628">
        <f>H53</f>
        <v>9.880621410235467E-2</v>
      </c>
      <c r="I54" s="189">
        <f t="shared" ref="I54:I66" si="2">+H54*E54*D54*F54*G54</f>
        <v>-17119.474773650341</v>
      </c>
      <c r="J54" s="186"/>
      <c r="K54" s="180"/>
      <c r="L54" s="180"/>
      <c r="M54" s="482"/>
      <c r="N54" s="432"/>
      <c r="O54" s="432"/>
      <c r="P54" s="432"/>
    </row>
    <row r="55" spans="1:16">
      <c r="A55" s="192" t="s">
        <v>356</v>
      </c>
      <c r="B55" s="180"/>
      <c r="C55" s="892" t="s">
        <v>1009</v>
      </c>
      <c r="D55" s="893">
        <v>-1172299.4114695783</v>
      </c>
      <c r="E55" s="894">
        <v>1</v>
      </c>
      <c r="F55" s="895">
        <v>1</v>
      </c>
      <c r="G55" s="896">
        <v>1</v>
      </c>
      <c r="H55" s="628">
        <f t="shared" ref="H55:H58" si="3">H54</f>
        <v>9.880621410235467E-2</v>
      </c>
      <c r="I55" s="189">
        <f t="shared" si="2"/>
        <v>-115830.46664172753</v>
      </c>
      <c r="J55" s="186"/>
      <c r="K55" s="180"/>
      <c r="L55" s="180"/>
      <c r="M55" s="482"/>
      <c r="N55" s="432"/>
      <c r="O55" s="432"/>
      <c r="P55" s="432"/>
    </row>
    <row r="56" spans="1:16">
      <c r="A56" s="192" t="s">
        <v>357</v>
      </c>
      <c r="B56" s="180"/>
      <c r="C56" s="892" t="s">
        <v>1010</v>
      </c>
      <c r="D56" s="893">
        <v>-9929165.3573560938</v>
      </c>
      <c r="E56" s="894">
        <v>1</v>
      </c>
      <c r="F56" s="895">
        <v>1</v>
      </c>
      <c r="G56" s="896">
        <v>1</v>
      </c>
      <c r="H56" s="628">
        <f t="shared" si="3"/>
        <v>9.880621410235467E-2</v>
      </c>
      <c r="I56" s="189">
        <f t="shared" si="2"/>
        <v>-981063.23815660912</v>
      </c>
      <c r="J56" s="186"/>
      <c r="K56" s="180"/>
      <c r="L56" s="180"/>
      <c r="M56" s="482"/>
      <c r="N56" s="432"/>
      <c r="O56" s="432"/>
      <c r="P56" s="432"/>
    </row>
    <row r="57" spans="1:16">
      <c r="A57" s="192" t="s">
        <v>358</v>
      </c>
      <c r="B57" s="180"/>
      <c r="C57" s="892" t="s">
        <v>1011</v>
      </c>
      <c r="D57" s="893">
        <v>-323448.41063858161</v>
      </c>
      <c r="E57" s="894">
        <v>1</v>
      </c>
      <c r="F57" s="895">
        <v>1</v>
      </c>
      <c r="G57" s="896">
        <v>1</v>
      </c>
      <c r="H57" s="628">
        <f t="shared" si="3"/>
        <v>9.880621410235467E-2</v>
      </c>
      <c r="I57" s="189">
        <f t="shared" si="2"/>
        <v>-31958.712912622028</v>
      </c>
      <c r="J57" s="186"/>
      <c r="K57" s="180"/>
      <c r="L57" s="180"/>
      <c r="M57" s="482"/>
      <c r="N57" s="432"/>
      <c r="O57" s="432"/>
      <c r="P57" s="432"/>
    </row>
    <row r="58" spans="1:16">
      <c r="A58" s="192" t="s">
        <v>359</v>
      </c>
      <c r="B58" s="180"/>
      <c r="C58" s="892" t="s">
        <v>882</v>
      </c>
      <c r="D58" s="893">
        <v>-19748313.494147688</v>
      </c>
      <c r="E58" s="894">
        <v>1</v>
      </c>
      <c r="F58" s="895">
        <v>1</v>
      </c>
      <c r="G58" s="896">
        <v>1</v>
      </c>
      <c r="H58" s="628">
        <f t="shared" si="3"/>
        <v>9.880621410235467E-2</v>
      </c>
      <c r="I58" s="189">
        <f t="shared" si="2"/>
        <v>-1951256.0912631764</v>
      </c>
      <c r="J58" s="186"/>
      <c r="K58" s="180"/>
      <c r="L58" s="180"/>
      <c r="M58" s="482"/>
      <c r="N58" s="432"/>
      <c r="O58" s="432"/>
      <c r="P58" s="432"/>
    </row>
    <row r="59" spans="1:16">
      <c r="A59" s="192" t="s">
        <v>1316</v>
      </c>
      <c r="B59" s="180"/>
      <c r="C59" s="892" t="s">
        <v>1012</v>
      </c>
      <c r="D59" s="893">
        <v>0</v>
      </c>
      <c r="E59" s="894">
        <v>1</v>
      </c>
      <c r="F59" s="895">
        <v>1</v>
      </c>
      <c r="G59" s="896">
        <v>1</v>
      </c>
      <c r="H59" s="628">
        <v>1</v>
      </c>
      <c r="I59" s="189">
        <f t="shared" si="2"/>
        <v>0</v>
      </c>
      <c r="J59" s="186"/>
      <c r="K59" s="180"/>
      <c r="L59" s="180"/>
      <c r="M59" s="482"/>
      <c r="N59" s="432"/>
      <c r="O59" s="432"/>
      <c r="P59" s="432"/>
    </row>
    <row r="60" spans="1:16">
      <c r="A60" s="192" t="s">
        <v>1317</v>
      </c>
      <c r="B60" s="180"/>
      <c r="C60" s="892"/>
      <c r="D60" s="893"/>
      <c r="E60" s="894"/>
      <c r="F60" s="895"/>
      <c r="G60" s="896"/>
      <c r="H60" s="628"/>
      <c r="I60" s="189">
        <f t="shared" si="2"/>
        <v>0</v>
      </c>
      <c r="J60" s="186"/>
      <c r="K60" s="180"/>
      <c r="L60" s="180"/>
      <c r="M60" s="482"/>
      <c r="N60" s="432"/>
      <c r="O60" s="432"/>
      <c r="P60" s="432"/>
    </row>
    <row r="61" spans="1:16">
      <c r="A61" s="192" t="s">
        <v>1318</v>
      </c>
      <c r="B61" s="180"/>
      <c r="C61" s="892"/>
      <c r="D61" s="893"/>
      <c r="E61" s="894"/>
      <c r="F61" s="895"/>
      <c r="G61" s="896"/>
      <c r="H61" s="628"/>
      <c r="I61" s="189">
        <f t="shared" si="2"/>
        <v>0</v>
      </c>
      <c r="J61" s="186"/>
      <c r="K61" s="180"/>
      <c r="L61" s="180"/>
      <c r="M61" s="482"/>
      <c r="N61" s="432"/>
      <c r="O61" s="432"/>
      <c r="P61" s="432"/>
    </row>
    <row r="62" spans="1:16">
      <c r="A62" s="192" t="s">
        <v>1319</v>
      </c>
      <c r="B62" s="180"/>
      <c r="C62" s="892"/>
      <c r="D62" s="893"/>
      <c r="E62" s="894"/>
      <c r="F62" s="895"/>
      <c r="G62" s="896"/>
      <c r="H62" s="628"/>
      <c r="I62" s="189">
        <f t="shared" si="2"/>
        <v>0</v>
      </c>
      <c r="J62" s="186"/>
      <c r="K62" s="180"/>
      <c r="L62" s="180"/>
      <c r="M62" s="482"/>
      <c r="N62" s="432"/>
      <c r="O62" s="432"/>
      <c r="P62" s="432"/>
    </row>
    <row r="63" spans="1:16">
      <c r="A63" s="192" t="s">
        <v>1320</v>
      </c>
      <c r="B63" s="180"/>
      <c r="C63" s="892"/>
      <c r="D63" s="893"/>
      <c r="E63" s="894"/>
      <c r="F63" s="895"/>
      <c r="G63" s="896"/>
      <c r="H63" s="628"/>
      <c r="I63" s="189">
        <f t="shared" si="2"/>
        <v>0</v>
      </c>
      <c r="J63" s="186"/>
      <c r="K63" s="180"/>
      <c r="L63" s="180"/>
      <c r="M63" s="482"/>
      <c r="N63" s="432"/>
      <c r="O63" s="432"/>
      <c r="P63" s="432"/>
    </row>
    <row r="64" spans="1:16">
      <c r="A64" s="192" t="s">
        <v>1321</v>
      </c>
      <c r="B64" s="180"/>
      <c r="C64" s="892"/>
      <c r="D64" s="893"/>
      <c r="E64" s="894"/>
      <c r="F64" s="895"/>
      <c r="G64" s="896"/>
      <c r="H64" s="628"/>
      <c r="I64" s="189">
        <f t="shared" si="2"/>
        <v>0</v>
      </c>
      <c r="J64" s="186"/>
      <c r="K64" s="180"/>
      <c r="L64" s="180"/>
      <c r="M64" s="482"/>
      <c r="N64" s="432"/>
      <c r="O64" s="432"/>
      <c r="P64" s="432"/>
    </row>
    <row r="65" spans="1:16">
      <c r="A65" s="192" t="s">
        <v>1322</v>
      </c>
      <c r="B65" s="180"/>
      <c r="C65" s="892"/>
      <c r="D65" s="893"/>
      <c r="E65" s="894"/>
      <c r="F65" s="895"/>
      <c r="G65" s="896"/>
      <c r="H65" s="628"/>
      <c r="I65" s="189">
        <f t="shared" si="2"/>
        <v>0</v>
      </c>
      <c r="J65" s="186"/>
      <c r="K65" s="180"/>
      <c r="L65" s="180"/>
      <c r="M65" s="482"/>
      <c r="N65" s="432"/>
      <c r="O65" s="432"/>
      <c r="P65" s="432"/>
    </row>
    <row r="66" spans="1:16">
      <c r="A66" s="192"/>
      <c r="B66" s="180"/>
      <c r="C66" s="892"/>
      <c r="D66" s="852"/>
      <c r="E66" s="893"/>
      <c r="F66" s="897"/>
      <c r="G66" s="897"/>
      <c r="H66" s="39"/>
      <c r="I66" s="189">
        <f t="shared" si="2"/>
        <v>0</v>
      </c>
      <c r="J66" s="186"/>
      <c r="K66" s="180"/>
      <c r="L66" s="180"/>
      <c r="M66" s="482"/>
      <c r="N66" s="432"/>
      <c r="O66" s="432"/>
      <c r="P66" s="432"/>
    </row>
    <row r="67" spans="1:16">
      <c r="A67" s="192" t="s">
        <v>1255</v>
      </c>
      <c r="B67" s="180"/>
      <c r="C67" s="898" t="s">
        <v>312</v>
      </c>
      <c r="D67" s="899">
        <v>0</v>
      </c>
      <c r="E67" s="900">
        <v>0</v>
      </c>
      <c r="F67" s="901"/>
      <c r="G67" s="901"/>
      <c r="H67" s="483"/>
      <c r="I67" s="190">
        <f>+H67*E67*D67</f>
        <v>0</v>
      </c>
      <c r="J67" s="186"/>
      <c r="K67" s="180"/>
      <c r="L67" s="180"/>
      <c r="M67" s="482"/>
      <c r="N67" s="432"/>
      <c r="O67" s="432"/>
      <c r="P67" s="432"/>
    </row>
    <row r="68" spans="1:16">
      <c r="A68" s="192">
        <v>31</v>
      </c>
      <c r="B68" s="180"/>
      <c r="C68" s="186" t="s">
        <v>13</v>
      </c>
      <c r="D68" s="191">
        <f>SUM(D53:D67)</f>
        <v>-32627014.50128882</v>
      </c>
      <c r="E68" s="74"/>
      <c r="F68" s="432"/>
      <c r="G68" s="432"/>
      <c r="H68" s="74"/>
      <c r="I68" s="189">
        <f>SUM(I53:I67)</f>
        <v>-3223751.7803349737</v>
      </c>
      <c r="J68" s="186"/>
      <c r="K68" s="180"/>
      <c r="L68" s="180"/>
      <c r="M68" s="482"/>
      <c r="N68" s="432"/>
      <c r="O68" s="432"/>
      <c r="P68" s="432"/>
    </row>
    <row r="69" spans="1:16">
      <c r="A69" s="484"/>
      <c r="B69" s="485"/>
      <c r="C69" s="486"/>
      <c r="D69" s="486"/>
      <c r="E69" s="486"/>
      <c r="F69" s="486"/>
      <c r="G69" s="486"/>
      <c r="I69" s="180"/>
      <c r="J69" s="180"/>
      <c r="K69" s="180"/>
    </row>
    <row r="70" spans="1:16">
      <c r="A70" s="484"/>
      <c r="B70" s="485"/>
      <c r="C70" s="486"/>
      <c r="D70" s="486"/>
      <c r="E70" s="486"/>
      <c r="F70" s="486"/>
      <c r="G70" s="486"/>
      <c r="L70" s="432"/>
      <c r="M70" s="432"/>
      <c r="N70" s="432"/>
      <c r="O70" s="432"/>
      <c r="P70" s="432"/>
    </row>
    <row r="71" spans="1:16">
      <c r="A71" s="484"/>
      <c r="B71" s="485"/>
      <c r="C71" s="486"/>
      <c r="D71" s="486"/>
      <c r="E71" s="486"/>
      <c r="F71" s="486"/>
      <c r="G71" s="486"/>
      <c r="L71" s="432"/>
      <c r="M71" s="432"/>
      <c r="N71" s="432"/>
      <c r="O71" s="432"/>
      <c r="P71" s="432"/>
    </row>
    <row r="72" spans="1:16">
      <c r="A72" s="192" t="s">
        <v>188</v>
      </c>
    </row>
    <row r="73" spans="1:16" ht="12.75" customHeight="1">
      <c r="A73" s="192" t="s">
        <v>62</v>
      </c>
      <c r="B73" s="999" t="s">
        <v>360</v>
      </c>
      <c r="C73" s="999"/>
      <c r="D73" s="999"/>
      <c r="E73" s="999"/>
      <c r="F73" s="999"/>
      <c r="G73" s="999"/>
      <c r="H73" s="999"/>
      <c r="I73" s="999"/>
      <c r="J73" s="999"/>
      <c r="K73" s="999"/>
    </row>
    <row r="74" spans="1:16" ht="12.75" customHeight="1">
      <c r="A74" s="192" t="s">
        <v>63</v>
      </c>
      <c r="B74" s="999" t="s">
        <v>421</v>
      </c>
      <c r="C74" s="999"/>
      <c r="D74" s="999"/>
      <c r="E74" s="999"/>
      <c r="F74" s="999"/>
      <c r="G74" s="999"/>
      <c r="H74" s="999"/>
      <c r="I74" s="999"/>
      <c r="J74" s="999"/>
      <c r="K74" s="999"/>
      <c r="L74" s="364"/>
    </row>
    <row r="75" spans="1:16" ht="12.75" customHeight="1">
      <c r="A75" s="192" t="s">
        <v>64</v>
      </c>
      <c r="B75" s="115" t="s">
        <v>422</v>
      </c>
      <c r="C75" s="211"/>
      <c r="D75" s="211"/>
      <c r="E75" s="211"/>
      <c r="F75" s="211"/>
      <c r="G75" s="211"/>
      <c r="H75" s="211"/>
      <c r="I75" s="211"/>
      <c r="J75" s="211"/>
      <c r="K75" s="211"/>
    </row>
    <row r="76" spans="1:16">
      <c r="A76" s="192"/>
      <c r="B76" s="212" t="s">
        <v>707</v>
      </c>
      <c r="C76" s="626"/>
      <c r="D76" s="626"/>
      <c r="E76" s="626"/>
      <c r="F76" s="626"/>
      <c r="G76" s="626"/>
      <c r="H76" s="626"/>
      <c r="I76" s="626"/>
      <c r="J76" s="626"/>
      <c r="K76" s="626"/>
    </row>
    <row r="77" spans="1:16">
      <c r="A77" s="192"/>
      <c r="B77" s="212" t="s">
        <v>708</v>
      </c>
      <c r="C77" s="626"/>
      <c r="D77" s="626"/>
      <c r="E77" s="626"/>
      <c r="F77" s="626"/>
      <c r="G77" s="626"/>
      <c r="H77" s="626"/>
      <c r="I77" s="626"/>
      <c r="J77" s="626"/>
      <c r="K77" s="626"/>
    </row>
    <row r="78" spans="1:16" ht="12.75" customHeight="1">
      <c r="A78" s="192" t="s">
        <v>65</v>
      </c>
      <c r="B78" s="115" t="s">
        <v>1277</v>
      </c>
    </row>
    <row r="79" spans="1:16" ht="24" customHeight="1">
      <c r="A79" s="201" t="s">
        <v>66</v>
      </c>
      <c r="B79" s="1021" t="s">
        <v>474</v>
      </c>
      <c r="C79" s="1021"/>
      <c r="D79" s="1021"/>
      <c r="E79" s="1021"/>
      <c r="F79" s="1021"/>
      <c r="G79" s="1021"/>
      <c r="H79" s="1021"/>
      <c r="I79" s="1021"/>
      <c r="J79" s="1021"/>
      <c r="K79" s="625"/>
    </row>
    <row r="80" spans="1:16" ht="12.75" customHeight="1">
      <c r="A80" s="192" t="s">
        <v>67</v>
      </c>
      <c r="B80" s="1022" t="s">
        <v>361</v>
      </c>
      <c r="C80" s="1022"/>
      <c r="D80" s="1022"/>
      <c r="E80" s="1022"/>
      <c r="F80" s="1022"/>
      <c r="G80" s="1022"/>
      <c r="H80" s="1022"/>
      <c r="I80" s="1022"/>
      <c r="J80" s="1022"/>
      <c r="K80" s="1022"/>
    </row>
    <row r="81" spans="1:11" ht="43.5" customHeight="1">
      <c r="A81" s="201" t="s">
        <v>68</v>
      </c>
      <c r="B81" s="1021" t="s">
        <v>423</v>
      </c>
      <c r="C81" s="1021"/>
      <c r="D81" s="1021"/>
      <c r="E81" s="1021"/>
      <c r="F81" s="1021"/>
      <c r="G81" s="1021"/>
      <c r="H81" s="1021"/>
      <c r="I81" s="1021"/>
      <c r="J81" s="1021"/>
      <c r="K81" s="625"/>
    </row>
    <row r="82" spans="1:11">
      <c r="A82" s="192" t="s">
        <v>69</v>
      </c>
      <c r="B82" s="213" t="s">
        <v>458</v>
      </c>
    </row>
    <row r="83" spans="1:11">
      <c r="A83" s="192" t="s">
        <v>70</v>
      </c>
      <c r="B83" s="115" t="s">
        <v>487</v>
      </c>
    </row>
    <row r="84" spans="1:11">
      <c r="A84" s="192" t="s">
        <v>71</v>
      </c>
      <c r="B84" s="115" t="s">
        <v>1270</v>
      </c>
    </row>
    <row r="85" spans="1:11" ht="42.6" customHeight="1">
      <c r="A85" s="192" t="s">
        <v>104</v>
      </c>
      <c r="B85" s="1021" t="s">
        <v>1271</v>
      </c>
      <c r="C85" s="1021"/>
      <c r="D85" s="1021"/>
      <c r="E85" s="1021"/>
      <c r="F85" s="1021"/>
      <c r="G85" s="1021"/>
      <c r="H85" s="1021"/>
      <c r="I85" s="1021"/>
      <c r="J85" s="1021"/>
    </row>
  </sheetData>
  <sheetProtection algorithmName="SHA-512" hashValue="BBtqikI9DoHn3wap26sfXH7NB0UVzkF0LOepLSsKiko2MQYfNpqJlDjQzGkzg1UHxp0oo3jjAiCycHgiUqEoTQ==" saltValue="FE8dv1JQFZHdFchHpJlBsg==" spinCount="100000" sheet="1" objects="1" scenarios="1"/>
  <customSheetViews>
    <customSheetView guid="{F04A2B9A-C6FE-4FEB-AD1E-2CF9AC309BE4}" scale="85" showPageBreaks="1" printArea="1">
      <selection activeCell="E6" sqref="E6"/>
      <pageMargins left="0.7" right="0.7" top="0.75" bottom="0.75" header="0.3" footer="0.3"/>
      <pageSetup scale="55" orientation="landscape" r:id="rId1"/>
    </customSheetView>
  </customSheetViews>
  <mergeCells count="10">
    <mergeCell ref="B85:J85"/>
    <mergeCell ref="B74:K74"/>
    <mergeCell ref="B79:J79"/>
    <mergeCell ref="B80:K80"/>
    <mergeCell ref="B81:J81"/>
    <mergeCell ref="J6:L6"/>
    <mergeCell ref="C6:E6"/>
    <mergeCell ref="C26:I26"/>
    <mergeCell ref="E45:H45"/>
    <mergeCell ref="B73:K73"/>
  </mergeCells>
  <phoneticPr fontId="0" type="noConversion"/>
  <pageMargins left="0.25" right="0.25" top="0.75" bottom="0.75" header="0.3" footer="0.3"/>
  <pageSetup scale="51" fitToHeight="0" orientation="landscape" r:id="rId2"/>
  <rowBreaks count="1" manualBreakCount="1">
    <brk id="45"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100"/>
  <sheetViews>
    <sheetView zoomScale="70" zoomScaleNormal="70" zoomScaleSheetLayoutView="70" workbookViewId="0"/>
  </sheetViews>
  <sheetFormatPr defaultColWidth="8.90625" defaultRowHeight="14.4"/>
  <cols>
    <col min="1" max="1" width="8.90625" style="490"/>
    <col min="2" max="2" width="9.90625" style="257" customWidth="1"/>
    <col min="3" max="3" width="19" style="257" customWidth="1"/>
    <col min="4" max="4" width="8.90625" style="728"/>
    <col min="5" max="5" width="13.90625" style="257" customWidth="1"/>
    <col min="6" max="6" width="16.453125" style="257" customWidth="1"/>
    <col min="7" max="7" width="12.54296875" style="257" customWidth="1"/>
    <col min="8" max="8" width="12.6328125" style="257" customWidth="1"/>
    <col min="9" max="9" width="11.81640625" style="257" customWidth="1"/>
    <col min="10" max="10" width="13.1796875" style="257" customWidth="1"/>
    <col min="11" max="11" width="11.6328125" style="257" bestFit="1" customWidth="1"/>
    <col min="12" max="12" width="17.36328125" style="257" customWidth="1"/>
    <col min="13" max="13" width="13.08984375" style="257" customWidth="1"/>
    <col min="14" max="14" width="11.90625" style="257" bestFit="1" customWidth="1"/>
    <col min="15" max="15" width="19.6328125" style="241" customWidth="1"/>
    <col min="16" max="18" width="8.90625" style="241"/>
    <col min="19" max="19" width="11" style="241" customWidth="1"/>
    <col min="20" max="29" width="8.90625" style="241"/>
    <col min="30" max="16384" width="8.90625" style="487"/>
  </cols>
  <sheetData>
    <row r="1" spans="1:19" ht="15.6">
      <c r="M1" s="240"/>
    </row>
    <row r="2" spans="1:19" ht="15.6">
      <c r="G2" s="29" t="s">
        <v>1171</v>
      </c>
      <c r="M2" s="240" t="s">
        <v>489</v>
      </c>
    </row>
    <row r="3" spans="1:19" ht="15.6">
      <c r="G3" s="327" t="str">
        <f>'Attachment H-7'!$D$5</f>
        <v>PECO Energy Company</v>
      </c>
      <c r="M3" s="240" t="s">
        <v>454</v>
      </c>
    </row>
    <row r="4" spans="1:19">
      <c r="B4" s="488"/>
      <c r="C4" s="488"/>
      <c r="D4" s="729"/>
      <c r="E4" s="488"/>
      <c r="F4" s="488"/>
      <c r="G4" s="489" t="s">
        <v>490</v>
      </c>
      <c r="H4" s="488"/>
      <c r="I4" s="488"/>
      <c r="J4" s="488"/>
      <c r="K4" s="488"/>
      <c r="L4" s="488"/>
      <c r="M4" s="488"/>
    </row>
    <row r="5" spans="1:19" ht="15.6">
      <c r="E5" s="490"/>
      <c r="F5" s="490"/>
      <c r="G5" s="490"/>
      <c r="H5" s="490"/>
      <c r="I5" s="490"/>
      <c r="J5" s="490"/>
      <c r="K5" s="490"/>
      <c r="L5" s="490"/>
      <c r="M5" s="240" t="s">
        <v>1354</v>
      </c>
    </row>
    <row r="6" spans="1:19">
      <c r="E6" s="490"/>
      <c r="F6" s="490"/>
      <c r="G6" s="490"/>
      <c r="H6" s="490"/>
      <c r="I6" s="490"/>
      <c r="J6" s="490"/>
      <c r="K6" s="490"/>
      <c r="L6" s="490"/>
    </row>
    <row r="7" spans="1:19">
      <c r="A7" s="856" t="s">
        <v>491</v>
      </c>
      <c r="E7" s="490"/>
      <c r="F7" s="490"/>
      <c r="G7" s="490"/>
      <c r="H7" s="490"/>
      <c r="I7" s="490"/>
      <c r="J7" s="490"/>
      <c r="K7" s="490"/>
      <c r="L7" s="490"/>
    </row>
    <row r="8" spans="1:19">
      <c r="E8" s="490"/>
      <c r="F8" s="490"/>
      <c r="G8" s="490"/>
      <c r="H8" s="490"/>
      <c r="I8" s="490"/>
      <c r="J8" s="490"/>
      <c r="K8" s="490"/>
      <c r="L8" s="490"/>
    </row>
    <row r="9" spans="1:19">
      <c r="B9" s="257" t="s">
        <v>205</v>
      </c>
      <c r="C9" s="257" t="s">
        <v>206</v>
      </c>
      <c r="D9" s="728" t="s">
        <v>207</v>
      </c>
      <c r="E9" s="490" t="s">
        <v>208</v>
      </c>
      <c r="F9" s="490" t="s">
        <v>210</v>
      </c>
      <c r="G9" s="490" t="s">
        <v>209</v>
      </c>
      <c r="H9" s="490" t="s">
        <v>211</v>
      </c>
      <c r="I9" s="490" t="s">
        <v>1279</v>
      </c>
      <c r="J9" s="490" t="s">
        <v>213</v>
      </c>
      <c r="K9" s="490" t="s">
        <v>255</v>
      </c>
      <c r="L9" s="490" t="s">
        <v>259</v>
      </c>
      <c r="M9" s="490" t="s">
        <v>492</v>
      </c>
    </row>
    <row r="10" spans="1:19">
      <c r="B10" s="490" t="s">
        <v>493</v>
      </c>
      <c r="C10" s="257" t="s">
        <v>173</v>
      </c>
      <c r="D10" s="728" t="s">
        <v>79</v>
      </c>
      <c r="E10" s="490" t="s">
        <v>494</v>
      </c>
      <c r="F10" s="490" t="s">
        <v>495</v>
      </c>
      <c r="G10" s="492">
        <v>1</v>
      </c>
      <c r="H10" s="490" t="s">
        <v>496</v>
      </c>
      <c r="I10" s="490" t="s">
        <v>497</v>
      </c>
      <c r="J10" s="490" t="s">
        <v>1257</v>
      </c>
      <c r="K10" s="490" t="s">
        <v>498</v>
      </c>
      <c r="L10" s="490" t="s">
        <v>499</v>
      </c>
      <c r="M10" s="490" t="s">
        <v>234</v>
      </c>
    </row>
    <row r="11" spans="1:19">
      <c r="B11" s="490" t="s">
        <v>500</v>
      </c>
      <c r="E11" s="490" t="s">
        <v>501</v>
      </c>
      <c r="F11" s="490" t="s">
        <v>502</v>
      </c>
      <c r="G11" s="490" t="s">
        <v>17</v>
      </c>
      <c r="H11" s="492" t="s">
        <v>503</v>
      </c>
      <c r="I11" s="490" t="s">
        <v>504</v>
      </c>
      <c r="J11" s="492" t="s">
        <v>505</v>
      </c>
      <c r="K11" s="490" t="s">
        <v>506</v>
      </c>
      <c r="L11" s="492" t="s">
        <v>507</v>
      </c>
      <c r="M11" s="490" t="s">
        <v>508</v>
      </c>
    </row>
    <row r="12" spans="1:19">
      <c r="B12" s="490" t="s">
        <v>509</v>
      </c>
      <c r="E12" s="490"/>
      <c r="F12" s="490"/>
      <c r="G12" s="490"/>
      <c r="H12" s="242">
        <v>1</v>
      </c>
      <c r="I12" s="490"/>
      <c r="J12" s="357">
        <f>+'Attachment H-7'!G53</f>
        <v>0.19127255078541938</v>
      </c>
      <c r="K12" s="493"/>
      <c r="L12" s="357">
        <f>+'Attachment H-7'!I191</f>
        <v>9.880621410235467E-2</v>
      </c>
      <c r="M12" s="490" t="s">
        <v>510</v>
      </c>
    </row>
    <row r="13" spans="1:19" ht="15.6">
      <c r="B13" s="490" t="s">
        <v>511</v>
      </c>
      <c r="E13" s="490"/>
      <c r="F13" s="490"/>
      <c r="G13" s="490"/>
      <c r="H13" s="243"/>
      <c r="I13" s="490"/>
      <c r="J13" s="490" t="s">
        <v>512</v>
      </c>
      <c r="K13" s="490"/>
      <c r="L13" s="490" t="s">
        <v>512</v>
      </c>
      <c r="M13" s="490"/>
      <c r="O13" s="244"/>
    </row>
    <row r="14" spans="1:19">
      <c r="B14" s="249"/>
      <c r="C14" s="245" t="s">
        <v>513</v>
      </c>
      <c r="E14" s="490"/>
      <c r="F14" s="490"/>
      <c r="G14" s="490"/>
      <c r="H14" s="490"/>
      <c r="I14" s="490"/>
      <c r="J14" s="490" t="s">
        <v>514</v>
      </c>
      <c r="K14" s="490"/>
      <c r="L14" s="490" t="s">
        <v>515</v>
      </c>
      <c r="M14" s="490"/>
    </row>
    <row r="15" spans="1:19" ht="15.6">
      <c r="A15" s="490">
        <v>1</v>
      </c>
      <c r="B15" s="257" t="s">
        <v>516</v>
      </c>
      <c r="C15" s="257" t="s">
        <v>203</v>
      </c>
      <c r="D15" s="902">
        <v>2018</v>
      </c>
      <c r="E15" s="903">
        <v>1</v>
      </c>
      <c r="F15" s="698">
        <v>0</v>
      </c>
      <c r="G15" s="698">
        <f>'4C - ADIT EOY'!E111</f>
        <v>-279795404</v>
      </c>
      <c r="H15" s="699">
        <f t="shared" ref="H15:H27" si="0">+H$12*G15</f>
        <v>-279795404</v>
      </c>
      <c r="I15" s="698">
        <f>'4C - ADIT EOY'!F111</f>
        <v>0</v>
      </c>
      <c r="J15" s="699">
        <f t="shared" ref="J15:J27" si="1">+I15*J$12</f>
        <v>0</v>
      </c>
      <c r="K15" s="698">
        <f>'4C - ADIT EOY'!G111</f>
        <v>-32402074</v>
      </c>
      <c r="L15" s="699">
        <f t="shared" ref="L15:L27" si="2">+K15*L$12</f>
        <v>-3201526.2610043394</v>
      </c>
      <c r="M15" s="698">
        <f t="shared" ref="M15:M27" si="3">(L15+J15+H15)*E15</f>
        <v>-282996930.26100433</v>
      </c>
      <c r="N15" s="494"/>
      <c r="O15" s="247"/>
      <c r="P15" s="247"/>
      <c r="Q15" s="247"/>
      <c r="R15" s="247"/>
      <c r="S15" s="247"/>
    </row>
    <row r="16" spans="1:19" ht="15.6">
      <c r="A16" s="490">
        <v>2</v>
      </c>
      <c r="B16" s="257" t="s">
        <v>517</v>
      </c>
      <c r="C16" s="257" t="s">
        <v>88</v>
      </c>
      <c r="D16" s="902">
        <f>+D15+1</f>
        <v>2019</v>
      </c>
      <c r="E16" s="903">
        <v>0.9178082191780822</v>
      </c>
      <c r="F16" s="699">
        <v>0</v>
      </c>
      <c r="G16" s="904">
        <v>-1044984.8766819848</v>
      </c>
      <c r="H16" s="699">
        <f t="shared" si="0"/>
        <v>-1044984.8766819848</v>
      </c>
      <c r="I16" s="699">
        <v>0</v>
      </c>
      <c r="J16" s="699">
        <f t="shared" si="1"/>
        <v>0</v>
      </c>
      <c r="K16" s="905">
        <v>-323010.71249999997</v>
      </c>
      <c r="L16" s="699">
        <f t="shared" si="2"/>
        <v>-31915.465616629128</v>
      </c>
      <c r="M16" s="698">
        <f t="shared" si="3"/>
        <v>-988387.98539735796</v>
      </c>
      <c r="N16" s="495"/>
      <c r="O16" s="248"/>
      <c r="P16" s="247"/>
      <c r="Q16" s="247"/>
      <c r="R16" s="247"/>
      <c r="S16" s="247"/>
    </row>
    <row r="17" spans="1:19" ht="15.6">
      <c r="A17" s="490">
        <f>+A16+1</f>
        <v>3</v>
      </c>
      <c r="B17" s="257" t="s">
        <v>517</v>
      </c>
      <c r="C17" s="249" t="s">
        <v>87</v>
      </c>
      <c r="D17" s="902">
        <f>+D16</f>
        <v>2019</v>
      </c>
      <c r="E17" s="903">
        <v>0.84109589041095889</v>
      </c>
      <c r="F17" s="699">
        <f>+F16</f>
        <v>0</v>
      </c>
      <c r="G17" s="904">
        <v>-1044984.8766819848</v>
      </c>
      <c r="H17" s="699">
        <f t="shared" si="0"/>
        <v>-1044984.8766819848</v>
      </c>
      <c r="I17" s="699">
        <f>+I16</f>
        <v>0</v>
      </c>
      <c r="J17" s="699">
        <f t="shared" si="1"/>
        <v>0</v>
      </c>
      <c r="K17" s="905">
        <v>-323010.71249999997</v>
      </c>
      <c r="L17" s="699">
        <f t="shared" si="2"/>
        <v>-31915.465616629128</v>
      </c>
      <c r="M17" s="698">
        <f t="shared" si="3"/>
        <v>-905776.45228951902</v>
      </c>
      <c r="N17" s="495"/>
      <c r="O17" s="250"/>
      <c r="P17" s="251"/>
      <c r="Q17" s="252"/>
      <c r="R17" s="252"/>
      <c r="S17" s="252"/>
    </row>
    <row r="18" spans="1:19" ht="15.6">
      <c r="A18" s="490">
        <f t="shared" ref="A18:A30" si="4">+A17+1</f>
        <v>4</v>
      </c>
      <c r="B18" s="257" t="s">
        <v>517</v>
      </c>
      <c r="C18" s="249" t="s">
        <v>86</v>
      </c>
      <c r="D18" s="902">
        <f t="shared" ref="D18:D28" si="5">+D17</f>
        <v>2019</v>
      </c>
      <c r="E18" s="903">
        <v>0.75616438356164384</v>
      </c>
      <c r="F18" s="699">
        <f>+F17</f>
        <v>0</v>
      </c>
      <c r="G18" s="904">
        <v>-1044984.8766819848</v>
      </c>
      <c r="H18" s="699">
        <f t="shared" si="0"/>
        <v>-1044984.8766819848</v>
      </c>
      <c r="I18" s="699">
        <f t="shared" ref="I18:I27" si="6">+I17</f>
        <v>0</v>
      </c>
      <c r="J18" s="699">
        <f t="shared" si="1"/>
        <v>0</v>
      </c>
      <c r="K18" s="905">
        <v>-323010.71249999997</v>
      </c>
      <c r="L18" s="699">
        <f t="shared" si="2"/>
        <v>-31915.465616629128</v>
      </c>
      <c r="M18" s="698">
        <f t="shared" si="3"/>
        <v>-814313.68349155458</v>
      </c>
      <c r="N18" s="495"/>
      <c r="O18" s="251"/>
      <c r="P18" s="253"/>
      <c r="Q18" s="252"/>
      <c r="R18" s="252"/>
      <c r="S18" s="254"/>
    </row>
    <row r="19" spans="1:19" ht="15.6">
      <c r="A19" s="490">
        <f t="shared" si="4"/>
        <v>5</v>
      </c>
      <c r="B19" s="257" t="s">
        <v>517</v>
      </c>
      <c r="C19" s="249" t="s">
        <v>78</v>
      </c>
      <c r="D19" s="902">
        <f t="shared" si="5"/>
        <v>2019</v>
      </c>
      <c r="E19" s="903">
        <v>0.67397260273972603</v>
      </c>
      <c r="F19" s="699">
        <f t="shared" ref="F19:F27" si="7">+F18</f>
        <v>0</v>
      </c>
      <c r="G19" s="904">
        <v>-1044984.8766819848</v>
      </c>
      <c r="H19" s="699">
        <f t="shared" si="0"/>
        <v>-1044984.8766819848</v>
      </c>
      <c r="I19" s="699">
        <f t="shared" si="6"/>
        <v>0</v>
      </c>
      <c r="J19" s="699">
        <f t="shared" si="1"/>
        <v>0</v>
      </c>
      <c r="K19" s="905">
        <v>-323010.71249999997</v>
      </c>
      <c r="L19" s="699">
        <f t="shared" si="2"/>
        <v>-31915.465616629128</v>
      </c>
      <c r="M19" s="698">
        <f t="shared" si="3"/>
        <v>-725801.32659029868</v>
      </c>
      <c r="N19" s="495"/>
      <c r="O19" s="251"/>
      <c r="P19" s="253"/>
      <c r="Q19" s="252"/>
      <c r="R19" s="252"/>
      <c r="S19" s="254"/>
    </row>
    <row r="20" spans="1:19" ht="15.6">
      <c r="A20" s="490">
        <f t="shared" si="4"/>
        <v>6</v>
      </c>
      <c r="B20" s="257" t="s">
        <v>517</v>
      </c>
      <c r="C20" s="249" t="s">
        <v>77</v>
      </c>
      <c r="D20" s="902">
        <f t="shared" si="5"/>
        <v>2019</v>
      </c>
      <c r="E20" s="903">
        <v>0.58904109589041098</v>
      </c>
      <c r="F20" s="699">
        <f t="shared" si="7"/>
        <v>0</v>
      </c>
      <c r="G20" s="904">
        <v>-1044984.8766819848</v>
      </c>
      <c r="H20" s="699">
        <f t="shared" si="0"/>
        <v>-1044984.8766819848</v>
      </c>
      <c r="I20" s="699">
        <f t="shared" si="6"/>
        <v>0</v>
      </c>
      <c r="J20" s="699">
        <f t="shared" si="1"/>
        <v>0</v>
      </c>
      <c r="K20" s="905">
        <v>-323010.71249999997</v>
      </c>
      <c r="L20" s="699">
        <f t="shared" si="2"/>
        <v>-31915.465616629128</v>
      </c>
      <c r="M20" s="698">
        <f t="shared" si="3"/>
        <v>-634338.55779233424</v>
      </c>
      <c r="N20" s="495"/>
      <c r="O20" s="251"/>
      <c r="P20" s="253"/>
      <c r="Q20" s="252"/>
      <c r="R20" s="252"/>
      <c r="S20" s="254"/>
    </row>
    <row r="21" spans="1:19" ht="15.6">
      <c r="A21" s="490">
        <f t="shared" si="4"/>
        <v>7</v>
      </c>
      <c r="B21" s="257" t="s">
        <v>517</v>
      </c>
      <c r="C21" s="249" t="s">
        <v>97</v>
      </c>
      <c r="D21" s="902">
        <f t="shared" si="5"/>
        <v>2019</v>
      </c>
      <c r="E21" s="903">
        <v>0.50684931506849318</v>
      </c>
      <c r="F21" s="699">
        <f t="shared" si="7"/>
        <v>0</v>
      </c>
      <c r="G21" s="904">
        <v>-1044984.8766819848</v>
      </c>
      <c r="H21" s="699">
        <f t="shared" si="0"/>
        <v>-1044984.8766819848</v>
      </c>
      <c r="I21" s="699">
        <f t="shared" si="6"/>
        <v>0</v>
      </c>
      <c r="J21" s="699">
        <f t="shared" si="1"/>
        <v>0</v>
      </c>
      <c r="K21" s="905">
        <v>-323010.71249999997</v>
      </c>
      <c r="L21" s="699">
        <f t="shared" si="2"/>
        <v>-31915.465616629128</v>
      </c>
      <c r="M21" s="698">
        <f t="shared" si="3"/>
        <v>-545826.20089107833</v>
      </c>
      <c r="N21" s="495"/>
      <c r="O21" s="251"/>
      <c r="P21" s="253"/>
      <c r="Q21" s="252"/>
      <c r="R21" s="252"/>
      <c r="S21" s="254"/>
    </row>
    <row r="22" spans="1:19" ht="15.6">
      <c r="A22" s="490">
        <f t="shared" si="4"/>
        <v>8</v>
      </c>
      <c r="B22" s="257" t="s">
        <v>517</v>
      </c>
      <c r="C22" s="249" t="s">
        <v>85</v>
      </c>
      <c r="D22" s="902">
        <f t="shared" si="5"/>
        <v>2019</v>
      </c>
      <c r="E22" s="903">
        <v>0.42191780821917807</v>
      </c>
      <c r="F22" s="699">
        <f t="shared" si="7"/>
        <v>0</v>
      </c>
      <c r="G22" s="904">
        <v>-1044984.8766819848</v>
      </c>
      <c r="H22" s="699">
        <f t="shared" si="0"/>
        <v>-1044984.8766819848</v>
      </c>
      <c r="I22" s="699">
        <f t="shared" si="6"/>
        <v>0</v>
      </c>
      <c r="J22" s="699">
        <f t="shared" si="1"/>
        <v>0</v>
      </c>
      <c r="K22" s="905">
        <v>-323010.71249999997</v>
      </c>
      <c r="L22" s="699">
        <f t="shared" si="2"/>
        <v>-31915.465616629128</v>
      </c>
      <c r="M22" s="698">
        <f t="shared" si="3"/>
        <v>-454363.43209311378</v>
      </c>
      <c r="N22" s="495"/>
      <c r="O22" s="251"/>
      <c r="P22" s="253"/>
      <c r="Q22" s="252"/>
      <c r="R22" s="252"/>
      <c r="S22" s="254"/>
    </row>
    <row r="23" spans="1:19" ht="15.6">
      <c r="A23" s="490">
        <f t="shared" si="4"/>
        <v>9</v>
      </c>
      <c r="B23" s="257" t="s">
        <v>517</v>
      </c>
      <c r="C23" s="249" t="s">
        <v>84</v>
      </c>
      <c r="D23" s="902">
        <f t="shared" si="5"/>
        <v>2019</v>
      </c>
      <c r="E23" s="903">
        <v>0.33698630136986302</v>
      </c>
      <c r="F23" s="699">
        <f t="shared" si="7"/>
        <v>0</v>
      </c>
      <c r="G23" s="904">
        <v>-1044984.8766819848</v>
      </c>
      <c r="H23" s="699">
        <f t="shared" si="0"/>
        <v>-1044984.8766819848</v>
      </c>
      <c r="I23" s="699">
        <f t="shared" si="6"/>
        <v>0</v>
      </c>
      <c r="J23" s="699">
        <f t="shared" si="1"/>
        <v>0</v>
      </c>
      <c r="K23" s="905">
        <v>-323010.71249999997</v>
      </c>
      <c r="L23" s="699">
        <f t="shared" si="2"/>
        <v>-31915.465616629128</v>
      </c>
      <c r="M23" s="698">
        <f t="shared" si="3"/>
        <v>-362900.66329514934</v>
      </c>
      <c r="N23" s="495"/>
      <c r="O23" s="251"/>
      <c r="P23" s="253"/>
      <c r="Q23" s="252"/>
      <c r="R23" s="252"/>
      <c r="S23" s="254"/>
    </row>
    <row r="24" spans="1:19" ht="15.6">
      <c r="A24" s="490">
        <f t="shared" si="4"/>
        <v>10</v>
      </c>
      <c r="B24" s="257" t="s">
        <v>517</v>
      </c>
      <c r="C24" s="249" t="s">
        <v>83</v>
      </c>
      <c r="D24" s="902">
        <f t="shared" si="5"/>
        <v>2019</v>
      </c>
      <c r="E24" s="903">
        <v>0.25479452054794521</v>
      </c>
      <c r="F24" s="699">
        <f t="shared" si="7"/>
        <v>0</v>
      </c>
      <c r="G24" s="904">
        <v>-1044984.8766819848</v>
      </c>
      <c r="H24" s="699">
        <f t="shared" si="0"/>
        <v>-1044984.8766819848</v>
      </c>
      <c r="I24" s="699">
        <f t="shared" si="6"/>
        <v>0</v>
      </c>
      <c r="J24" s="699">
        <f t="shared" si="1"/>
        <v>0</v>
      </c>
      <c r="K24" s="905">
        <v>-323010.71249999997</v>
      </c>
      <c r="L24" s="699">
        <f t="shared" si="2"/>
        <v>-31915.465616629128</v>
      </c>
      <c r="M24" s="698">
        <f t="shared" si="3"/>
        <v>-274388.30639389338</v>
      </c>
      <c r="N24" s="495"/>
      <c r="O24" s="251"/>
      <c r="P24" s="253"/>
      <c r="Q24" s="252"/>
      <c r="R24" s="252"/>
      <c r="S24" s="254"/>
    </row>
    <row r="25" spans="1:19" ht="15.6">
      <c r="A25" s="490">
        <f t="shared" si="4"/>
        <v>11</v>
      </c>
      <c r="B25" s="257" t="s">
        <v>517</v>
      </c>
      <c r="C25" s="249" t="s">
        <v>89</v>
      </c>
      <c r="D25" s="902">
        <f t="shared" si="5"/>
        <v>2019</v>
      </c>
      <c r="E25" s="903">
        <v>0.16986301369863013</v>
      </c>
      <c r="F25" s="699">
        <f t="shared" si="7"/>
        <v>0</v>
      </c>
      <c r="G25" s="904">
        <v>-1044984.8766819848</v>
      </c>
      <c r="H25" s="699">
        <f t="shared" si="0"/>
        <v>-1044984.8766819848</v>
      </c>
      <c r="I25" s="699">
        <f t="shared" si="6"/>
        <v>0</v>
      </c>
      <c r="J25" s="699">
        <f t="shared" si="1"/>
        <v>0</v>
      </c>
      <c r="K25" s="905">
        <v>-323010.71249999997</v>
      </c>
      <c r="L25" s="699">
        <f t="shared" si="2"/>
        <v>-31915.465616629128</v>
      </c>
      <c r="M25" s="698">
        <f t="shared" si="3"/>
        <v>-182925.53759592894</v>
      </c>
      <c r="N25" s="495"/>
      <c r="O25" s="251"/>
      <c r="P25" s="253"/>
      <c r="Q25" s="252"/>
      <c r="R25" s="252"/>
      <c r="S25" s="254"/>
    </row>
    <row r="26" spans="1:19" ht="15.6">
      <c r="A26" s="490">
        <f t="shared" si="4"/>
        <v>12</v>
      </c>
      <c r="B26" s="257" t="s">
        <v>517</v>
      </c>
      <c r="C26" s="249" t="s">
        <v>82</v>
      </c>
      <c r="D26" s="902">
        <f t="shared" si="5"/>
        <v>2019</v>
      </c>
      <c r="E26" s="903">
        <v>8.7671232876712329E-2</v>
      </c>
      <c r="F26" s="699">
        <f t="shared" si="7"/>
        <v>0</v>
      </c>
      <c r="G26" s="904">
        <v>-1044984.8766819848</v>
      </c>
      <c r="H26" s="699">
        <f t="shared" si="0"/>
        <v>-1044984.8766819848</v>
      </c>
      <c r="I26" s="699">
        <f t="shared" si="6"/>
        <v>0</v>
      </c>
      <c r="J26" s="699">
        <f t="shared" si="1"/>
        <v>0</v>
      </c>
      <c r="K26" s="905">
        <v>-323010.71249999997</v>
      </c>
      <c r="L26" s="699">
        <f t="shared" si="2"/>
        <v>-31915.465616629128</v>
      </c>
      <c r="M26" s="698">
        <f t="shared" si="3"/>
        <v>-94413.180694672992</v>
      </c>
      <c r="N26" s="495"/>
      <c r="O26" s="251"/>
      <c r="P26" s="253"/>
      <c r="Q26" s="252"/>
      <c r="R26" s="252"/>
      <c r="S26" s="254"/>
    </row>
    <row r="27" spans="1:19" ht="15.6">
      <c r="A27" s="490">
        <f t="shared" si="4"/>
        <v>13</v>
      </c>
      <c r="B27" s="257" t="s">
        <v>517</v>
      </c>
      <c r="C27" s="257" t="str">
        <f>+C15</f>
        <v xml:space="preserve">December </v>
      </c>
      <c r="D27" s="902">
        <f t="shared" si="5"/>
        <v>2019</v>
      </c>
      <c r="E27" s="903">
        <v>2.7397260273972603E-3</v>
      </c>
      <c r="F27" s="699">
        <f t="shared" si="7"/>
        <v>0</v>
      </c>
      <c r="G27" s="904">
        <v>-1044984.8766819848</v>
      </c>
      <c r="H27" s="699">
        <f t="shared" si="0"/>
        <v>-1044984.8766819848</v>
      </c>
      <c r="I27" s="699">
        <f t="shared" si="6"/>
        <v>0</v>
      </c>
      <c r="J27" s="699">
        <f t="shared" si="1"/>
        <v>0</v>
      </c>
      <c r="K27" s="905">
        <v>-323010.71249999997</v>
      </c>
      <c r="L27" s="699">
        <f t="shared" si="2"/>
        <v>-31915.465616629128</v>
      </c>
      <c r="M27" s="698">
        <f t="shared" si="3"/>
        <v>-2950.411896708531</v>
      </c>
      <c r="N27" s="495"/>
      <c r="O27" s="251"/>
      <c r="P27" s="253"/>
      <c r="Q27" s="252"/>
      <c r="R27" s="252"/>
      <c r="S27" s="254"/>
    </row>
    <row r="28" spans="1:19" ht="15.6">
      <c r="A28" s="490">
        <f t="shared" si="4"/>
        <v>14</v>
      </c>
      <c r="B28" s="257" t="s">
        <v>518</v>
      </c>
      <c r="D28" s="902">
        <f t="shared" si="5"/>
        <v>2019</v>
      </c>
      <c r="E28" s="255" t="s">
        <v>516</v>
      </c>
      <c r="F28" s="246">
        <f>SUM(F15:F27)</f>
        <v>0</v>
      </c>
      <c r="G28" s="246">
        <f>SUM(G15:G27)</f>
        <v>-292335222.5201838</v>
      </c>
      <c r="H28" s="246">
        <f>SUM(H15:H27)</f>
        <v>-292335222.5201838</v>
      </c>
      <c r="I28" s="246">
        <f>SUM(I15:I27)</f>
        <v>0</v>
      </c>
      <c r="J28" s="246">
        <f>+J12*I28</f>
        <v>0</v>
      </c>
      <c r="K28" s="246">
        <f>SUM(K15:K27)</f>
        <v>-36278202.549999982</v>
      </c>
      <c r="L28" s="246">
        <f>SUM(L15:L27)</f>
        <v>-3584511.8484038874</v>
      </c>
      <c r="M28" s="246">
        <f>SUM(M15:M27)</f>
        <v>-288983315.99942595</v>
      </c>
      <c r="O28" s="251"/>
      <c r="P28" s="253"/>
      <c r="Q28" s="252"/>
      <c r="R28" s="252"/>
      <c r="S28" s="254"/>
    </row>
    <row r="29" spans="1:19" ht="15.6">
      <c r="A29" s="490">
        <f t="shared" si="4"/>
        <v>15</v>
      </c>
      <c r="B29" s="257" t="s">
        <v>517</v>
      </c>
      <c r="C29" s="257" t="s">
        <v>1060</v>
      </c>
      <c r="D29" s="902">
        <v>2019</v>
      </c>
      <c r="E29" s="255"/>
      <c r="F29" s="255"/>
      <c r="G29" s="904">
        <v>-9117785.7720270213</v>
      </c>
      <c r="H29" s="699">
        <f>G29</f>
        <v>-9117785.7720270213</v>
      </c>
      <c r="I29" s="699"/>
      <c r="J29" s="698"/>
      <c r="K29" s="905"/>
      <c r="L29" s="698">
        <v>0</v>
      </c>
      <c r="M29" s="698">
        <f>H29+J29+L29</f>
        <v>-9117785.7720270213</v>
      </c>
      <c r="O29" s="251"/>
      <c r="P29" s="253"/>
      <c r="Q29" s="252"/>
      <c r="R29" s="252"/>
      <c r="S29" s="254"/>
    </row>
    <row r="30" spans="1:19">
      <c r="A30" s="490">
        <f t="shared" si="4"/>
        <v>16</v>
      </c>
      <c r="B30" s="257" t="s">
        <v>13</v>
      </c>
      <c r="D30" s="730"/>
      <c r="G30" s="727">
        <f>SUM(G28:G29)</f>
        <v>-301453008.29221082</v>
      </c>
      <c r="H30" s="727">
        <f>SUM(H28:H29)</f>
        <v>-301453008.29221082</v>
      </c>
      <c r="I30" s="727"/>
      <c r="J30" s="727"/>
      <c r="K30" s="727">
        <f>SUM(K28:K29)</f>
        <v>-36278202.549999982</v>
      </c>
      <c r="L30" s="727">
        <f>SUM(L28:L29)</f>
        <v>-3584511.8484038874</v>
      </c>
      <c r="M30" s="727">
        <f>SUM(M28:M29)</f>
        <v>-298101101.77145296</v>
      </c>
    </row>
    <row r="31" spans="1:19">
      <c r="B31" s="249"/>
      <c r="C31" s="245" t="s">
        <v>519</v>
      </c>
      <c r="D31" s="730"/>
    </row>
    <row r="32" spans="1:19">
      <c r="A32" s="490">
        <f>A30+1</f>
        <v>17</v>
      </c>
      <c r="B32" s="249" t="s">
        <v>516</v>
      </c>
      <c r="C32" s="249" t="s">
        <v>203</v>
      </c>
      <c r="D32" s="854">
        <f>+D15</f>
        <v>2018</v>
      </c>
      <c r="F32" s="556">
        <v>0</v>
      </c>
      <c r="G32" s="556">
        <f>'4C - ADIT EOY'!E173</f>
        <v>0</v>
      </c>
      <c r="H32" s="556">
        <f>+G32*H12</f>
        <v>0</v>
      </c>
      <c r="I32" s="556">
        <f>'4C - ADIT EOY'!F173</f>
        <v>-5597527.049480346</v>
      </c>
      <c r="J32" s="556">
        <f>+I32*J12</f>
        <v>-1070653.2768444882</v>
      </c>
      <c r="K32" s="556">
        <f>'4C - ADIT EOY'!G173</f>
        <v>-107696384.83756882</v>
      </c>
      <c r="L32" s="556">
        <f>+K32*L12</f>
        <v>-10641072.058310408</v>
      </c>
      <c r="M32" s="558">
        <f>+L32+J32+H32</f>
        <v>-11711725.335154897</v>
      </c>
    </row>
    <row r="33" spans="1:19">
      <c r="A33" s="490">
        <f t="shared" ref="A33:A34" si="8">+A32+1</f>
        <v>18</v>
      </c>
      <c r="B33" s="249" t="s">
        <v>516</v>
      </c>
      <c r="C33" s="249" t="str">
        <f>+C32</f>
        <v xml:space="preserve">December </v>
      </c>
      <c r="D33" s="854">
        <f>+D32+1</f>
        <v>2019</v>
      </c>
      <c r="F33" s="556">
        <v>0</v>
      </c>
      <c r="G33" s="556">
        <f>G32</f>
        <v>0</v>
      </c>
      <c r="H33" s="556">
        <f>+G33*H12</f>
        <v>0</v>
      </c>
      <c r="I33" s="556">
        <f>I32</f>
        <v>-5597527.049480346</v>
      </c>
      <c r="J33" s="556">
        <f>+I33*J12</f>
        <v>-1070653.2768444882</v>
      </c>
      <c r="K33" s="556">
        <f>K32</f>
        <v>-107696384.83756882</v>
      </c>
      <c r="L33" s="556">
        <f>+K33*L12</f>
        <v>-10641072.058310408</v>
      </c>
      <c r="M33" s="558">
        <f>+L33+J33+H33</f>
        <v>-11711725.335154897</v>
      </c>
    </row>
    <row r="34" spans="1:19">
      <c r="A34" s="490">
        <f t="shared" si="8"/>
        <v>19</v>
      </c>
      <c r="B34" s="249"/>
      <c r="C34" s="249" t="s">
        <v>520</v>
      </c>
      <c r="D34" s="730"/>
      <c r="F34" s="246">
        <f t="shared" ref="F34:L34" si="9">+F32/2+F33/2</f>
        <v>0</v>
      </c>
      <c r="G34" s="246">
        <f t="shared" si="9"/>
        <v>0</v>
      </c>
      <c r="H34" s="246">
        <f t="shared" si="9"/>
        <v>0</v>
      </c>
      <c r="I34" s="246">
        <f t="shared" si="9"/>
        <v>-5597527.049480346</v>
      </c>
      <c r="J34" s="246">
        <f t="shared" si="9"/>
        <v>-1070653.2768444882</v>
      </c>
      <c r="K34" s="246">
        <f t="shared" si="9"/>
        <v>-107696384.83756882</v>
      </c>
      <c r="L34" s="246">
        <f t="shared" si="9"/>
        <v>-10641072.058310408</v>
      </c>
      <c r="M34" s="496">
        <f>+L34+J34+H34</f>
        <v>-11711725.335154897</v>
      </c>
    </row>
    <row r="35" spans="1:19">
      <c r="B35" s="249"/>
      <c r="C35" s="249"/>
      <c r="D35" s="730"/>
      <c r="E35" s="246"/>
      <c r="G35" s="258"/>
      <c r="H35" s="246"/>
      <c r="I35" s="246"/>
      <c r="J35" s="246"/>
      <c r="K35" s="246"/>
    </row>
    <row r="36" spans="1:19">
      <c r="B36" s="249"/>
      <c r="C36" s="249"/>
      <c r="D36" s="730"/>
      <c r="E36" s="246"/>
      <c r="F36" s="246"/>
      <c r="G36" s="246"/>
      <c r="I36" s="258"/>
      <c r="J36" s="246"/>
      <c r="K36" s="246"/>
    </row>
    <row r="37" spans="1:19">
      <c r="B37" s="249"/>
      <c r="C37" s="245" t="s">
        <v>521</v>
      </c>
      <c r="D37" s="730"/>
    </row>
    <row r="38" spans="1:19">
      <c r="A38" s="490">
        <f>A34+1</f>
        <v>20</v>
      </c>
      <c r="B38" s="249" t="s">
        <v>516</v>
      </c>
      <c r="C38" s="249" t="s">
        <v>203</v>
      </c>
      <c r="D38" s="854">
        <f>D32</f>
        <v>2018</v>
      </c>
      <c r="E38" s="487"/>
      <c r="F38" s="246" t="s">
        <v>753</v>
      </c>
      <c r="G38" s="246" t="s">
        <v>753</v>
      </c>
      <c r="H38" s="246" t="s">
        <v>753</v>
      </c>
      <c r="I38" s="246" t="s">
        <v>753</v>
      </c>
      <c r="J38" s="246" t="s">
        <v>753</v>
      </c>
      <c r="K38" s="246" t="s">
        <v>753</v>
      </c>
      <c r="L38" s="246" t="s">
        <v>753</v>
      </c>
      <c r="M38" s="246" t="s">
        <v>753</v>
      </c>
    </row>
    <row r="39" spans="1:19">
      <c r="A39" s="490">
        <f t="shared" ref="A39:A40" si="10">+A38+1</f>
        <v>21</v>
      </c>
      <c r="B39" s="249" t="s">
        <v>516</v>
      </c>
      <c r="C39" s="249" t="str">
        <f>+C38</f>
        <v xml:space="preserve">December </v>
      </c>
      <c r="D39" s="854">
        <f>D33</f>
        <v>2019</v>
      </c>
      <c r="E39" s="487"/>
      <c r="F39" s="246" t="s">
        <v>753</v>
      </c>
      <c r="G39" s="246" t="s">
        <v>753</v>
      </c>
      <c r="H39" s="246" t="s">
        <v>753</v>
      </c>
      <c r="I39" s="246" t="s">
        <v>753</v>
      </c>
      <c r="J39" s="246" t="s">
        <v>753</v>
      </c>
      <c r="K39" s="246" t="s">
        <v>753</v>
      </c>
      <c r="L39" s="246" t="s">
        <v>753</v>
      </c>
      <c r="M39" s="246" t="s">
        <v>753</v>
      </c>
    </row>
    <row r="40" spans="1:19">
      <c r="A40" s="490">
        <f t="shared" si="10"/>
        <v>22</v>
      </c>
      <c r="B40" s="249"/>
      <c r="C40" s="249" t="s">
        <v>520</v>
      </c>
      <c r="D40" s="730"/>
      <c r="E40" s="487"/>
      <c r="F40" s="246" t="s">
        <v>753</v>
      </c>
      <c r="G40" s="246" t="s">
        <v>753</v>
      </c>
      <c r="H40" s="246" t="s">
        <v>753</v>
      </c>
      <c r="I40" s="246" t="s">
        <v>753</v>
      </c>
      <c r="J40" s="246" t="s">
        <v>753</v>
      </c>
      <c r="K40" s="246" t="s">
        <v>753</v>
      </c>
      <c r="L40" s="246" t="s">
        <v>753</v>
      </c>
      <c r="M40" s="246" t="s">
        <v>753</v>
      </c>
    </row>
    <row r="41" spans="1:19">
      <c r="B41" s="249"/>
      <c r="C41" s="249"/>
      <c r="D41" s="730"/>
      <c r="E41" s="246"/>
      <c r="F41" s="246"/>
      <c r="G41" s="246"/>
      <c r="H41" s="246"/>
      <c r="I41" s="246"/>
      <c r="J41" s="246"/>
      <c r="K41" s="246"/>
      <c r="L41" s="496"/>
    </row>
    <row r="42" spans="1:19">
      <c r="B42" s="249"/>
      <c r="C42" s="249"/>
      <c r="D42" s="730"/>
      <c r="E42" s="256"/>
      <c r="F42" s="256"/>
      <c r="G42" s="256"/>
      <c r="H42" s="256"/>
      <c r="I42" s="256"/>
      <c r="J42" s="256"/>
      <c r="K42" s="256"/>
    </row>
    <row r="43" spans="1:19">
      <c r="B43" s="249"/>
      <c r="C43" s="245" t="s">
        <v>522</v>
      </c>
      <c r="D43" s="730"/>
      <c r="E43" s="256"/>
      <c r="F43" s="256"/>
      <c r="G43" s="256"/>
      <c r="H43" s="256"/>
      <c r="I43" s="256"/>
      <c r="J43" s="256"/>
      <c r="K43" s="256"/>
    </row>
    <row r="44" spans="1:19" ht="15.6">
      <c r="A44" s="490">
        <f>+A40+1</f>
        <v>23</v>
      </c>
      <c r="B44" s="257" t="s">
        <v>516</v>
      </c>
      <c r="C44" s="257" t="s">
        <v>203</v>
      </c>
      <c r="D44" s="854">
        <f>D15</f>
        <v>2018</v>
      </c>
      <c r="E44" s="903">
        <v>1</v>
      </c>
      <c r="F44" s="906">
        <v>0</v>
      </c>
      <c r="G44" s="556">
        <f>+'4C - ADIT EOY'!E76</f>
        <v>0</v>
      </c>
      <c r="H44" s="556">
        <f t="shared" ref="H44:H56" si="11">+H$12*G44</f>
        <v>0</v>
      </c>
      <c r="I44" s="556">
        <f>'4C - ADIT EOY'!F76</f>
        <v>14054397.525985844</v>
      </c>
      <c r="J44" s="556">
        <f t="shared" ref="J44:J56" si="12">+I44*J$12</f>
        <v>2688220.4645476001</v>
      </c>
      <c r="K44" s="556">
        <f>'4C - ADIT EOY'!G76</f>
        <v>135033251.59999999</v>
      </c>
      <c r="L44" s="556">
        <f t="shared" ref="L44:L56" si="13">+K44*L$12</f>
        <v>13342124.368526725</v>
      </c>
      <c r="M44" s="557">
        <f>+L44+J44+H44</f>
        <v>16030344.833074326</v>
      </c>
      <c r="N44" s="727"/>
      <c r="O44" s="259"/>
      <c r="P44" s="259"/>
      <c r="Q44" s="259"/>
      <c r="R44" s="259"/>
      <c r="S44" s="259"/>
    </row>
    <row r="45" spans="1:19" ht="15.6">
      <c r="A45" s="490">
        <f>+A44+1</f>
        <v>24</v>
      </c>
      <c r="B45" s="257" t="s">
        <v>517</v>
      </c>
      <c r="C45" s="257" t="s">
        <v>88</v>
      </c>
      <c r="D45" s="854">
        <f>+D44+1</f>
        <v>2019</v>
      </c>
      <c r="E45" s="903">
        <v>0.9178082191780822</v>
      </c>
      <c r="F45" s="906">
        <v>0</v>
      </c>
      <c r="G45" s="906"/>
      <c r="H45" s="556">
        <f t="shared" si="11"/>
        <v>0</v>
      </c>
      <c r="I45" s="906">
        <v>0</v>
      </c>
      <c r="J45" s="556">
        <f t="shared" si="12"/>
        <v>0</v>
      </c>
      <c r="K45" s="907">
        <v>0</v>
      </c>
      <c r="L45" s="556">
        <f t="shared" si="13"/>
        <v>0</v>
      </c>
      <c r="M45" s="557">
        <f t="shared" ref="M45:M55" si="14">(L45+J45+H45)*E45</f>
        <v>0</v>
      </c>
      <c r="N45" s="495"/>
      <c r="O45" s="260"/>
      <c r="P45" s="259"/>
      <c r="Q45" s="259"/>
      <c r="R45" s="259"/>
      <c r="S45" s="260"/>
    </row>
    <row r="46" spans="1:19" ht="15.6">
      <c r="A46" s="490">
        <f t="shared" ref="A46:A56" si="15">+A45+1</f>
        <v>25</v>
      </c>
      <c r="B46" s="257" t="s">
        <v>517</v>
      </c>
      <c r="C46" s="249" t="s">
        <v>87</v>
      </c>
      <c r="D46" s="854">
        <f>+D45</f>
        <v>2019</v>
      </c>
      <c r="E46" s="903">
        <v>0.84109589041095889</v>
      </c>
      <c r="F46" s="906">
        <v>0</v>
      </c>
      <c r="G46" s="906">
        <v>0</v>
      </c>
      <c r="H46" s="556">
        <f t="shared" si="11"/>
        <v>0</v>
      </c>
      <c r="I46" s="906">
        <v>0</v>
      </c>
      <c r="J46" s="556">
        <f t="shared" si="12"/>
        <v>0</v>
      </c>
      <c r="K46" s="907">
        <v>0</v>
      </c>
      <c r="L46" s="556">
        <f t="shared" si="13"/>
        <v>0</v>
      </c>
      <c r="M46" s="557">
        <f t="shared" si="14"/>
        <v>0</v>
      </c>
      <c r="N46" s="495"/>
      <c r="O46" s="260"/>
      <c r="P46" s="259"/>
      <c r="Q46" s="259"/>
      <c r="R46" s="259"/>
      <c r="S46" s="260"/>
    </row>
    <row r="47" spans="1:19" ht="15.6">
      <c r="A47" s="490">
        <f t="shared" si="15"/>
        <v>26</v>
      </c>
      <c r="B47" s="257" t="s">
        <v>517</v>
      </c>
      <c r="C47" s="249" t="s">
        <v>86</v>
      </c>
      <c r="D47" s="854">
        <f t="shared" ref="D47:D57" si="16">+D46</f>
        <v>2019</v>
      </c>
      <c r="E47" s="903">
        <v>0.75616438356164384</v>
      </c>
      <c r="F47" s="906">
        <v>0</v>
      </c>
      <c r="G47" s="906">
        <v>0</v>
      </c>
      <c r="H47" s="556">
        <f t="shared" si="11"/>
        <v>0</v>
      </c>
      <c r="I47" s="906">
        <v>0</v>
      </c>
      <c r="J47" s="556">
        <f t="shared" si="12"/>
        <v>0</v>
      </c>
      <c r="K47" s="907">
        <v>0</v>
      </c>
      <c r="L47" s="556">
        <f t="shared" si="13"/>
        <v>0</v>
      </c>
      <c r="M47" s="557">
        <f t="shared" si="14"/>
        <v>0</v>
      </c>
      <c r="N47" s="495"/>
      <c r="O47" s="260"/>
      <c r="P47" s="259"/>
      <c r="Q47" s="259"/>
      <c r="R47" s="259"/>
      <c r="S47" s="260"/>
    </row>
    <row r="48" spans="1:19" ht="15.6">
      <c r="A48" s="490">
        <f t="shared" si="15"/>
        <v>27</v>
      </c>
      <c r="B48" s="257" t="s">
        <v>517</v>
      </c>
      <c r="C48" s="249" t="s">
        <v>78</v>
      </c>
      <c r="D48" s="854">
        <f t="shared" si="16"/>
        <v>2019</v>
      </c>
      <c r="E48" s="903">
        <v>0.67397260273972603</v>
      </c>
      <c r="F48" s="906">
        <v>0</v>
      </c>
      <c r="G48" s="906">
        <v>0</v>
      </c>
      <c r="H48" s="556">
        <f t="shared" si="11"/>
        <v>0</v>
      </c>
      <c r="I48" s="906">
        <v>0</v>
      </c>
      <c r="J48" s="556">
        <f t="shared" si="12"/>
        <v>0</v>
      </c>
      <c r="K48" s="907">
        <v>0</v>
      </c>
      <c r="L48" s="556">
        <f t="shared" si="13"/>
        <v>0</v>
      </c>
      <c r="M48" s="557">
        <f t="shared" si="14"/>
        <v>0</v>
      </c>
      <c r="N48" s="495"/>
      <c r="O48" s="260"/>
      <c r="P48" s="259"/>
      <c r="Q48" s="259"/>
      <c r="R48" s="259"/>
      <c r="S48" s="260"/>
    </row>
    <row r="49" spans="1:19" ht="15.6">
      <c r="A49" s="490">
        <f t="shared" si="15"/>
        <v>28</v>
      </c>
      <c r="B49" s="257" t="s">
        <v>517</v>
      </c>
      <c r="C49" s="249" t="s">
        <v>77</v>
      </c>
      <c r="D49" s="854">
        <f t="shared" si="16"/>
        <v>2019</v>
      </c>
      <c r="E49" s="903">
        <v>0.58904109589041098</v>
      </c>
      <c r="F49" s="906">
        <v>0</v>
      </c>
      <c r="G49" s="906">
        <v>0</v>
      </c>
      <c r="H49" s="556">
        <f t="shared" si="11"/>
        <v>0</v>
      </c>
      <c r="I49" s="906">
        <v>0</v>
      </c>
      <c r="J49" s="556">
        <f t="shared" si="12"/>
        <v>0</v>
      </c>
      <c r="K49" s="907">
        <v>0</v>
      </c>
      <c r="L49" s="556">
        <f t="shared" si="13"/>
        <v>0</v>
      </c>
      <c r="M49" s="557">
        <f t="shared" si="14"/>
        <v>0</v>
      </c>
      <c r="N49" s="495"/>
      <c r="O49" s="260"/>
      <c r="P49" s="259"/>
      <c r="Q49" s="259"/>
      <c r="R49" s="259"/>
      <c r="S49" s="260"/>
    </row>
    <row r="50" spans="1:19" ht="15.6">
      <c r="A50" s="490">
        <f t="shared" si="15"/>
        <v>29</v>
      </c>
      <c r="B50" s="257" t="s">
        <v>517</v>
      </c>
      <c r="C50" s="249" t="s">
        <v>97</v>
      </c>
      <c r="D50" s="854">
        <f t="shared" si="16"/>
        <v>2019</v>
      </c>
      <c r="E50" s="903">
        <v>0.50684931506849318</v>
      </c>
      <c r="F50" s="906">
        <v>0</v>
      </c>
      <c r="G50" s="906">
        <v>0</v>
      </c>
      <c r="H50" s="556">
        <f t="shared" si="11"/>
        <v>0</v>
      </c>
      <c r="I50" s="906">
        <v>0</v>
      </c>
      <c r="J50" s="556">
        <f t="shared" si="12"/>
        <v>0</v>
      </c>
      <c r="K50" s="907">
        <v>0</v>
      </c>
      <c r="L50" s="556">
        <f t="shared" si="13"/>
        <v>0</v>
      </c>
      <c r="M50" s="557">
        <f t="shared" si="14"/>
        <v>0</v>
      </c>
      <c r="N50" s="495"/>
      <c r="O50" s="260"/>
      <c r="P50" s="259"/>
      <c r="Q50" s="259"/>
      <c r="R50" s="259"/>
      <c r="S50" s="260"/>
    </row>
    <row r="51" spans="1:19" ht="15.6">
      <c r="A51" s="490">
        <f t="shared" si="15"/>
        <v>30</v>
      </c>
      <c r="B51" s="257" t="s">
        <v>517</v>
      </c>
      <c r="C51" s="249" t="s">
        <v>85</v>
      </c>
      <c r="D51" s="854">
        <f t="shared" si="16"/>
        <v>2019</v>
      </c>
      <c r="E51" s="903">
        <v>0.42191780821917807</v>
      </c>
      <c r="F51" s="906">
        <v>0</v>
      </c>
      <c r="G51" s="906">
        <v>0</v>
      </c>
      <c r="H51" s="556">
        <f t="shared" si="11"/>
        <v>0</v>
      </c>
      <c r="I51" s="906">
        <v>0</v>
      </c>
      <c r="J51" s="556">
        <f t="shared" si="12"/>
        <v>0</v>
      </c>
      <c r="K51" s="907">
        <v>0</v>
      </c>
      <c r="L51" s="556">
        <f t="shared" si="13"/>
        <v>0</v>
      </c>
      <c r="M51" s="557">
        <f t="shared" si="14"/>
        <v>0</v>
      </c>
      <c r="N51" s="495"/>
      <c r="O51" s="260"/>
      <c r="P51" s="259"/>
      <c r="Q51" s="259"/>
      <c r="R51" s="259"/>
      <c r="S51" s="260"/>
    </row>
    <row r="52" spans="1:19" ht="15.6">
      <c r="A52" s="490">
        <f t="shared" si="15"/>
        <v>31</v>
      </c>
      <c r="B52" s="257" t="s">
        <v>517</v>
      </c>
      <c r="C52" s="249" t="s">
        <v>84</v>
      </c>
      <c r="D52" s="854">
        <f t="shared" si="16"/>
        <v>2019</v>
      </c>
      <c r="E52" s="903">
        <v>0.33698630136986302</v>
      </c>
      <c r="F52" s="906">
        <v>0</v>
      </c>
      <c r="G52" s="906">
        <v>0</v>
      </c>
      <c r="H52" s="556">
        <f t="shared" si="11"/>
        <v>0</v>
      </c>
      <c r="I52" s="906">
        <v>0</v>
      </c>
      <c r="J52" s="556">
        <f t="shared" si="12"/>
        <v>0</v>
      </c>
      <c r="K52" s="907">
        <v>0</v>
      </c>
      <c r="L52" s="556">
        <f t="shared" si="13"/>
        <v>0</v>
      </c>
      <c r="M52" s="557">
        <f t="shared" si="14"/>
        <v>0</v>
      </c>
      <c r="N52" s="495"/>
      <c r="O52" s="260"/>
      <c r="P52" s="259"/>
      <c r="Q52" s="259"/>
      <c r="R52" s="259"/>
      <c r="S52" s="260"/>
    </row>
    <row r="53" spans="1:19" ht="15.6">
      <c r="A53" s="490">
        <f t="shared" si="15"/>
        <v>32</v>
      </c>
      <c r="B53" s="257" t="s">
        <v>517</v>
      </c>
      <c r="C53" s="249" t="s">
        <v>83</v>
      </c>
      <c r="D53" s="854">
        <f t="shared" si="16"/>
        <v>2019</v>
      </c>
      <c r="E53" s="903">
        <v>0.25479452054794521</v>
      </c>
      <c r="F53" s="906">
        <v>0</v>
      </c>
      <c r="G53" s="906">
        <v>0</v>
      </c>
      <c r="H53" s="556">
        <f t="shared" si="11"/>
        <v>0</v>
      </c>
      <c r="I53" s="906">
        <v>0</v>
      </c>
      <c r="J53" s="556">
        <f t="shared" si="12"/>
        <v>0</v>
      </c>
      <c r="K53" s="907">
        <v>0</v>
      </c>
      <c r="L53" s="556">
        <f t="shared" si="13"/>
        <v>0</v>
      </c>
      <c r="M53" s="557">
        <f t="shared" si="14"/>
        <v>0</v>
      </c>
      <c r="N53" s="495"/>
      <c r="O53" s="260"/>
      <c r="P53" s="259"/>
      <c r="Q53" s="259"/>
      <c r="R53" s="259"/>
      <c r="S53" s="260"/>
    </row>
    <row r="54" spans="1:19" ht="15.6">
      <c r="A54" s="490">
        <f t="shared" si="15"/>
        <v>33</v>
      </c>
      <c r="B54" s="257" t="s">
        <v>517</v>
      </c>
      <c r="C54" s="249" t="s">
        <v>89</v>
      </c>
      <c r="D54" s="854">
        <f t="shared" si="16"/>
        <v>2019</v>
      </c>
      <c r="E54" s="903">
        <v>0.16986301369863013</v>
      </c>
      <c r="F54" s="906">
        <v>0</v>
      </c>
      <c r="G54" s="906">
        <v>0</v>
      </c>
      <c r="H54" s="556">
        <f t="shared" si="11"/>
        <v>0</v>
      </c>
      <c r="I54" s="906">
        <v>0</v>
      </c>
      <c r="J54" s="556">
        <f t="shared" si="12"/>
        <v>0</v>
      </c>
      <c r="K54" s="907">
        <v>0</v>
      </c>
      <c r="L54" s="556">
        <f t="shared" si="13"/>
        <v>0</v>
      </c>
      <c r="M54" s="557">
        <f t="shared" si="14"/>
        <v>0</v>
      </c>
      <c r="N54" s="495"/>
      <c r="O54" s="260"/>
      <c r="P54" s="259"/>
      <c r="Q54" s="259"/>
      <c r="R54" s="259"/>
      <c r="S54" s="260"/>
    </row>
    <row r="55" spans="1:19" ht="15.6">
      <c r="A55" s="490">
        <f t="shared" si="15"/>
        <v>34</v>
      </c>
      <c r="B55" s="257" t="s">
        <v>517</v>
      </c>
      <c r="C55" s="249" t="s">
        <v>82</v>
      </c>
      <c r="D55" s="854">
        <f t="shared" si="16"/>
        <v>2019</v>
      </c>
      <c r="E55" s="903">
        <v>8.7671232876712329E-2</v>
      </c>
      <c r="F55" s="906">
        <v>0</v>
      </c>
      <c r="G55" s="906">
        <v>0</v>
      </c>
      <c r="H55" s="556">
        <f t="shared" si="11"/>
        <v>0</v>
      </c>
      <c r="I55" s="906">
        <v>0</v>
      </c>
      <c r="J55" s="556">
        <f t="shared" si="12"/>
        <v>0</v>
      </c>
      <c r="K55" s="907">
        <v>0</v>
      </c>
      <c r="L55" s="556">
        <f t="shared" si="13"/>
        <v>0</v>
      </c>
      <c r="M55" s="557">
        <f t="shared" si="14"/>
        <v>0</v>
      </c>
      <c r="N55" s="495"/>
      <c r="O55" s="260"/>
      <c r="P55" s="259"/>
      <c r="Q55" s="259"/>
      <c r="R55" s="259"/>
      <c r="S55" s="260"/>
    </row>
    <row r="56" spans="1:19" ht="15.6">
      <c r="A56" s="490">
        <f t="shared" si="15"/>
        <v>35</v>
      </c>
      <c r="B56" s="257" t="s">
        <v>517</v>
      </c>
      <c r="C56" s="257" t="str">
        <f>+C44</f>
        <v xml:space="preserve">December </v>
      </c>
      <c r="D56" s="854">
        <f t="shared" si="16"/>
        <v>2019</v>
      </c>
      <c r="E56" s="903">
        <v>2.7397260273972603E-3</v>
      </c>
      <c r="F56" s="906">
        <v>0</v>
      </c>
      <c r="G56" s="906">
        <f>G44</f>
        <v>0</v>
      </c>
      <c r="H56" s="556">
        <f t="shared" si="11"/>
        <v>0</v>
      </c>
      <c r="I56" s="556">
        <f>I44</f>
        <v>14054397.525985844</v>
      </c>
      <c r="J56" s="556">
        <f t="shared" si="12"/>
        <v>2688220.4645476001</v>
      </c>
      <c r="K56" s="557">
        <v>28747870.385000002</v>
      </c>
      <c r="L56" s="556">
        <f t="shared" si="13"/>
        <v>2840468.2362470515</v>
      </c>
      <c r="M56" s="557">
        <f>+L56+J56+H56</f>
        <v>5528688.7007946521</v>
      </c>
      <c r="N56" s="727"/>
      <c r="O56" s="260"/>
      <c r="P56" s="259"/>
      <c r="Q56" s="259"/>
      <c r="R56" s="259"/>
      <c r="S56" s="260"/>
    </row>
    <row r="57" spans="1:19">
      <c r="A57" s="490">
        <f>+A56+1</f>
        <v>36</v>
      </c>
      <c r="B57" s="257" t="s">
        <v>518</v>
      </c>
      <c r="D57" s="854">
        <f t="shared" si="16"/>
        <v>2019</v>
      </c>
      <c r="E57" s="255" t="s">
        <v>516</v>
      </c>
      <c r="F57" s="246">
        <f>SUM(F44:F56)</f>
        <v>0</v>
      </c>
      <c r="G57" s="255"/>
      <c r="H57" s="255"/>
      <c r="I57" s="255"/>
      <c r="J57" s="256"/>
      <c r="K57" s="256"/>
      <c r="M57" s="356">
        <f>+M44/2+M56/2</f>
        <v>10779516.766934488</v>
      </c>
    </row>
    <row r="58" spans="1:19">
      <c r="B58" s="249" t="s">
        <v>1278</v>
      </c>
      <c r="C58" s="249"/>
      <c r="D58" s="730"/>
      <c r="F58" s="246"/>
      <c r="G58" s="246"/>
      <c r="H58" s="246"/>
      <c r="I58" s="246"/>
      <c r="J58" s="246"/>
      <c r="K58" s="246"/>
      <c r="L58" s="246"/>
      <c r="M58" s="496"/>
    </row>
    <row r="59" spans="1:19">
      <c r="D59" s="731"/>
      <c r="E59" s="246"/>
      <c r="F59" s="258"/>
      <c r="G59" s="258"/>
      <c r="H59" s="246"/>
      <c r="I59" s="246"/>
      <c r="J59" s="246"/>
      <c r="K59" s="246"/>
    </row>
    <row r="60" spans="1:19">
      <c r="A60" s="490">
        <f>+A57+1</f>
        <v>37</v>
      </c>
      <c r="B60" s="257" t="s">
        <v>1068</v>
      </c>
      <c r="D60" s="731"/>
      <c r="E60" s="246"/>
      <c r="F60" s="258"/>
      <c r="G60" s="258"/>
      <c r="H60" s="246"/>
      <c r="I60" s="246"/>
      <c r="J60" s="246"/>
      <c r="K60" s="246"/>
      <c r="M60" s="496">
        <f>+M30+M34+M57</f>
        <v>-299033310.33967334</v>
      </c>
    </row>
    <row r="63" spans="1:19" ht="15.6">
      <c r="M63" s="240" t="s">
        <v>523</v>
      </c>
    </row>
    <row r="64" spans="1:19" ht="15.6">
      <c r="M64" s="240" t="s">
        <v>454</v>
      </c>
    </row>
    <row r="65" spans="1:13" ht="15.6">
      <c r="A65" s="764"/>
      <c r="B65" s="261"/>
      <c r="C65" s="261"/>
      <c r="D65" s="261"/>
      <c r="E65" s="261"/>
      <c r="F65" s="261"/>
      <c r="G65" s="261" t="str">
        <f>$G$3</f>
        <v>PECO Energy Company</v>
      </c>
      <c r="H65" s="261"/>
      <c r="I65" s="261"/>
      <c r="J65" s="261"/>
      <c r="K65" s="261"/>
      <c r="L65" s="261"/>
      <c r="M65" s="261"/>
    </row>
    <row r="66" spans="1:13">
      <c r="A66" s="1023" t="s">
        <v>524</v>
      </c>
      <c r="B66" s="1023"/>
      <c r="C66" s="1023"/>
      <c r="D66" s="1023"/>
      <c r="E66" s="1023"/>
      <c r="F66" s="1023"/>
      <c r="G66" s="1023"/>
      <c r="H66" s="1023"/>
      <c r="I66" s="1023"/>
      <c r="J66" s="1023"/>
      <c r="K66" s="1023"/>
      <c r="L66" s="1023"/>
      <c r="M66" s="1023"/>
    </row>
    <row r="67" spans="1:13" ht="15.6">
      <c r="A67" s="856" t="s">
        <v>525</v>
      </c>
      <c r="K67" s="258"/>
      <c r="M67" s="240" t="s">
        <v>1335</v>
      </c>
    </row>
    <row r="68" spans="1:13">
      <c r="A68" s="759"/>
      <c r="K68" s="258"/>
    </row>
    <row r="69" spans="1:13">
      <c r="A69" s="759"/>
      <c r="K69" s="258"/>
    </row>
    <row r="70" spans="1:13">
      <c r="A70" s="759"/>
      <c r="B70" s="257" t="s">
        <v>205</v>
      </c>
      <c r="C70" s="257" t="s">
        <v>206</v>
      </c>
      <c r="D70" s="728" t="s">
        <v>207</v>
      </c>
      <c r="E70" s="490" t="s">
        <v>208</v>
      </c>
      <c r="F70" s="490" t="s">
        <v>210</v>
      </c>
      <c r="G70" s="490" t="s">
        <v>209</v>
      </c>
      <c r="H70" s="490" t="s">
        <v>211</v>
      </c>
      <c r="I70" s="490" t="s">
        <v>1279</v>
      </c>
      <c r="J70" s="490" t="s">
        <v>213</v>
      </c>
      <c r="K70" s="490" t="s">
        <v>255</v>
      </c>
      <c r="L70" s="490" t="s">
        <v>259</v>
      </c>
      <c r="M70" s="490" t="s">
        <v>492</v>
      </c>
    </row>
    <row r="71" spans="1:13">
      <c r="A71" s="759"/>
      <c r="B71" s="490" t="s">
        <v>516</v>
      </c>
      <c r="C71" s="257" t="s">
        <v>173</v>
      </c>
      <c r="D71" s="728" t="s">
        <v>79</v>
      </c>
      <c r="E71" s="490" t="s">
        <v>494</v>
      </c>
      <c r="F71" s="490" t="s">
        <v>516</v>
      </c>
      <c r="G71" s="492">
        <v>1</v>
      </c>
      <c r="H71" s="490" t="s">
        <v>496</v>
      </c>
      <c r="I71" s="490" t="s">
        <v>497</v>
      </c>
      <c r="J71" s="490" t="s">
        <v>1257</v>
      </c>
      <c r="K71" s="490" t="s">
        <v>498</v>
      </c>
      <c r="L71" s="490" t="s">
        <v>499</v>
      </c>
      <c r="M71" s="490" t="s">
        <v>234</v>
      </c>
    </row>
    <row r="72" spans="1:13">
      <c r="A72" s="759"/>
      <c r="B72" s="490"/>
      <c r="E72" s="490" t="s">
        <v>501</v>
      </c>
      <c r="F72" s="490" t="s">
        <v>526</v>
      </c>
      <c r="G72" s="490" t="s">
        <v>17</v>
      </c>
      <c r="H72" s="492" t="s">
        <v>503</v>
      </c>
      <c r="I72" s="490" t="s">
        <v>504</v>
      </c>
      <c r="J72" s="492" t="s">
        <v>505</v>
      </c>
      <c r="K72" s="490" t="s">
        <v>506</v>
      </c>
      <c r="L72" s="492" t="s">
        <v>507</v>
      </c>
      <c r="M72" s="490" t="s">
        <v>508</v>
      </c>
    </row>
    <row r="73" spans="1:13">
      <c r="A73" s="759"/>
      <c r="B73" s="490"/>
      <c r="E73" s="490"/>
      <c r="F73" s="490" t="s">
        <v>527</v>
      </c>
      <c r="G73" s="490"/>
      <c r="H73" s="242">
        <v>1</v>
      </c>
      <c r="I73" s="490"/>
      <c r="J73" s="357">
        <f>+J12</f>
        <v>0.19127255078541938</v>
      </c>
      <c r="K73" s="493"/>
      <c r="L73" s="357">
        <f>+L12</f>
        <v>9.880621410235467E-2</v>
      </c>
      <c r="M73" s="490" t="s">
        <v>510</v>
      </c>
    </row>
    <row r="74" spans="1:13">
      <c r="A74" s="759"/>
      <c r="B74" s="490"/>
      <c r="E74" s="490"/>
      <c r="F74" s="490" t="s">
        <v>528</v>
      </c>
      <c r="G74" s="490"/>
      <c r="H74" s="243"/>
      <c r="I74" s="490"/>
      <c r="J74" s="490" t="s">
        <v>512</v>
      </c>
      <c r="K74" s="490"/>
      <c r="L74" s="490" t="s">
        <v>512</v>
      </c>
      <c r="M74" s="490"/>
    </row>
    <row r="75" spans="1:13">
      <c r="B75" s="249"/>
      <c r="C75" s="245" t="s">
        <v>513</v>
      </c>
      <c r="E75" s="490"/>
      <c r="F75" s="490"/>
      <c r="G75" s="490"/>
      <c r="H75" s="490"/>
      <c r="I75" s="490"/>
      <c r="J75" s="490" t="s">
        <v>514</v>
      </c>
      <c r="K75" s="490"/>
      <c r="L75" s="490" t="s">
        <v>515</v>
      </c>
      <c r="M75" s="490"/>
    </row>
    <row r="76" spans="1:13">
      <c r="A76" s="490">
        <f>+A60+1</f>
        <v>38</v>
      </c>
      <c r="B76" s="249" t="s">
        <v>516</v>
      </c>
      <c r="C76" s="249" t="s">
        <v>203</v>
      </c>
      <c r="D76" s="908">
        <v>2017</v>
      </c>
      <c r="F76" s="246">
        <f>'4B - ADIT BOY'!C116</f>
        <v>-1217638235</v>
      </c>
      <c r="G76" s="246">
        <f>'4B - ADIT BOY'!E116</f>
        <v>-266240038</v>
      </c>
      <c r="H76" s="246"/>
      <c r="I76" s="246">
        <f>'4B - ADIT BOY'!F116</f>
        <v>0</v>
      </c>
      <c r="J76" s="246">
        <f>+J73*I76</f>
        <v>0</v>
      </c>
      <c r="K76" s="246">
        <f>'4B - ADIT BOY'!G116</f>
        <v>-33359806</v>
      </c>
      <c r="L76" s="246"/>
      <c r="M76" s="246"/>
    </row>
    <row r="77" spans="1:13">
      <c r="A77" s="490">
        <f>+A76+1</f>
        <v>39</v>
      </c>
      <c r="B77" s="249" t="s">
        <v>516</v>
      </c>
      <c r="C77" s="249" t="str">
        <f>+C76</f>
        <v xml:space="preserve">December </v>
      </c>
      <c r="D77" s="908">
        <v>2018</v>
      </c>
      <c r="F77" s="246">
        <f>'4C - ADIT EOY'!C111</f>
        <v>-1236594468</v>
      </c>
      <c r="G77" s="246">
        <f>'4C - ADIT EOY'!E111</f>
        <v>-279795404</v>
      </c>
      <c r="H77" s="246"/>
      <c r="I77" s="246">
        <f>'4C - ADIT EOY'!F111</f>
        <v>0</v>
      </c>
      <c r="J77" s="246">
        <f>+I77*J73</f>
        <v>0</v>
      </c>
      <c r="K77" s="246">
        <f>'4C - ADIT EOY'!G111</f>
        <v>-32402074</v>
      </c>
      <c r="L77" s="246"/>
      <c r="M77" s="356"/>
    </row>
    <row r="78" spans="1:13">
      <c r="A78" s="490">
        <f>+A77+1</f>
        <v>40</v>
      </c>
      <c r="B78" s="249"/>
      <c r="C78" s="249" t="s">
        <v>520</v>
      </c>
      <c r="D78" s="909"/>
      <c r="F78" s="246">
        <f>+F76/2+F77/2</f>
        <v>-1227116351.5</v>
      </c>
      <c r="G78" s="246">
        <f>+G76/2+G77/2</f>
        <v>-273017721</v>
      </c>
      <c r="H78" s="246">
        <f>+H$12*G78</f>
        <v>-273017721</v>
      </c>
      <c r="I78" s="246">
        <f>+I76/2+I77/2</f>
        <v>0</v>
      </c>
      <c r="J78" s="246">
        <f>+I78*J$12</f>
        <v>0</v>
      </c>
      <c r="K78" s="246">
        <f>+K76/2+K77/2</f>
        <v>-32880940</v>
      </c>
      <c r="L78" s="246">
        <f>+L73*K78</f>
        <v>-3248841.197526678</v>
      </c>
      <c r="M78" s="356">
        <f>+L78+J78+H78</f>
        <v>-276266562.19752669</v>
      </c>
    </row>
    <row r="79" spans="1:13">
      <c r="D79" s="909"/>
    </row>
    <row r="80" spans="1:13">
      <c r="D80" s="909"/>
    </row>
    <row r="81" spans="1:14">
      <c r="B81" s="249"/>
      <c r="C81" s="245" t="s">
        <v>519</v>
      </c>
      <c r="D81" s="909"/>
    </row>
    <row r="82" spans="1:14">
      <c r="A82" s="490">
        <f>+A78+1</f>
        <v>41</v>
      </c>
      <c r="B82" s="249" t="s">
        <v>516</v>
      </c>
      <c r="C82" s="249" t="s">
        <v>203</v>
      </c>
      <c r="D82" s="908">
        <v>2017</v>
      </c>
      <c r="F82" s="246">
        <f>'4B - ADIT BOY'!C177</f>
        <v>-139744365.19238198</v>
      </c>
      <c r="G82" s="246">
        <f>'4B - ADIT BOY'!E177</f>
        <v>0</v>
      </c>
      <c r="H82" s="246">
        <f>+G82*H73</f>
        <v>0</v>
      </c>
      <c r="I82" s="246">
        <f>'4B - ADIT BOY'!F177</f>
        <v>-6327127.6591433417</v>
      </c>
      <c r="J82" s="246">
        <f>+I82*J73</f>
        <v>-1210205.8465093265</v>
      </c>
      <c r="K82" s="246">
        <f>'4B - ADIT BOY'!G177</f>
        <v>-108024769.61478905</v>
      </c>
      <c r="L82" s="246">
        <f>+K82*L73</f>
        <v>-10673518.514916385</v>
      </c>
      <c r="M82" s="496"/>
    </row>
    <row r="83" spans="1:14">
      <c r="A83" s="490">
        <f>+A82+1</f>
        <v>42</v>
      </c>
      <c r="B83" s="249" t="s">
        <v>516</v>
      </c>
      <c r="C83" s="249" t="str">
        <f>+C82</f>
        <v xml:space="preserve">December </v>
      </c>
      <c r="D83" s="908">
        <v>2018</v>
      </c>
      <c r="F83" s="246">
        <f>'4C - ADIT EOY'!C173</f>
        <v>-136693380.3008</v>
      </c>
      <c r="G83" s="246">
        <f>'4C - ADIT EOY'!E173</f>
        <v>0</v>
      </c>
      <c r="H83" s="246">
        <f>+G83*H73</f>
        <v>0</v>
      </c>
      <c r="I83" s="246">
        <f>'4C - ADIT EOY'!F173</f>
        <v>-5597527.049480346</v>
      </c>
      <c r="J83" s="246">
        <f>+I83*J73</f>
        <v>-1070653.2768444882</v>
      </c>
      <c r="K83" s="246">
        <f>'4C - ADIT EOY'!G173</f>
        <v>-107696384.83756882</v>
      </c>
      <c r="L83" s="246">
        <f>+K83*L73</f>
        <v>-10641072.058310408</v>
      </c>
      <c r="M83" s="496"/>
    </row>
    <row r="84" spans="1:14">
      <c r="A84" s="490">
        <f>+A83+1</f>
        <v>43</v>
      </c>
      <c r="B84" s="249"/>
      <c r="C84" s="249" t="s">
        <v>520</v>
      </c>
      <c r="D84" s="909"/>
      <c r="F84" s="246">
        <f t="shared" ref="F84:L84" si="17">+F82/2+F83/2</f>
        <v>-138218872.74659097</v>
      </c>
      <c r="G84" s="246">
        <f t="shared" si="17"/>
        <v>0</v>
      </c>
      <c r="H84" s="246">
        <f t="shared" si="17"/>
        <v>0</v>
      </c>
      <c r="I84" s="246">
        <f t="shared" si="17"/>
        <v>-5962327.3543118443</v>
      </c>
      <c r="J84" s="246">
        <f t="shared" si="17"/>
        <v>-1140429.5616769074</v>
      </c>
      <c r="K84" s="246">
        <f t="shared" si="17"/>
        <v>-107860577.22617894</v>
      </c>
      <c r="L84" s="246">
        <f t="shared" si="17"/>
        <v>-10657295.286613397</v>
      </c>
      <c r="M84" s="496">
        <f>+L84+J84+H84</f>
        <v>-11797724.848290306</v>
      </c>
      <c r="N84" s="256"/>
    </row>
    <row r="85" spans="1:14">
      <c r="D85" s="909"/>
      <c r="N85" s="256"/>
    </row>
    <row r="86" spans="1:14">
      <c r="D86" s="909"/>
      <c r="N86" s="256"/>
    </row>
    <row r="87" spans="1:14">
      <c r="C87" s="491" t="s">
        <v>521</v>
      </c>
      <c r="D87" s="909"/>
    </row>
    <row r="88" spans="1:14">
      <c r="A88" s="490">
        <f>+A84+1</f>
        <v>44</v>
      </c>
      <c r="B88" s="257" t="s">
        <v>516</v>
      </c>
      <c r="C88" s="257" t="s">
        <v>203</v>
      </c>
      <c r="D88" s="908">
        <v>2017</v>
      </c>
      <c r="F88" s="246" t="s">
        <v>753</v>
      </c>
      <c r="G88" s="246" t="s">
        <v>753</v>
      </c>
      <c r="H88" s="246" t="s">
        <v>753</v>
      </c>
      <c r="I88" s="246" t="s">
        <v>753</v>
      </c>
      <c r="J88" s="246" t="s">
        <v>753</v>
      </c>
      <c r="K88" s="246" t="s">
        <v>753</v>
      </c>
      <c r="L88" s="246" t="s">
        <v>753</v>
      </c>
      <c r="M88" s="246" t="s">
        <v>753</v>
      </c>
    </row>
    <row r="89" spans="1:14">
      <c r="A89" s="490">
        <f>+A88+1</f>
        <v>45</v>
      </c>
      <c r="B89" s="257" t="s">
        <v>516</v>
      </c>
      <c r="C89" s="257" t="s">
        <v>203</v>
      </c>
      <c r="D89" s="908">
        <v>2018</v>
      </c>
      <c r="F89" s="246" t="s">
        <v>753</v>
      </c>
      <c r="G89" s="246" t="s">
        <v>753</v>
      </c>
      <c r="H89" s="246" t="s">
        <v>753</v>
      </c>
      <c r="I89" s="246" t="s">
        <v>753</v>
      </c>
      <c r="J89" s="246" t="s">
        <v>753</v>
      </c>
      <c r="K89" s="246" t="s">
        <v>753</v>
      </c>
      <c r="L89" s="246" t="s">
        <v>753</v>
      </c>
      <c r="M89" s="246" t="s">
        <v>753</v>
      </c>
    </row>
    <row r="90" spans="1:14">
      <c r="A90" s="490">
        <f>+A89+1</f>
        <v>46</v>
      </c>
      <c r="C90" s="257" t="s">
        <v>520</v>
      </c>
      <c r="D90" s="909"/>
      <c r="F90" s="246" t="s">
        <v>753</v>
      </c>
      <c r="G90" s="246" t="s">
        <v>753</v>
      </c>
      <c r="H90" s="246" t="s">
        <v>753</v>
      </c>
      <c r="I90" s="246" t="s">
        <v>753</v>
      </c>
      <c r="J90" s="246" t="s">
        <v>753</v>
      </c>
      <c r="K90" s="246" t="s">
        <v>753</v>
      </c>
      <c r="L90" s="246" t="s">
        <v>753</v>
      </c>
      <c r="M90" s="246" t="s">
        <v>753</v>
      </c>
    </row>
    <row r="91" spans="1:14">
      <c r="D91" s="909"/>
    </row>
    <row r="92" spans="1:14">
      <c r="D92" s="909"/>
    </row>
    <row r="93" spans="1:14">
      <c r="C93" s="491" t="s">
        <v>522</v>
      </c>
      <c r="D93" s="909"/>
    </row>
    <row r="94" spans="1:14">
      <c r="A94" s="490">
        <f>+A90+1</f>
        <v>47</v>
      </c>
      <c r="B94" s="257" t="s">
        <v>516</v>
      </c>
      <c r="C94" s="257" t="s">
        <v>203</v>
      </c>
      <c r="D94" s="908">
        <v>2017</v>
      </c>
      <c r="F94" s="246">
        <f>'4B - ADIT BOY'!C81</f>
        <v>185826860.22189999</v>
      </c>
      <c r="G94" s="246">
        <f>'4B - ADIT BOY'!E81</f>
        <v>0</v>
      </c>
      <c r="H94" s="246">
        <f>+G94</f>
        <v>0</v>
      </c>
      <c r="I94" s="246">
        <f>'4B - ADIT BOY'!F81</f>
        <v>7420671.0091658449</v>
      </c>
      <c r="J94" s="246">
        <f>+I94*J73</f>
        <v>1419370.6724625633</v>
      </c>
      <c r="K94" s="246">
        <f>'4B - ADIT BOY'!G81</f>
        <v>153189182</v>
      </c>
      <c r="L94" s="246">
        <f>+K94*L73</f>
        <v>15136043.114856577</v>
      </c>
      <c r="M94" s="496">
        <f>+L94+J94+H94</f>
        <v>16555413.787319141</v>
      </c>
    </row>
    <row r="95" spans="1:14">
      <c r="A95" s="490">
        <f>+A94+1</f>
        <v>48</v>
      </c>
      <c r="B95" s="257" t="s">
        <v>516</v>
      </c>
      <c r="C95" s="257" t="s">
        <v>203</v>
      </c>
      <c r="D95" s="908">
        <v>2018</v>
      </c>
      <c r="F95" s="246">
        <f>'4C - ADIT EOY'!C76</f>
        <v>178672638.75512001</v>
      </c>
      <c r="G95" s="246">
        <f>'4C - ADIT EOY'!E76</f>
        <v>0</v>
      </c>
      <c r="H95" s="246">
        <f>+G95</f>
        <v>0</v>
      </c>
      <c r="I95" s="246">
        <f>'4C - ADIT EOY'!F76</f>
        <v>14054397.525985844</v>
      </c>
      <c r="J95" s="246">
        <f>+I95*J73</f>
        <v>2688220.4645476001</v>
      </c>
      <c r="K95" s="246">
        <f>'4C - ADIT EOY'!G76</f>
        <v>135033251.59999999</v>
      </c>
      <c r="L95" s="246">
        <f>+K95*L73</f>
        <v>13342124.368526725</v>
      </c>
      <c r="M95" s="496">
        <f>+L95+J95+H95</f>
        <v>16030344.833074326</v>
      </c>
    </row>
    <row r="96" spans="1:14">
      <c r="A96" s="490">
        <f>+A95+1</f>
        <v>49</v>
      </c>
      <c r="C96" s="257" t="s">
        <v>520</v>
      </c>
      <c r="F96" s="246">
        <f t="shared" ref="F96:M96" si="18">+F94/2+F95/2</f>
        <v>182249749.48851001</v>
      </c>
      <c r="G96" s="246">
        <f t="shared" si="18"/>
        <v>0</v>
      </c>
      <c r="H96" s="246">
        <f t="shared" si="18"/>
        <v>0</v>
      </c>
      <c r="I96" s="246">
        <f t="shared" si="18"/>
        <v>10737534.267575845</v>
      </c>
      <c r="J96" s="246">
        <f t="shared" si="18"/>
        <v>2053795.5685050818</v>
      </c>
      <c r="K96" s="246">
        <f t="shared" si="18"/>
        <v>144111216.80000001</v>
      </c>
      <c r="L96" s="246">
        <f t="shared" si="18"/>
        <v>14239083.741691651</v>
      </c>
      <c r="M96" s="246">
        <f t="shared" si="18"/>
        <v>16292879.310196733</v>
      </c>
    </row>
    <row r="97" spans="1:13">
      <c r="J97" s="246"/>
    </row>
    <row r="98" spans="1:13">
      <c r="A98" s="490" t="s">
        <v>188</v>
      </c>
      <c r="L98" s="356"/>
      <c r="M98" s="356"/>
    </row>
    <row r="99" spans="1:13">
      <c r="A99" s="490" t="s">
        <v>62</v>
      </c>
      <c r="B99" s="257" t="s">
        <v>1280</v>
      </c>
      <c r="L99" s="356"/>
      <c r="M99" s="356"/>
    </row>
    <row r="100" spans="1:13">
      <c r="L100" s="356"/>
    </row>
  </sheetData>
  <sheetProtection algorithmName="SHA-512" hashValue="ZpPZjIMWvSA+Fv0cQ2fG77XqasCsLXI9UbOxFNnjgpk5sqRt4zzOmUMFhZERjlJl4ca2v9BqBBmXRHKnI9gd2Q==" saltValue="88mg4M5It62z+hEH5wk1rQ==" spinCount="100000" sheet="1" objects="1" scenarios="1"/>
  <mergeCells count="1">
    <mergeCell ref="A66:M66"/>
  </mergeCells>
  <pageMargins left="0.7" right="0.7" top="0.75" bottom="0.75" header="0.3" footer="0.3"/>
  <pageSetup scale="50" fitToHeight="3" orientation="landscape" r:id="rId1"/>
  <rowBreaks count="1" manualBreakCount="1">
    <brk id="6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88"/>
  <sheetViews>
    <sheetView zoomScale="80" zoomScaleNormal="80" workbookViewId="0"/>
  </sheetViews>
  <sheetFormatPr defaultColWidth="8.90625" defaultRowHeight="14.4"/>
  <cols>
    <col min="1" max="1" width="5.453125" style="262" customWidth="1"/>
    <col min="2" max="2" width="43.6328125" style="273" customWidth="1"/>
    <col min="3" max="7" width="14.08984375" style="273" customWidth="1"/>
    <col min="8" max="8" width="89.81640625" style="273" customWidth="1"/>
    <col min="9" max="9" width="8.90625" style="487"/>
    <col min="10" max="10" width="9.54296875" style="487" customWidth="1"/>
    <col min="11" max="16384" width="8.90625" style="487"/>
  </cols>
  <sheetData>
    <row r="1" spans="1:9">
      <c r="B1" s="1024" t="s">
        <v>1172</v>
      </c>
      <c r="C1" s="1025"/>
      <c r="D1" s="1025"/>
      <c r="E1" s="1025"/>
      <c r="F1" s="1025"/>
      <c r="G1" s="1025"/>
      <c r="H1" s="1025"/>
      <c r="I1" s="241"/>
    </row>
    <row r="2" spans="1:9">
      <c r="B2" s="1026" t="str">
        <f>'4A - ADIT Summary'!$G$65</f>
        <v>PECO Energy Company</v>
      </c>
      <c r="C2" s="1027"/>
      <c r="D2" s="1027"/>
      <c r="E2" s="1027"/>
      <c r="F2" s="1027"/>
      <c r="G2" s="1027"/>
      <c r="H2" s="1027"/>
      <c r="I2" s="241"/>
    </row>
    <row r="3" spans="1:9">
      <c r="B3" s="323" t="s">
        <v>529</v>
      </c>
      <c r="C3" s="265"/>
      <c r="E3" s="487"/>
      <c r="F3" s="263"/>
      <c r="G3" s="267"/>
      <c r="H3" s="497"/>
      <c r="I3" s="241"/>
    </row>
    <row r="4" spans="1:9">
      <c r="B4" s="323"/>
      <c r="C4" s="265"/>
      <c r="E4" s="263"/>
      <c r="F4" s="263"/>
      <c r="G4" s="267"/>
      <c r="H4" s="264" t="s">
        <v>529</v>
      </c>
      <c r="I4" s="241"/>
    </row>
    <row r="5" spans="1:9">
      <c r="B5" s="498" t="s">
        <v>62</v>
      </c>
      <c r="C5" s="499" t="s">
        <v>63</v>
      </c>
      <c r="D5" s="499" t="s">
        <v>64</v>
      </c>
      <c r="E5" s="499" t="s">
        <v>65</v>
      </c>
      <c r="F5" s="499" t="s">
        <v>66</v>
      </c>
      <c r="G5" s="499" t="s">
        <v>67</v>
      </c>
      <c r="H5" s="264" t="s">
        <v>530</v>
      </c>
      <c r="I5" s="241"/>
    </row>
    <row r="6" spans="1:9" ht="22.5" customHeight="1">
      <c r="B6" s="265"/>
      <c r="C6" s="487"/>
      <c r="D6" s="487"/>
      <c r="E6" s="263" t="s">
        <v>531</v>
      </c>
      <c r="F6" s="487"/>
      <c r="G6" s="487"/>
      <c r="H6" s="487"/>
      <c r="I6" s="241"/>
    </row>
    <row r="7" spans="1:9">
      <c r="B7" s="265"/>
      <c r="C7" s="500" t="s">
        <v>13</v>
      </c>
      <c r="E7" s="263" t="s">
        <v>506</v>
      </c>
      <c r="F7" s="263" t="s">
        <v>506</v>
      </c>
      <c r="G7" s="263" t="s">
        <v>506</v>
      </c>
      <c r="H7" s="265"/>
      <c r="I7" s="241"/>
    </row>
    <row r="8" spans="1:9">
      <c r="B8" s="265"/>
      <c r="C8" s="265"/>
      <c r="E8" s="267"/>
      <c r="F8" s="267"/>
      <c r="G8" s="267"/>
      <c r="H8" s="264"/>
      <c r="I8" s="241"/>
    </row>
    <row r="9" spans="1:9">
      <c r="A9" s="262" t="s">
        <v>532</v>
      </c>
      <c r="B9" s="266" t="s">
        <v>513</v>
      </c>
      <c r="C9" s="267">
        <f>+C116</f>
        <v>-1217638235</v>
      </c>
      <c r="E9" s="267">
        <f>E116</f>
        <v>-266240038</v>
      </c>
      <c r="F9" s="267">
        <f>F116</f>
        <v>0</v>
      </c>
      <c r="G9" s="267">
        <f>G116</f>
        <v>-33359806</v>
      </c>
      <c r="H9" s="267" t="s">
        <v>535</v>
      </c>
      <c r="I9" s="241"/>
    </row>
    <row r="10" spans="1:9">
      <c r="A10" s="262" t="s">
        <v>534</v>
      </c>
      <c r="B10" s="266" t="s">
        <v>519</v>
      </c>
      <c r="C10" s="267">
        <f>+C177</f>
        <v>-139744365.19238198</v>
      </c>
      <c r="E10" s="267">
        <f>E177</f>
        <v>0</v>
      </c>
      <c r="F10" s="267">
        <f>F177</f>
        <v>-6327127.6591433417</v>
      </c>
      <c r="G10" s="267">
        <f>G177</f>
        <v>-108024769.61478905</v>
      </c>
      <c r="H10" s="267" t="s">
        <v>537</v>
      </c>
      <c r="I10" s="241"/>
    </row>
    <row r="11" spans="1:9">
      <c r="A11" s="262" t="s">
        <v>536</v>
      </c>
      <c r="B11" s="266" t="s">
        <v>522</v>
      </c>
      <c r="C11" s="267">
        <f>+C81</f>
        <v>185826860.22189999</v>
      </c>
      <c r="E11" s="267">
        <f>E81</f>
        <v>0</v>
      </c>
      <c r="F11" s="267">
        <f>F81</f>
        <v>7420671.0091658449</v>
      </c>
      <c r="G11" s="267">
        <f>G81</f>
        <v>153189182</v>
      </c>
      <c r="H11" s="267" t="s">
        <v>533</v>
      </c>
      <c r="I11" s="241"/>
    </row>
    <row r="12" spans="1:9">
      <c r="A12" s="262" t="s">
        <v>538</v>
      </c>
      <c r="B12" s="266" t="s">
        <v>539</v>
      </c>
      <c r="C12" s="267">
        <f>SUM(C9:C11)</f>
        <v>-1171555739.9704819</v>
      </c>
      <c r="E12" s="267">
        <f>SUM(E9:E11)</f>
        <v>-266240038</v>
      </c>
      <c r="F12" s="267">
        <f>SUM(F9:F11)</f>
        <v>1093543.3500225032</v>
      </c>
      <c r="G12" s="267">
        <f>SUM(G9:G11)</f>
        <v>11804606.385210931</v>
      </c>
      <c r="H12" s="267" t="s">
        <v>540</v>
      </c>
      <c r="I12" s="241"/>
    </row>
    <row r="13" spans="1:9">
      <c r="B13" s="266"/>
      <c r="C13" s="265"/>
      <c r="D13" s="267"/>
      <c r="E13" s="267"/>
      <c r="F13" s="268"/>
      <c r="G13" s="267"/>
      <c r="H13" s="269"/>
      <c r="I13" s="241"/>
    </row>
    <row r="14" spans="1:9">
      <c r="B14" s="270" t="s">
        <v>541</v>
      </c>
      <c r="C14" s="271"/>
      <c r="D14" s="272"/>
      <c r="E14" s="272"/>
      <c r="F14" s="272"/>
      <c r="G14" s="272"/>
    </row>
    <row r="15" spans="1:9">
      <c r="B15" s="270" t="s">
        <v>542</v>
      </c>
      <c r="C15" s="271"/>
      <c r="D15" s="272"/>
      <c r="E15" s="272"/>
      <c r="F15" s="272"/>
      <c r="G15" s="272"/>
    </row>
    <row r="16" spans="1:9">
      <c r="B16" s="498" t="s">
        <v>62</v>
      </c>
      <c r="C16" s="499" t="s">
        <v>63</v>
      </c>
      <c r="D16" s="499" t="s">
        <v>64</v>
      </c>
      <c r="E16" s="499" t="s">
        <v>65</v>
      </c>
      <c r="F16" s="499" t="s">
        <v>66</v>
      </c>
      <c r="G16" s="499" t="s">
        <v>67</v>
      </c>
      <c r="H16" s="498" t="s">
        <v>68</v>
      </c>
    </row>
    <row r="17" spans="1:8">
      <c r="A17" s="262" t="s">
        <v>8</v>
      </c>
      <c r="B17" s="501" t="s">
        <v>522</v>
      </c>
      <c r="C17" s="274" t="s">
        <v>13</v>
      </c>
      <c r="D17" s="274" t="s">
        <v>543</v>
      </c>
      <c r="E17" s="274" t="s">
        <v>531</v>
      </c>
      <c r="F17" s="274"/>
      <c r="G17" s="274"/>
    </row>
    <row r="18" spans="1:8">
      <c r="C18" s="274"/>
      <c r="D18" s="274" t="s">
        <v>544</v>
      </c>
      <c r="E18" s="274" t="s">
        <v>17</v>
      </c>
      <c r="F18" s="274" t="s">
        <v>545</v>
      </c>
      <c r="G18" s="274" t="s">
        <v>498</v>
      </c>
    </row>
    <row r="19" spans="1:8">
      <c r="C19" s="274"/>
      <c r="D19" s="274" t="s">
        <v>506</v>
      </c>
      <c r="E19" s="274" t="s">
        <v>506</v>
      </c>
      <c r="F19" s="274" t="s">
        <v>506</v>
      </c>
      <c r="G19" s="274" t="s">
        <v>506</v>
      </c>
      <c r="H19" s="275" t="s">
        <v>546</v>
      </c>
    </row>
    <row r="20" spans="1:8">
      <c r="B20" s="502"/>
      <c r="C20" s="503"/>
      <c r="D20" s="272"/>
      <c r="E20" s="272"/>
      <c r="F20" s="272"/>
      <c r="G20" s="272"/>
    </row>
    <row r="21" spans="1:8">
      <c r="A21" s="262">
        <v>1</v>
      </c>
      <c r="B21" s="910" t="s">
        <v>967</v>
      </c>
      <c r="C21" s="911">
        <v>849467</v>
      </c>
      <c r="D21" s="911">
        <v>0</v>
      </c>
      <c r="E21" s="911">
        <v>0</v>
      </c>
      <c r="F21" s="911">
        <v>0</v>
      </c>
      <c r="G21" s="911">
        <v>849467</v>
      </c>
      <c r="H21" s="912" t="s">
        <v>1017</v>
      </c>
    </row>
    <row r="22" spans="1:8">
      <c r="A22" s="262" t="s">
        <v>547</v>
      </c>
      <c r="B22" s="911" t="s">
        <v>969</v>
      </c>
      <c r="C22" s="911">
        <v>1877516</v>
      </c>
      <c r="D22" s="911">
        <v>0</v>
      </c>
      <c r="E22" s="911">
        <v>0</v>
      </c>
      <c r="F22" s="911">
        <v>0</v>
      </c>
      <c r="G22" s="913">
        <v>1877516</v>
      </c>
      <c r="H22" s="914" t="s">
        <v>1018</v>
      </c>
    </row>
    <row r="23" spans="1:8">
      <c r="A23" s="262" t="s">
        <v>548</v>
      </c>
      <c r="B23" s="911" t="s">
        <v>970</v>
      </c>
      <c r="C23" s="911">
        <v>1247830</v>
      </c>
      <c r="D23" s="911">
        <v>0</v>
      </c>
      <c r="E23" s="911">
        <v>0</v>
      </c>
      <c r="F23" s="915">
        <v>0</v>
      </c>
      <c r="G23" s="911">
        <v>1247830</v>
      </c>
      <c r="H23" s="916" t="s">
        <v>1019</v>
      </c>
    </row>
    <row r="24" spans="1:8">
      <c r="A24" s="262" t="s">
        <v>549</v>
      </c>
      <c r="B24" s="911" t="s">
        <v>971</v>
      </c>
      <c r="C24" s="911">
        <v>0</v>
      </c>
      <c r="D24" s="911">
        <v>0</v>
      </c>
      <c r="E24" s="911">
        <v>0</v>
      </c>
      <c r="F24" s="911">
        <v>0</v>
      </c>
      <c r="G24" s="911">
        <v>0</v>
      </c>
      <c r="H24" s="916" t="s">
        <v>968</v>
      </c>
    </row>
    <row r="25" spans="1:8" ht="28.8">
      <c r="A25" s="276" t="s">
        <v>550</v>
      </c>
      <c r="B25" s="911" t="s">
        <v>972</v>
      </c>
      <c r="C25" s="911">
        <v>13778093</v>
      </c>
      <c r="D25" s="911">
        <v>13778092</v>
      </c>
      <c r="E25" s="911">
        <v>0</v>
      </c>
      <c r="F25" s="911">
        <v>0</v>
      </c>
      <c r="G25" s="911">
        <v>0</v>
      </c>
      <c r="H25" s="916" t="s">
        <v>1020</v>
      </c>
    </row>
    <row r="26" spans="1:8">
      <c r="A26" s="276" t="s">
        <v>551</v>
      </c>
      <c r="B26" s="911" t="s">
        <v>973</v>
      </c>
      <c r="C26" s="911">
        <v>1570195</v>
      </c>
      <c r="D26" s="911">
        <v>1570195</v>
      </c>
      <c r="E26" s="911">
        <v>0</v>
      </c>
      <c r="F26" s="911">
        <v>0</v>
      </c>
      <c r="G26" s="911">
        <v>0</v>
      </c>
      <c r="H26" s="916" t="s">
        <v>968</v>
      </c>
    </row>
    <row r="27" spans="1:8">
      <c r="A27" s="276" t="s">
        <v>552</v>
      </c>
      <c r="B27" s="911" t="s">
        <v>974</v>
      </c>
      <c r="C27" s="911">
        <v>158593</v>
      </c>
      <c r="D27" s="911">
        <v>158593</v>
      </c>
      <c r="E27" s="911">
        <v>0</v>
      </c>
      <c r="F27" s="915">
        <v>0</v>
      </c>
      <c r="G27" s="911">
        <v>0</v>
      </c>
      <c r="H27" s="916" t="s">
        <v>968</v>
      </c>
    </row>
    <row r="28" spans="1:8" ht="28.8">
      <c r="A28" s="276" t="s">
        <v>553</v>
      </c>
      <c r="B28" s="911" t="s">
        <v>975</v>
      </c>
      <c r="C28" s="911">
        <v>2077910</v>
      </c>
      <c r="D28" s="911">
        <v>0</v>
      </c>
      <c r="E28" s="911">
        <v>0</v>
      </c>
      <c r="F28" s="911">
        <v>0</v>
      </c>
      <c r="G28" s="911">
        <v>2077910</v>
      </c>
      <c r="H28" s="916" t="s">
        <v>1021</v>
      </c>
    </row>
    <row r="29" spans="1:8">
      <c r="A29" s="276" t="s">
        <v>554</v>
      </c>
      <c r="B29" s="911" t="s">
        <v>1323</v>
      </c>
      <c r="C29" s="911">
        <v>220916</v>
      </c>
      <c r="D29" s="911">
        <v>220916</v>
      </c>
      <c r="E29" s="917">
        <v>0</v>
      </c>
      <c r="F29" s="915">
        <v>0</v>
      </c>
      <c r="G29" s="917">
        <v>0</v>
      </c>
      <c r="H29" s="916" t="s">
        <v>968</v>
      </c>
    </row>
    <row r="30" spans="1:8">
      <c r="A30" s="276" t="s">
        <v>555</v>
      </c>
      <c r="B30" s="911" t="s">
        <v>976</v>
      </c>
      <c r="C30" s="911">
        <v>207942</v>
      </c>
      <c r="D30" s="911">
        <v>0</v>
      </c>
      <c r="E30" s="911">
        <v>0</v>
      </c>
      <c r="F30" s="911">
        <v>0</v>
      </c>
      <c r="G30" s="911">
        <v>207942</v>
      </c>
      <c r="H30" s="916" t="s">
        <v>1022</v>
      </c>
    </row>
    <row r="31" spans="1:8">
      <c r="A31" s="276" t="s">
        <v>556</v>
      </c>
      <c r="B31" s="911" t="s">
        <v>1324</v>
      </c>
      <c r="C31" s="911">
        <v>1141418.7879999999</v>
      </c>
      <c r="D31" s="911">
        <v>0</v>
      </c>
      <c r="E31" s="917">
        <v>0</v>
      </c>
      <c r="F31" s="917">
        <v>1141418.7879999999</v>
      </c>
      <c r="G31" s="911">
        <v>0</v>
      </c>
      <c r="H31" s="918" t="s">
        <v>1325</v>
      </c>
    </row>
    <row r="32" spans="1:8" ht="28.8">
      <c r="A32" s="276" t="s">
        <v>557</v>
      </c>
      <c r="B32" s="911" t="s">
        <v>999</v>
      </c>
      <c r="C32" s="911">
        <v>0</v>
      </c>
      <c r="D32" s="911">
        <v>0</v>
      </c>
      <c r="E32" s="919">
        <v>0</v>
      </c>
      <c r="F32" s="919">
        <v>0</v>
      </c>
      <c r="G32" s="911">
        <v>0</v>
      </c>
      <c r="H32" s="918" t="s">
        <v>1023</v>
      </c>
    </row>
    <row r="33" spans="1:8">
      <c r="A33" s="276" t="s">
        <v>558</v>
      </c>
      <c r="B33" s="911" t="s">
        <v>977</v>
      </c>
      <c r="C33" s="911">
        <v>9573744</v>
      </c>
      <c r="D33" s="911">
        <v>9573744</v>
      </c>
      <c r="E33" s="911">
        <v>0</v>
      </c>
      <c r="F33" s="911">
        <v>0</v>
      </c>
      <c r="G33" s="911">
        <v>0</v>
      </c>
      <c r="H33" s="916" t="s">
        <v>968</v>
      </c>
    </row>
    <row r="34" spans="1:8">
      <c r="A34" s="276" t="s">
        <v>559</v>
      </c>
      <c r="B34" s="911" t="s">
        <v>1000</v>
      </c>
      <c r="C34" s="911">
        <v>9947772</v>
      </c>
      <c r="D34" s="911">
        <v>0</v>
      </c>
      <c r="E34" s="911">
        <v>0</v>
      </c>
      <c r="F34" s="911">
        <v>0</v>
      </c>
      <c r="G34" s="911">
        <v>9947772</v>
      </c>
      <c r="H34" s="912" t="s">
        <v>1024</v>
      </c>
    </row>
    <row r="35" spans="1:8" ht="28.8">
      <c r="A35" s="276" t="s">
        <v>560</v>
      </c>
      <c r="B35" s="911" t="s">
        <v>978</v>
      </c>
      <c r="C35" s="911">
        <v>0</v>
      </c>
      <c r="D35" s="911">
        <v>0</v>
      </c>
      <c r="E35" s="911">
        <v>0</v>
      </c>
      <c r="F35" s="911">
        <v>0</v>
      </c>
      <c r="G35" s="911">
        <v>0</v>
      </c>
      <c r="H35" s="916" t="s">
        <v>1025</v>
      </c>
    </row>
    <row r="36" spans="1:8">
      <c r="A36" s="276" t="s">
        <v>561</v>
      </c>
      <c r="B36" s="911" t="s">
        <v>979</v>
      </c>
      <c r="C36" s="911">
        <v>0</v>
      </c>
      <c r="D36" s="911">
        <v>0</v>
      </c>
      <c r="E36" s="911">
        <v>0</v>
      </c>
      <c r="F36" s="911">
        <v>0</v>
      </c>
      <c r="G36" s="911">
        <v>0</v>
      </c>
      <c r="H36" s="916" t="s">
        <v>968</v>
      </c>
    </row>
    <row r="37" spans="1:8">
      <c r="A37" s="276" t="s">
        <v>562</v>
      </c>
      <c r="B37" s="920" t="s">
        <v>1026</v>
      </c>
      <c r="C37" s="911">
        <v>1153652</v>
      </c>
      <c r="D37" s="911">
        <v>1153652</v>
      </c>
      <c r="E37" s="911">
        <v>0</v>
      </c>
      <c r="F37" s="911">
        <v>0</v>
      </c>
      <c r="G37" s="913">
        <v>0</v>
      </c>
      <c r="H37" s="916" t="s">
        <v>968</v>
      </c>
    </row>
    <row r="38" spans="1:8">
      <c r="A38" s="276" t="s">
        <v>563</v>
      </c>
      <c r="B38" s="911" t="s">
        <v>980</v>
      </c>
      <c r="C38" s="911">
        <v>429796</v>
      </c>
      <c r="D38" s="911">
        <v>429796</v>
      </c>
      <c r="E38" s="911">
        <v>0</v>
      </c>
      <c r="F38" s="911">
        <v>0</v>
      </c>
      <c r="G38" s="911">
        <v>0</v>
      </c>
      <c r="H38" s="916" t="s">
        <v>968</v>
      </c>
    </row>
    <row r="39" spans="1:8">
      <c r="A39" s="276" t="s">
        <v>564</v>
      </c>
      <c r="B39" s="911" t="s">
        <v>981</v>
      </c>
      <c r="C39" s="911">
        <v>0.29473415540996939</v>
      </c>
      <c r="D39" s="911">
        <v>0.29473415540996939</v>
      </c>
      <c r="E39" s="911">
        <v>0</v>
      </c>
      <c r="F39" s="911">
        <v>0</v>
      </c>
      <c r="G39" s="911">
        <v>0</v>
      </c>
      <c r="H39" s="918"/>
    </row>
    <row r="40" spans="1:8">
      <c r="A40" s="276" t="s">
        <v>565</v>
      </c>
      <c r="B40" s="911" t="s">
        <v>1027</v>
      </c>
      <c r="C40" s="911">
        <v>10793.705265844565</v>
      </c>
      <c r="D40" s="911">
        <v>0</v>
      </c>
      <c r="E40" s="911">
        <v>0</v>
      </c>
      <c r="F40" s="911">
        <v>10793.705265844565</v>
      </c>
      <c r="G40" s="911">
        <v>0</v>
      </c>
      <c r="H40" s="916" t="s">
        <v>1028</v>
      </c>
    </row>
    <row r="41" spans="1:8">
      <c r="A41" s="276" t="s">
        <v>566</v>
      </c>
      <c r="B41" s="911" t="s">
        <v>1029</v>
      </c>
      <c r="C41" s="911">
        <v>192052</v>
      </c>
      <c r="D41" s="911">
        <v>192052</v>
      </c>
      <c r="E41" s="911">
        <v>0</v>
      </c>
      <c r="F41" s="911">
        <v>0</v>
      </c>
      <c r="G41" s="913">
        <v>0</v>
      </c>
      <c r="H41" s="914" t="s">
        <v>968</v>
      </c>
    </row>
    <row r="42" spans="1:8">
      <c r="A42" s="276" t="s">
        <v>567</v>
      </c>
      <c r="B42" s="911" t="s">
        <v>1030</v>
      </c>
      <c r="C42" s="911">
        <v>83758</v>
      </c>
      <c r="D42" s="911">
        <v>0</v>
      </c>
      <c r="E42" s="911">
        <v>0</v>
      </c>
      <c r="F42" s="911">
        <v>83758</v>
      </c>
      <c r="G42" s="911">
        <v>0</v>
      </c>
      <c r="H42" s="921" t="s">
        <v>1031</v>
      </c>
    </row>
    <row r="43" spans="1:8">
      <c r="A43" s="276" t="s">
        <v>568</v>
      </c>
      <c r="B43" s="911" t="s">
        <v>1032</v>
      </c>
      <c r="C43" s="911">
        <v>265981</v>
      </c>
      <c r="D43" s="911">
        <v>0</v>
      </c>
      <c r="E43" s="911">
        <v>0</v>
      </c>
      <c r="F43" s="911">
        <v>265981</v>
      </c>
      <c r="G43" s="911">
        <v>0</v>
      </c>
      <c r="H43" s="916" t="s">
        <v>1033</v>
      </c>
    </row>
    <row r="44" spans="1:8">
      <c r="A44" s="276" t="s">
        <v>569</v>
      </c>
      <c r="B44" s="911" t="s">
        <v>1326</v>
      </c>
      <c r="C44" s="911">
        <v>626979</v>
      </c>
      <c r="D44" s="911">
        <v>0</v>
      </c>
      <c r="E44" s="911">
        <v>0</v>
      </c>
      <c r="F44" s="911">
        <v>0</v>
      </c>
      <c r="G44" s="911">
        <v>626979</v>
      </c>
      <c r="H44" s="916" t="s">
        <v>1327</v>
      </c>
    </row>
    <row r="45" spans="1:8">
      <c r="A45" s="276" t="s">
        <v>570</v>
      </c>
      <c r="B45" s="911" t="s">
        <v>1328</v>
      </c>
      <c r="C45" s="911">
        <v>6078222.2400000002</v>
      </c>
      <c r="D45" s="911">
        <v>0</v>
      </c>
      <c r="E45" s="911">
        <v>0</v>
      </c>
      <c r="F45" s="911">
        <v>6078222.2400000002</v>
      </c>
      <c r="G45" s="911">
        <v>0</v>
      </c>
      <c r="H45" s="922" t="s">
        <v>1325</v>
      </c>
    </row>
    <row r="46" spans="1:8" ht="28.8">
      <c r="A46" s="276" t="s">
        <v>571</v>
      </c>
      <c r="B46" s="911" t="s">
        <v>1001</v>
      </c>
      <c r="C46" s="911">
        <v>0</v>
      </c>
      <c r="D46" s="911">
        <v>0</v>
      </c>
      <c r="E46" s="911">
        <v>0</v>
      </c>
      <c r="F46" s="911">
        <v>0</v>
      </c>
      <c r="G46" s="913">
        <v>0</v>
      </c>
      <c r="H46" s="914" t="s">
        <v>1034</v>
      </c>
    </row>
    <row r="47" spans="1:8">
      <c r="A47" s="276" t="s">
        <v>572</v>
      </c>
      <c r="B47" s="911" t="s">
        <v>983</v>
      </c>
      <c r="C47" s="911">
        <v>0</v>
      </c>
      <c r="D47" s="911">
        <v>0</v>
      </c>
      <c r="E47" s="911">
        <v>0</v>
      </c>
      <c r="F47" s="911">
        <v>0</v>
      </c>
      <c r="G47" s="913">
        <v>0</v>
      </c>
      <c r="H47" s="922" t="s">
        <v>968</v>
      </c>
    </row>
    <row r="48" spans="1:8" ht="28.8">
      <c r="A48" s="276" t="s">
        <v>573</v>
      </c>
      <c r="B48" s="911" t="s">
        <v>1002</v>
      </c>
      <c r="C48" s="911">
        <v>77957835</v>
      </c>
      <c r="D48" s="911">
        <v>0</v>
      </c>
      <c r="E48" s="911">
        <v>0</v>
      </c>
      <c r="F48" s="911">
        <v>0</v>
      </c>
      <c r="G48" s="911">
        <v>77957835</v>
      </c>
      <c r="H48" s="916" t="s">
        <v>1035</v>
      </c>
    </row>
    <row r="49" spans="1:8" ht="43.2">
      <c r="A49" s="276" t="s">
        <v>574</v>
      </c>
      <c r="B49" s="911" t="s">
        <v>984</v>
      </c>
      <c r="C49" s="911">
        <v>0</v>
      </c>
      <c r="D49" s="911">
        <v>0</v>
      </c>
      <c r="E49" s="911">
        <v>0</v>
      </c>
      <c r="F49" s="911">
        <v>0</v>
      </c>
      <c r="G49" s="911">
        <v>0</v>
      </c>
      <c r="H49" s="914" t="s">
        <v>1036</v>
      </c>
    </row>
    <row r="50" spans="1:8">
      <c r="A50" s="276" t="s">
        <v>575</v>
      </c>
      <c r="B50" s="911" t="s">
        <v>985</v>
      </c>
      <c r="C50" s="911">
        <v>3827688</v>
      </c>
      <c r="D50" s="911">
        <v>3827688</v>
      </c>
      <c r="E50" s="911">
        <v>0</v>
      </c>
      <c r="F50" s="911">
        <v>0</v>
      </c>
      <c r="G50" s="911">
        <v>0</v>
      </c>
      <c r="H50" s="916" t="s">
        <v>1037</v>
      </c>
    </row>
    <row r="51" spans="1:8">
      <c r="A51" s="276" t="s">
        <v>576</v>
      </c>
      <c r="B51" s="911" t="s">
        <v>986</v>
      </c>
      <c r="C51" s="911">
        <v>0</v>
      </c>
      <c r="D51" s="911">
        <v>0</v>
      </c>
      <c r="E51" s="911">
        <v>0</v>
      </c>
      <c r="F51" s="911">
        <v>0</v>
      </c>
      <c r="G51" s="911">
        <v>0</v>
      </c>
      <c r="H51" s="916" t="s">
        <v>1037</v>
      </c>
    </row>
    <row r="52" spans="1:8">
      <c r="A52" s="276" t="s">
        <v>577</v>
      </c>
      <c r="B52" s="911" t="s">
        <v>987</v>
      </c>
      <c r="C52" s="911">
        <v>0</v>
      </c>
      <c r="D52" s="911">
        <v>0</v>
      </c>
      <c r="E52" s="911">
        <v>0</v>
      </c>
      <c r="F52" s="911">
        <v>0</v>
      </c>
      <c r="G52" s="911">
        <v>0</v>
      </c>
      <c r="H52" s="916" t="s">
        <v>1038</v>
      </c>
    </row>
    <row r="53" spans="1:8">
      <c r="A53" s="276" t="s">
        <v>578</v>
      </c>
      <c r="B53" s="911" t="s">
        <v>988</v>
      </c>
      <c r="C53" s="911">
        <v>61677</v>
      </c>
      <c r="D53" s="911">
        <v>0</v>
      </c>
      <c r="E53" s="911">
        <v>0</v>
      </c>
      <c r="F53" s="911">
        <v>0</v>
      </c>
      <c r="G53" s="911">
        <v>61677</v>
      </c>
      <c r="H53" s="916" t="s">
        <v>1039</v>
      </c>
    </row>
    <row r="54" spans="1:8" ht="28.8">
      <c r="A54" s="276" t="s">
        <v>579</v>
      </c>
      <c r="B54" s="911" t="s">
        <v>1003</v>
      </c>
      <c r="C54" s="911">
        <v>1004916</v>
      </c>
      <c r="D54" s="911">
        <v>0</v>
      </c>
      <c r="E54" s="911">
        <v>0</v>
      </c>
      <c r="F54" s="911">
        <v>0</v>
      </c>
      <c r="G54" s="911">
        <v>1004916</v>
      </c>
      <c r="H54" s="916" t="s">
        <v>1040</v>
      </c>
    </row>
    <row r="55" spans="1:8">
      <c r="A55" s="276" t="s">
        <v>580</v>
      </c>
      <c r="B55" s="911" t="s">
        <v>989</v>
      </c>
      <c r="C55" s="911">
        <v>1560924</v>
      </c>
      <c r="D55" s="911">
        <v>1560924</v>
      </c>
      <c r="E55" s="911">
        <v>0</v>
      </c>
      <c r="F55" s="911">
        <v>0</v>
      </c>
      <c r="G55" s="911">
        <v>0</v>
      </c>
      <c r="H55" s="916" t="s">
        <v>968</v>
      </c>
    </row>
    <row r="56" spans="1:8" ht="28.8">
      <c r="A56" s="276" t="s">
        <v>581</v>
      </c>
      <c r="B56" s="911" t="s">
        <v>990</v>
      </c>
      <c r="C56" s="911">
        <v>10806431</v>
      </c>
      <c r="D56" s="911">
        <v>0</v>
      </c>
      <c r="E56" s="911">
        <v>0</v>
      </c>
      <c r="F56" s="911">
        <v>0</v>
      </c>
      <c r="G56" s="911">
        <v>10806431</v>
      </c>
      <c r="H56" s="916" t="s">
        <v>1041</v>
      </c>
    </row>
    <row r="57" spans="1:8">
      <c r="A57" s="276" t="s">
        <v>582</v>
      </c>
      <c r="B57" s="911"/>
      <c r="C57" s="911"/>
      <c r="D57" s="911"/>
      <c r="E57" s="919"/>
      <c r="F57" s="919"/>
      <c r="G57" s="913"/>
      <c r="H57" s="923"/>
    </row>
    <row r="58" spans="1:8">
      <c r="A58" s="276" t="s">
        <v>583</v>
      </c>
      <c r="B58" s="911"/>
      <c r="C58" s="911">
        <v>0</v>
      </c>
      <c r="D58" s="911"/>
      <c r="E58" s="919"/>
      <c r="F58" s="919"/>
      <c r="G58" s="913"/>
      <c r="H58" s="923"/>
    </row>
    <row r="59" spans="1:8">
      <c r="A59" s="276" t="s">
        <v>584</v>
      </c>
      <c r="B59" s="911"/>
      <c r="C59" s="911"/>
      <c r="D59" s="911"/>
      <c r="E59" s="919"/>
      <c r="F59" s="919"/>
      <c r="G59" s="911"/>
      <c r="H59" s="923"/>
    </row>
    <row r="60" spans="1:8">
      <c r="A60" s="276" t="s">
        <v>585</v>
      </c>
      <c r="B60" s="911"/>
      <c r="C60" s="911"/>
      <c r="D60" s="911"/>
      <c r="E60" s="919"/>
      <c r="F60" s="911"/>
      <c r="G60" s="913"/>
      <c r="H60" s="923"/>
    </row>
    <row r="61" spans="1:8">
      <c r="A61" s="276" t="s">
        <v>586</v>
      </c>
      <c r="B61" s="911"/>
      <c r="C61" s="911"/>
      <c r="D61" s="911"/>
      <c r="E61" s="919"/>
      <c r="F61" s="911"/>
      <c r="G61" s="913"/>
      <c r="H61" s="923"/>
    </row>
    <row r="62" spans="1:8" hidden="1">
      <c r="A62" s="276" t="s">
        <v>587</v>
      </c>
      <c r="B62" s="910"/>
      <c r="C62" s="911"/>
      <c r="D62" s="911"/>
      <c r="E62" s="919"/>
      <c r="F62" s="911"/>
      <c r="G62" s="913"/>
      <c r="H62" s="923"/>
    </row>
    <row r="63" spans="1:8" hidden="1">
      <c r="A63" s="276" t="s">
        <v>588</v>
      </c>
      <c r="B63" s="911"/>
      <c r="C63" s="911"/>
      <c r="D63" s="911"/>
      <c r="E63" s="911"/>
      <c r="F63" s="915"/>
      <c r="G63" s="911"/>
      <c r="H63" s="924"/>
    </row>
    <row r="64" spans="1:8" hidden="1">
      <c r="A64" s="276" t="s">
        <v>589</v>
      </c>
      <c r="B64" s="911"/>
      <c r="C64" s="911"/>
      <c r="D64" s="911"/>
      <c r="E64" s="919"/>
      <c r="F64" s="911"/>
      <c r="G64" s="913"/>
      <c r="H64" s="923"/>
    </row>
    <row r="65" spans="1:10" hidden="1">
      <c r="A65" s="276" t="s">
        <v>590</v>
      </c>
      <c r="B65" s="911"/>
      <c r="C65" s="911"/>
      <c r="D65" s="911"/>
      <c r="E65" s="919"/>
      <c r="F65" s="911"/>
      <c r="G65" s="913"/>
      <c r="H65" s="925"/>
    </row>
    <row r="66" spans="1:10" hidden="1">
      <c r="A66" s="276" t="s">
        <v>591</v>
      </c>
      <c r="B66" s="911"/>
      <c r="C66" s="911"/>
      <c r="D66" s="911"/>
      <c r="E66" s="919"/>
      <c r="F66" s="911"/>
      <c r="G66" s="913"/>
      <c r="H66" s="925"/>
    </row>
    <row r="67" spans="1:10" hidden="1">
      <c r="A67" s="276" t="s">
        <v>592</v>
      </c>
      <c r="B67" s="911"/>
      <c r="C67" s="911"/>
      <c r="D67" s="911"/>
      <c r="E67" s="911"/>
      <c r="F67" s="911"/>
      <c r="G67" s="911"/>
      <c r="H67" s="926"/>
    </row>
    <row r="68" spans="1:10" hidden="1">
      <c r="A68" s="276" t="s">
        <v>593</v>
      </c>
      <c r="B68" s="911"/>
      <c r="C68" s="911"/>
      <c r="D68" s="911"/>
      <c r="E68" s="911"/>
      <c r="F68" s="911"/>
      <c r="G68" s="911"/>
      <c r="H68" s="925"/>
    </row>
    <row r="69" spans="1:10" hidden="1">
      <c r="A69" s="276" t="s">
        <v>594</v>
      </c>
      <c r="B69" s="911"/>
      <c r="C69" s="911"/>
      <c r="D69" s="911"/>
      <c r="E69" s="911"/>
      <c r="F69" s="911"/>
      <c r="G69" s="911"/>
      <c r="H69" s="926"/>
    </row>
    <row r="70" spans="1:10" hidden="1">
      <c r="A70" s="276" t="s">
        <v>595</v>
      </c>
      <c r="B70" s="911"/>
      <c r="C70" s="911"/>
      <c r="D70" s="911"/>
      <c r="E70" s="911"/>
      <c r="F70" s="919"/>
      <c r="G70" s="911"/>
      <c r="H70" s="926"/>
    </row>
    <row r="71" spans="1:10" hidden="1">
      <c r="A71" s="276" t="s">
        <v>596</v>
      </c>
      <c r="B71" s="911"/>
      <c r="C71" s="911"/>
      <c r="D71" s="911"/>
      <c r="E71" s="911"/>
      <c r="F71" s="911"/>
      <c r="G71" s="911"/>
      <c r="H71" s="923"/>
    </row>
    <row r="72" spans="1:10" hidden="1">
      <c r="A72" s="276" t="s">
        <v>597</v>
      </c>
      <c r="B72" s="911"/>
      <c r="C72" s="911"/>
      <c r="D72" s="911"/>
      <c r="E72" s="911"/>
      <c r="F72" s="911"/>
      <c r="G72" s="911"/>
      <c r="H72" s="926"/>
    </row>
    <row r="73" spans="1:10" hidden="1">
      <c r="A73" s="276" t="s">
        <v>598</v>
      </c>
      <c r="B73" s="911"/>
      <c r="C73" s="911"/>
      <c r="D73" s="911"/>
      <c r="E73" s="911"/>
      <c r="F73" s="911"/>
      <c r="G73" s="911"/>
      <c r="H73" s="922"/>
    </row>
    <row r="74" spans="1:10" hidden="1">
      <c r="A74" s="276" t="s">
        <v>599</v>
      </c>
      <c r="B74" s="911"/>
      <c r="C74" s="911"/>
      <c r="D74" s="911"/>
      <c r="E74" s="911"/>
      <c r="F74" s="911"/>
      <c r="G74" s="911"/>
      <c r="H74" s="922"/>
    </row>
    <row r="75" spans="1:10" hidden="1">
      <c r="A75" s="276" t="s">
        <v>600</v>
      </c>
      <c r="B75" s="922"/>
      <c r="C75" s="911"/>
      <c r="D75" s="911"/>
      <c r="E75" s="911"/>
      <c r="F75" s="911"/>
      <c r="G75" s="911"/>
      <c r="H75" s="926"/>
    </row>
    <row r="76" spans="1:10" hidden="1">
      <c r="A76" s="276" t="s">
        <v>601</v>
      </c>
      <c r="B76" s="927"/>
      <c r="C76" s="911"/>
      <c r="D76" s="911"/>
      <c r="E76" s="911"/>
      <c r="F76" s="911"/>
      <c r="G76" s="911"/>
      <c r="H76" s="926"/>
    </row>
    <row r="77" spans="1:10">
      <c r="A77" s="276" t="s">
        <v>312</v>
      </c>
      <c r="B77" s="928"/>
      <c r="C77" s="911"/>
      <c r="D77" s="911"/>
      <c r="E77" s="911"/>
      <c r="F77" s="911"/>
      <c r="G77" s="911"/>
      <c r="H77" s="926"/>
    </row>
    <row r="78" spans="1:10">
      <c r="A78" s="276">
        <v>2</v>
      </c>
      <c r="B78" s="278" t="s">
        <v>1164</v>
      </c>
      <c r="C78" s="277">
        <f>SUM(C21:C77)</f>
        <v>146712102.028</v>
      </c>
      <c r="D78" s="277">
        <f>SUM(D21:D77)</f>
        <v>32465652.294734154</v>
      </c>
      <c r="E78" s="277">
        <f>SUM(E21:E77)</f>
        <v>0</v>
      </c>
      <c r="F78" s="277">
        <f>SUM(F21:F77)</f>
        <v>7580173.7332658451</v>
      </c>
      <c r="G78" s="277">
        <f>SUM(G21:G77)</f>
        <v>106666275</v>
      </c>
      <c r="H78" s="279"/>
      <c r="J78" s="505"/>
    </row>
    <row r="79" spans="1:10">
      <c r="A79" s="276">
        <v>3</v>
      </c>
      <c r="B79" s="278" t="s">
        <v>602</v>
      </c>
      <c r="C79" s="911">
        <v>-39114758.193900004</v>
      </c>
      <c r="D79" s="911">
        <v>7248646.0819999995</v>
      </c>
      <c r="E79" s="911">
        <v>0</v>
      </c>
      <c r="F79" s="911">
        <v>159502.72409999999</v>
      </c>
      <c r="G79" s="911">
        <v>-46522907</v>
      </c>
      <c r="H79" s="926" t="s">
        <v>1329</v>
      </c>
    </row>
    <row r="80" spans="1:10">
      <c r="A80" s="276">
        <v>4</v>
      </c>
      <c r="B80" s="278" t="s">
        <v>603</v>
      </c>
      <c r="C80" s="911"/>
      <c r="D80" s="911"/>
      <c r="E80" s="911"/>
      <c r="F80" s="911"/>
      <c r="G80" s="911"/>
      <c r="H80" s="926"/>
    </row>
    <row r="81" spans="1:8">
      <c r="A81" s="262">
        <v>5</v>
      </c>
      <c r="B81" s="278" t="s">
        <v>13</v>
      </c>
      <c r="C81" s="277">
        <f>+C78-C79-C80</f>
        <v>185826860.22189999</v>
      </c>
      <c r="D81" s="277">
        <f>+D78-D79-D80</f>
        <v>25217006.212734155</v>
      </c>
      <c r="E81" s="277">
        <f>+E78-E79-E80</f>
        <v>0</v>
      </c>
      <c r="F81" s="277">
        <f>+F78-F79-F80</f>
        <v>7420671.0091658449</v>
      </c>
      <c r="G81" s="277">
        <f>+G78-G79-G80</f>
        <v>153189182</v>
      </c>
      <c r="H81" s="279"/>
    </row>
    <row r="82" spans="1:8">
      <c r="B82" s="280"/>
      <c r="C82" s="281"/>
      <c r="D82" s="267"/>
      <c r="E82" s="267"/>
      <c r="F82" s="267"/>
      <c r="G82" s="282"/>
      <c r="H82" s="283"/>
    </row>
    <row r="83" spans="1:8">
      <c r="A83" s="276">
        <v>6</v>
      </c>
      <c r="B83" s="284" t="s">
        <v>604</v>
      </c>
      <c r="C83" s="285"/>
      <c r="D83" s="286"/>
      <c r="E83" s="286"/>
      <c r="F83" s="286"/>
      <c r="G83" s="287"/>
      <c r="H83" s="288"/>
    </row>
    <row r="84" spans="1:8">
      <c r="A84" s="276">
        <v>7</v>
      </c>
      <c r="B84" s="289" t="s">
        <v>605</v>
      </c>
      <c r="C84" s="267"/>
      <c r="D84" s="267"/>
      <c r="E84" s="267"/>
      <c r="F84" s="267"/>
      <c r="G84" s="267"/>
      <c r="H84" s="506"/>
    </row>
    <row r="85" spans="1:8">
      <c r="A85" s="276">
        <v>8</v>
      </c>
      <c r="B85" s="289" t="s">
        <v>606</v>
      </c>
      <c r="C85" s="290"/>
      <c r="D85" s="267"/>
      <c r="E85" s="267"/>
      <c r="F85" s="267"/>
      <c r="G85" s="282"/>
      <c r="H85" s="291"/>
    </row>
    <row r="86" spans="1:8">
      <c r="A86" s="276">
        <v>9</v>
      </c>
      <c r="B86" s="289" t="s">
        <v>607</v>
      </c>
      <c r="C86" s="290"/>
      <c r="D86" s="267"/>
      <c r="E86" s="267"/>
      <c r="F86" s="267"/>
      <c r="G86" s="282"/>
      <c r="H86" s="291"/>
    </row>
    <row r="87" spans="1:8">
      <c r="A87" s="276">
        <v>10</v>
      </c>
      <c r="B87" s="289" t="s">
        <v>608</v>
      </c>
      <c r="C87" s="290"/>
      <c r="D87" s="267"/>
      <c r="E87" s="267"/>
      <c r="F87" s="267"/>
      <c r="G87" s="282"/>
      <c r="H87" s="291"/>
    </row>
    <row r="88" spans="1:8">
      <c r="A88" s="276">
        <v>11</v>
      </c>
      <c r="B88" s="507" t="s">
        <v>609</v>
      </c>
      <c r="C88" s="267"/>
      <c r="D88" s="267"/>
      <c r="E88" s="267"/>
      <c r="F88" s="267"/>
      <c r="G88" s="267"/>
      <c r="H88" s="506"/>
    </row>
    <row r="89" spans="1:8">
      <c r="A89" s="276">
        <v>12</v>
      </c>
      <c r="B89" s="508" t="s">
        <v>610</v>
      </c>
      <c r="C89" s="267"/>
      <c r="D89" s="267"/>
      <c r="E89" s="267"/>
      <c r="F89" s="267"/>
      <c r="G89" s="267"/>
      <c r="H89" s="506"/>
    </row>
    <row r="90" spans="1:8">
      <c r="B90" s="292"/>
      <c r="C90" s="293"/>
      <c r="D90" s="294"/>
      <c r="E90" s="294"/>
      <c r="F90" s="294"/>
      <c r="G90" s="295"/>
      <c r="H90" s="296"/>
    </row>
    <row r="91" spans="1:8">
      <c r="B91" s="1026" t="str">
        <f>'4A - ADIT Summary'!$G$65</f>
        <v>PECO Energy Company</v>
      </c>
      <c r="C91" s="1027"/>
      <c r="D91" s="1027"/>
      <c r="E91" s="1027"/>
      <c r="F91" s="1027"/>
      <c r="G91" s="1027"/>
      <c r="H91" s="1027"/>
    </row>
    <row r="92" spans="1:8" ht="15.6">
      <c r="B92" s="265" t="s">
        <v>529</v>
      </c>
      <c r="C92" s="265"/>
      <c r="D92" s="265"/>
      <c r="E92" s="265"/>
      <c r="F92" s="265"/>
      <c r="G92" s="265"/>
      <c r="H92" s="240"/>
    </row>
    <row r="93" spans="1:8">
      <c r="B93" s="358"/>
      <c r="C93" s="298"/>
      <c r="D93" s="509"/>
      <c r="E93" s="509"/>
      <c r="F93" s="509"/>
      <c r="G93" s="509"/>
      <c r="H93" s="264"/>
    </row>
    <row r="94" spans="1:8">
      <c r="B94" s="297"/>
      <c r="C94" s="298"/>
      <c r="D94" s="509"/>
      <c r="E94" s="509"/>
      <c r="F94" s="509"/>
      <c r="G94" s="509"/>
      <c r="H94" s="264" t="s">
        <v>529</v>
      </c>
    </row>
    <row r="95" spans="1:8">
      <c r="B95" s="297"/>
      <c r="C95" s="298"/>
      <c r="D95" s="509"/>
      <c r="E95" s="509"/>
      <c r="F95" s="509"/>
      <c r="G95" s="509"/>
      <c r="H95" s="264" t="s">
        <v>611</v>
      </c>
    </row>
    <row r="96" spans="1:8">
      <c r="B96" s="297"/>
      <c r="C96" s="298"/>
      <c r="D96" s="509"/>
      <c r="E96" s="509"/>
      <c r="F96" s="509"/>
      <c r="G96" s="509"/>
      <c r="H96" s="510"/>
    </row>
    <row r="97" spans="1:8">
      <c r="B97" s="265"/>
      <c r="C97" s="267"/>
      <c r="D97" s="267"/>
      <c r="E97" s="267"/>
      <c r="F97" s="267"/>
      <c r="G97" s="267"/>
      <c r="H97" s="266"/>
    </row>
    <row r="98" spans="1:8">
      <c r="B98" s="265"/>
      <c r="C98" s="267"/>
      <c r="D98" s="267"/>
      <c r="E98" s="267"/>
      <c r="F98" s="267"/>
      <c r="G98" s="267"/>
      <c r="H98" s="266"/>
    </row>
    <row r="99" spans="1:8">
      <c r="B99" s="297" t="s">
        <v>62</v>
      </c>
      <c r="C99" s="499" t="s">
        <v>63</v>
      </c>
      <c r="D99" s="298" t="s">
        <v>64</v>
      </c>
      <c r="E99" s="298" t="s">
        <v>65</v>
      </c>
      <c r="F99" s="298" t="s">
        <v>66</v>
      </c>
      <c r="G99" s="298" t="s">
        <v>67</v>
      </c>
      <c r="H99" s="297" t="s">
        <v>68</v>
      </c>
    </row>
    <row r="100" spans="1:8">
      <c r="B100" s="266" t="s">
        <v>513</v>
      </c>
      <c r="C100" s="274" t="s">
        <v>13</v>
      </c>
      <c r="D100" s="274" t="s">
        <v>543</v>
      </c>
      <c r="E100" s="263" t="s">
        <v>531</v>
      </c>
      <c r="F100" s="263"/>
      <c r="G100" s="263"/>
      <c r="H100" s="265"/>
    </row>
    <row r="101" spans="1:8">
      <c r="B101" s="299"/>
      <c r="C101" s="274"/>
      <c r="D101" s="274" t="s">
        <v>544</v>
      </c>
      <c r="E101" s="263" t="s">
        <v>17</v>
      </c>
      <c r="F101" s="263" t="s">
        <v>545</v>
      </c>
      <c r="G101" s="263" t="s">
        <v>498</v>
      </c>
      <c r="H101" s="265"/>
    </row>
    <row r="102" spans="1:8">
      <c r="B102" s="317"/>
      <c r="C102" s="318"/>
      <c r="D102" s="274" t="s">
        <v>506</v>
      </c>
      <c r="E102" s="263" t="s">
        <v>506</v>
      </c>
      <c r="F102" s="263" t="s">
        <v>506</v>
      </c>
      <c r="G102" s="263" t="s">
        <v>506</v>
      </c>
      <c r="H102" s="266" t="s">
        <v>546</v>
      </c>
    </row>
    <row r="103" spans="1:8">
      <c r="B103" s="265"/>
      <c r="C103" s="300"/>
      <c r="D103" s="267"/>
      <c r="E103" s="267"/>
      <c r="F103" s="267"/>
      <c r="G103" s="267"/>
      <c r="H103" s="265"/>
    </row>
    <row r="104" spans="1:8">
      <c r="A104" s="262" t="s">
        <v>612</v>
      </c>
      <c r="B104" s="929" t="s">
        <v>1229</v>
      </c>
      <c r="C104" s="929">
        <v>0</v>
      </c>
      <c r="D104" s="929">
        <v>0</v>
      </c>
      <c r="E104" s="929">
        <v>0</v>
      </c>
      <c r="F104" s="929">
        <v>0</v>
      </c>
      <c r="G104" s="929">
        <v>0</v>
      </c>
      <c r="H104" s="916"/>
    </row>
    <row r="105" spans="1:8">
      <c r="A105" s="262" t="s">
        <v>613</v>
      </c>
      <c r="B105" s="929" t="s">
        <v>752</v>
      </c>
      <c r="C105" s="929">
        <v>-28709490</v>
      </c>
      <c r="D105" s="929">
        <v>0</v>
      </c>
      <c r="E105" s="929">
        <v>0</v>
      </c>
      <c r="F105" s="929">
        <v>0</v>
      </c>
      <c r="G105" s="929">
        <v>-28709490</v>
      </c>
      <c r="H105" s="916" t="s">
        <v>1042</v>
      </c>
    </row>
    <row r="106" spans="1:8">
      <c r="A106" s="262" t="s">
        <v>614</v>
      </c>
      <c r="B106" s="929" t="s">
        <v>864</v>
      </c>
      <c r="C106" s="929">
        <v>-1121038511</v>
      </c>
      <c r="D106" s="929">
        <v>-1121038511</v>
      </c>
      <c r="E106" s="929">
        <v>0</v>
      </c>
      <c r="F106" s="929">
        <v>0</v>
      </c>
      <c r="G106" s="929">
        <v>0</v>
      </c>
      <c r="H106" s="916" t="s">
        <v>1043</v>
      </c>
    </row>
    <row r="107" spans="1:8">
      <c r="A107" s="276" t="s">
        <v>615</v>
      </c>
      <c r="B107" s="929" t="s">
        <v>992</v>
      </c>
      <c r="C107" s="929">
        <v>-3411310</v>
      </c>
      <c r="D107" s="929">
        <v>0</v>
      </c>
      <c r="E107" s="929">
        <v>0</v>
      </c>
      <c r="F107" s="929">
        <v>0</v>
      </c>
      <c r="G107" s="929">
        <v>-3411310</v>
      </c>
      <c r="H107" s="916" t="s">
        <v>1042</v>
      </c>
    </row>
    <row r="108" spans="1:8">
      <c r="A108" s="276" t="s">
        <v>616</v>
      </c>
      <c r="B108" s="929" t="s">
        <v>17</v>
      </c>
      <c r="C108" s="929">
        <v>-213299037</v>
      </c>
      <c r="D108" s="929">
        <v>0</v>
      </c>
      <c r="E108" s="929">
        <v>-213299037</v>
      </c>
      <c r="F108" s="929">
        <v>0</v>
      </c>
      <c r="G108" s="929">
        <v>0</v>
      </c>
      <c r="H108" s="916" t="s">
        <v>991</v>
      </c>
    </row>
    <row r="109" spans="1:8">
      <c r="A109" s="276" t="s">
        <v>617</v>
      </c>
      <c r="B109" s="929"/>
      <c r="C109" s="929"/>
      <c r="D109" s="929"/>
      <c r="E109" s="929"/>
      <c r="F109" s="929"/>
      <c r="G109" s="929"/>
      <c r="H109" s="916"/>
    </row>
    <row r="110" spans="1:8">
      <c r="A110" s="276" t="s">
        <v>618</v>
      </c>
      <c r="B110" s="929"/>
      <c r="C110" s="929">
        <v>0</v>
      </c>
      <c r="D110" s="929"/>
      <c r="E110" s="929"/>
      <c r="F110" s="929"/>
      <c r="G110" s="929"/>
      <c r="H110" s="929"/>
    </row>
    <row r="111" spans="1:8">
      <c r="A111" s="276" t="s">
        <v>619</v>
      </c>
      <c r="B111" s="929"/>
      <c r="C111" s="929"/>
      <c r="D111" s="929"/>
      <c r="E111" s="929"/>
      <c r="F111" s="929"/>
      <c r="G111" s="929"/>
      <c r="H111" s="929"/>
    </row>
    <row r="112" spans="1:8">
      <c r="A112" s="276" t="s">
        <v>312</v>
      </c>
      <c r="B112" s="928"/>
      <c r="C112" s="929"/>
      <c r="D112" s="911"/>
      <c r="E112" s="911"/>
      <c r="F112" s="911"/>
      <c r="G112" s="911"/>
      <c r="H112" s="926"/>
    </row>
    <row r="113" spans="1:8">
      <c r="A113" s="276">
        <v>14</v>
      </c>
      <c r="B113" s="278" t="s">
        <v>1166</v>
      </c>
      <c r="C113" s="277">
        <f>SUM(C104:C112)</f>
        <v>-1366458348</v>
      </c>
      <c r="D113" s="277">
        <f>SUM(D103:D112)</f>
        <v>-1121038511</v>
      </c>
      <c r="E113" s="277">
        <f>SUM(E103:E112)</f>
        <v>-213299037</v>
      </c>
      <c r="F113" s="277">
        <f>SUM(F103:F112)</f>
        <v>0</v>
      </c>
      <c r="G113" s="277">
        <f>SUM(G103:G112)</f>
        <v>-32120800</v>
      </c>
      <c r="H113" s="504"/>
    </row>
    <row r="114" spans="1:8">
      <c r="A114" s="276">
        <v>15</v>
      </c>
      <c r="B114" s="278" t="s">
        <v>602</v>
      </c>
      <c r="C114" s="911">
        <v>-148820113</v>
      </c>
      <c r="D114" s="911">
        <v>-203000120</v>
      </c>
      <c r="E114" s="911">
        <v>52941001</v>
      </c>
      <c r="F114" s="911">
        <v>0</v>
      </c>
      <c r="G114" s="911">
        <v>1239006</v>
      </c>
      <c r="H114" s="926"/>
    </row>
    <row r="115" spans="1:8">
      <c r="A115" s="276">
        <v>16</v>
      </c>
      <c r="B115" s="278" t="s">
        <v>603</v>
      </c>
      <c r="C115" s="911"/>
      <c r="D115" s="911"/>
      <c r="E115" s="911"/>
      <c r="F115" s="911"/>
      <c r="G115" s="911"/>
      <c r="H115" s="926"/>
    </row>
    <row r="116" spans="1:8">
      <c r="A116" s="276">
        <v>17</v>
      </c>
      <c r="B116" s="278" t="s">
        <v>1281</v>
      </c>
      <c r="C116" s="277">
        <f>C113-C114</f>
        <v>-1217638235</v>
      </c>
      <c r="D116" s="277">
        <f>+D113-D114-D115</f>
        <v>-918038391</v>
      </c>
      <c r="E116" s="277">
        <f>+E113-E114-E115</f>
        <v>-266240038</v>
      </c>
      <c r="F116" s="277">
        <f>+F113-F114-F115</f>
        <v>0</v>
      </c>
      <c r="G116" s="277">
        <f>+G113-G114-G115</f>
        <v>-33359806</v>
      </c>
      <c r="H116" s="504"/>
    </row>
    <row r="117" spans="1:8">
      <c r="B117" s="299"/>
      <c r="C117" s="301"/>
      <c r="D117" s="301"/>
      <c r="E117" s="301"/>
      <c r="F117" s="301"/>
      <c r="G117" s="267"/>
      <c r="H117" s="302"/>
    </row>
    <row r="118" spans="1:8" ht="15" thickBot="1">
      <c r="B118" s="299"/>
      <c r="C118" s="303"/>
      <c r="D118" s="267"/>
      <c r="E118" s="267"/>
      <c r="F118" s="267"/>
      <c r="G118" s="282"/>
      <c r="H118" s="304"/>
    </row>
    <row r="119" spans="1:8">
      <c r="A119" s="276">
        <v>18</v>
      </c>
      <c r="B119" s="305" t="s">
        <v>620</v>
      </c>
      <c r="C119" s="306"/>
      <c r="D119" s="307"/>
      <c r="E119" s="307"/>
      <c r="F119" s="307"/>
      <c r="G119" s="308"/>
      <c r="H119" s="309"/>
    </row>
    <row r="120" spans="1:8">
      <c r="A120" s="276">
        <v>19</v>
      </c>
      <c r="B120" s="289" t="s">
        <v>605</v>
      </c>
      <c r="C120" s="310"/>
      <c r="D120" s="509"/>
      <c r="E120" s="509"/>
      <c r="F120" s="509"/>
      <c r="G120" s="509"/>
      <c r="H120" s="511"/>
    </row>
    <row r="121" spans="1:8">
      <c r="A121" s="276">
        <v>20</v>
      </c>
      <c r="B121" s="289" t="s">
        <v>606</v>
      </c>
      <c r="C121" s="290"/>
      <c r="D121" s="267"/>
      <c r="E121" s="267"/>
      <c r="F121" s="267"/>
      <c r="G121" s="282"/>
      <c r="H121" s="311"/>
    </row>
    <row r="122" spans="1:8">
      <c r="A122" s="276">
        <v>21</v>
      </c>
      <c r="B122" s="289" t="s">
        <v>607</v>
      </c>
      <c r="C122" s="290"/>
      <c r="D122" s="267"/>
      <c r="E122" s="267"/>
      <c r="F122" s="267"/>
      <c r="G122" s="282"/>
      <c r="H122" s="311"/>
    </row>
    <row r="123" spans="1:8">
      <c r="A123" s="276">
        <v>22</v>
      </c>
      <c r="B123" s="289" t="s">
        <v>608</v>
      </c>
      <c r="C123" s="290"/>
      <c r="D123" s="267"/>
      <c r="E123" s="267"/>
      <c r="F123" s="267"/>
      <c r="G123" s="282"/>
      <c r="H123" s="311"/>
    </row>
    <row r="124" spans="1:8">
      <c r="A124" s="276">
        <v>23</v>
      </c>
      <c r="B124" s="507" t="s">
        <v>609</v>
      </c>
      <c r="C124" s="512"/>
      <c r="D124" s="513"/>
      <c r="E124" s="513"/>
      <c r="F124" s="513"/>
      <c r="G124" s="513"/>
      <c r="H124" s="514"/>
    </row>
    <row r="125" spans="1:8">
      <c r="A125" s="276">
        <v>24</v>
      </c>
      <c r="B125" s="508" t="s">
        <v>610</v>
      </c>
      <c r="C125" s="513"/>
      <c r="D125" s="513"/>
      <c r="E125" s="513"/>
      <c r="F125" s="513"/>
      <c r="G125" s="513"/>
      <c r="H125" s="514"/>
    </row>
    <row r="126" spans="1:8" ht="15" thickBot="1">
      <c r="B126" s="292"/>
      <c r="C126" s="312"/>
      <c r="D126" s="313"/>
      <c r="E126" s="313"/>
      <c r="F126" s="313"/>
      <c r="G126" s="314"/>
      <c r="H126" s="315"/>
    </row>
    <row r="127" spans="1:8">
      <c r="B127" s="316"/>
      <c r="C127" s="290"/>
      <c r="D127" s="267"/>
      <c r="E127" s="267"/>
      <c r="F127" s="267"/>
      <c r="G127" s="282"/>
      <c r="H127" s="304"/>
    </row>
    <row r="128" spans="1:8">
      <c r="B128" s="1026" t="str">
        <f>'4A - ADIT Summary'!$G$65</f>
        <v>PECO Energy Company</v>
      </c>
      <c r="C128" s="1027"/>
      <c r="D128" s="1027"/>
      <c r="E128" s="1027"/>
      <c r="F128" s="1027"/>
      <c r="G128" s="1027"/>
      <c r="H128" s="1027"/>
    </row>
    <row r="129" spans="1:8" ht="15.6">
      <c r="B129" s="265" t="s">
        <v>529</v>
      </c>
      <c r="C129" s="265"/>
      <c r="D129" s="265"/>
      <c r="E129" s="265"/>
      <c r="F129" s="265"/>
      <c r="G129" s="265"/>
      <c r="H129" s="240"/>
    </row>
    <row r="130" spans="1:8">
      <c r="B130" s="265"/>
      <c r="C130" s="265"/>
      <c r="D130" s="265"/>
      <c r="E130" s="265"/>
      <c r="F130" s="265"/>
      <c r="G130" s="265"/>
      <c r="H130" s="264"/>
    </row>
    <row r="131" spans="1:8">
      <c r="B131" s="265"/>
      <c r="C131" s="265"/>
      <c r="D131" s="265"/>
      <c r="E131" s="265"/>
      <c r="F131" s="265"/>
      <c r="G131" s="265"/>
      <c r="H131" s="264" t="s">
        <v>529</v>
      </c>
    </row>
    <row r="132" spans="1:8">
      <c r="B132" s="280"/>
      <c r="C132" s="281"/>
      <c r="D132" s="267"/>
      <c r="E132" s="267"/>
      <c r="F132" s="267"/>
      <c r="G132" s="282"/>
      <c r="H132" s="264" t="s">
        <v>621</v>
      </c>
    </row>
    <row r="133" spans="1:8">
      <c r="B133" s="297" t="s">
        <v>62</v>
      </c>
      <c r="C133" s="499" t="s">
        <v>63</v>
      </c>
      <c r="D133" s="298" t="s">
        <v>64</v>
      </c>
      <c r="E133" s="298" t="s">
        <v>65</v>
      </c>
      <c r="F133" s="298" t="s">
        <v>66</v>
      </c>
      <c r="G133" s="298" t="s">
        <v>67</v>
      </c>
      <c r="H133" s="297" t="s">
        <v>68</v>
      </c>
    </row>
    <row r="134" spans="1:8">
      <c r="B134" s="266" t="s">
        <v>519</v>
      </c>
      <c r="C134" s="274" t="s">
        <v>13</v>
      </c>
      <c r="D134" s="274" t="s">
        <v>543</v>
      </c>
      <c r="E134" s="263" t="s">
        <v>531</v>
      </c>
      <c r="F134" s="263"/>
      <c r="G134" s="263"/>
      <c r="H134" s="265"/>
    </row>
    <row r="135" spans="1:8">
      <c r="B135" s="265"/>
      <c r="C135" s="274"/>
      <c r="D135" s="274" t="s">
        <v>544</v>
      </c>
      <c r="E135" s="263" t="s">
        <v>17</v>
      </c>
      <c r="F135" s="263" t="s">
        <v>545</v>
      </c>
      <c r="G135" s="263" t="s">
        <v>498</v>
      </c>
      <c r="H135" s="265"/>
    </row>
    <row r="136" spans="1:8">
      <c r="B136" s="317"/>
      <c r="C136" s="318"/>
      <c r="D136" s="274" t="s">
        <v>506</v>
      </c>
      <c r="E136" s="263" t="s">
        <v>506</v>
      </c>
      <c r="F136" s="263" t="s">
        <v>506</v>
      </c>
      <c r="G136" s="263" t="s">
        <v>506</v>
      </c>
      <c r="H136" s="266" t="s">
        <v>546</v>
      </c>
    </row>
    <row r="137" spans="1:8">
      <c r="B137" s="317"/>
      <c r="C137" s="318"/>
      <c r="D137" s="267"/>
      <c r="E137" s="267"/>
      <c r="F137" s="267"/>
      <c r="G137" s="267"/>
      <c r="H137" s="265"/>
    </row>
    <row r="138" spans="1:8">
      <c r="B138" s="317"/>
      <c r="C138" s="318"/>
      <c r="D138" s="267"/>
      <c r="E138" s="267"/>
      <c r="F138" s="267"/>
      <c r="G138" s="267"/>
      <c r="H138" s="265"/>
    </row>
    <row r="139" spans="1:8">
      <c r="A139" s="262">
        <v>25</v>
      </c>
      <c r="B139" s="910" t="s">
        <v>1004</v>
      </c>
      <c r="C139" s="911">
        <v>-6674279.3204684099</v>
      </c>
      <c r="D139" s="911">
        <v>-6674279.3204684099</v>
      </c>
      <c r="E139" s="911">
        <v>0</v>
      </c>
      <c r="F139" s="911">
        <v>0</v>
      </c>
      <c r="G139" s="911">
        <v>0</v>
      </c>
      <c r="H139" s="923" t="s">
        <v>1037</v>
      </c>
    </row>
    <row r="140" spans="1:8">
      <c r="A140" s="262" t="s">
        <v>622</v>
      </c>
      <c r="B140" s="911" t="s">
        <v>993</v>
      </c>
      <c r="C140" s="911">
        <v>-1172108</v>
      </c>
      <c r="D140" s="911">
        <v>-1172108</v>
      </c>
      <c r="E140" s="911">
        <v>0</v>
      </c>
      <c r="F140" s="911">
        <v>0</v>
      </c>
      <c r="G140" s="911">
        <v>0</v>
      </c>
      <c r="H140" s="916" t="s">
        <v>1037</v>
      </c>
    </row>
    <row r="141" spans="1:8">
      <c r="A141" s="262" t="s">
        <v>623</v>
      </c>
      <c r="B141" s="911" t="s">
        <v>1005</v>
      </c>
      <c r="C141" s="911">
        <v>-432825</v>
      </c>
      <c r="D141" s="911">
        <v>0</v>
      </c>
      <c r="E141" s="911">
        <v>0</v>
      </c>
      <c r="F141" s="911">
        <v>-432825</v>
      </c>
      <c r="G141" s="911">
        <v>0</v>
      </c>
      <c r="H141" s="916" t="s">
        <v>1044</v>
      </c>
    </row>
    <row r="142" spans="1:8">
      <c r="A142" s="262" t="s">
        <v>624</v>
      </c>
      <c r="B142" s="911" t="s">
        <v>994</v>
      </c>
      <c r="C142" s="911">
        <v>-2105888.8736727112</v>
      </c>
      <c r="D142" s="911">
        <v>-2105888.8736727112</v>
      </c>
      <c r="E142" s="911">
        <v>0</v>
      </c>
      <c r="F142" s="911">
        <v>0</v>
      </c>
      <c r="G142" s="911">
        <v>0</v>
      </c>
      <c r="H142" s="916" t="s">
        <v>1037</v>
      </c>
    </row>
    <row r="143" spans="1:8">
      <c r="A143" s="276" t="s">
        <v>625</v>
      </c>
      <c r="B143" s="911" t="s">
        <v>995</v>
      </c>
      <c r="C143" s="911">
        <v>0.33137688018905465</v>
      </c>
      <c r="D143" s="911">
        <v>0.33137688018905465</v>
      </c>
      <c r="E143" s="911">
        <v>0</v>
      </c>
      <c r="F143" s="911">
        <v>0</v>
      </c>
      <c r="G143" s="913">
        <v>0</v>
      </c>
      <c r="H143" s="916" t="s">
        <v>1037</v>
      </c>
    </row>
    <row r="144" spans="1:8">
      <c r="A144" s="276" t="s">
        <v>626</v>
      </c>
      <c r="B144" s="911" t="s">
        <v>996</v>
      </c>
      <c r="C144" s="911">
        <v>-74577.10436783194</v>
      </c>
      <c r="D144" s="911">
        <v>-74577.10436783194</v>
      </c>
      <c r="E144" s="911">
        <v>0</v>
      </c>
      <c r="F144" s="911">
        <v>0</v>
      </c>
      <c r="G144" s="911">
        <v>0</v>
      </c>
      <c r="H144" s="918" t="s">
        <v>1037</v>
      </c>
    </row>
    <row r="145" spans="1:8">
      <c r="A145" s="276" t="s">
        <v>627</v>
      </c>
      <c r="B145" s="911" t="s">
        <v>997</v>
      </c>
      <c r="C145" s="911">
        <v>-19564.345772842556</v>
      </c>
      <c r="D145" s="911">
        <v>-19564.345772842556</v>
      </c>
      <c r="E145" s="911">
        <v>0</v>
      </c>
      <c r="F145" s="911">
        <v>0</v>
      </c>
      <c r="G145" s="911">
        <v>0</v>
      </c>
      <c r="H145" s="914" t="s">
        <v>1037</v>
      </c>
    </row>
    <row r="146" spans="1:8">
      <c r="A146" s="276" t="s">
        <v>628</v>
      </c>
      <c r="B146" s="911" t="s">
        <v>1045</v>
      </c>
      <c r="C146" s="911">
        <v>-198976.38274163485</v>
      </c>
      <c r="D146" s="911">
        <v>-198976.38274163485</v>
      </c>
      <c r="E146" s="911">
        <v>0</v>
      </c>
      <c r="F146" s="911">
        <v>0</v>
      </c>
      <c r="G146" s="911">
        <v>0</v>
      </c>
      <c r="H146" s="916" t="s">
        <v>1037</v>
      </c>
    </row>
    <row r="147" spans="1:8">
      <c r="A147" s="276" t="s">
        <v>629</v>
      </c>
      <c r="B147" s="911" t="s">
        <v>1046</v>
      </c>
      <c r="C147" s="911">
        <v>-577496</v>
      </c>
      <c r="D147" s="911">
        <v>-577496</v>
      </c>
      <c r="E147" s="911">
        <v>0</v>
      </c>
      <c r="F147" s="911">
        <v>0</v>
      </c>
      <c r="G147" s="911">
        <v>0</v>
      </c>
      <c r="H147" s="916" t="s">
        <v>1037</v>
      </c>
    </row>
    <row r="148" spans="1:8">
      <c r="A148" s="276" t="s">
        <v>630</v>
      </c>
      <c r="B148" s="911" t="s">
        <v>998</v>
      </c>
      <c r="C148" s="911">
        <v>0</v>
      </c>
      <c r="D148" s="911">
        <v>0</v>
      </c>
      <c r="E148" s="911">
        <v>0</v>
      </c>
      <c r="F148" s="911">
        <v>0</v>
      </c>
      <c r="G148" s="911">
        <v>0</v>
      </c>
      <c r="H148" s="916" t="s">
        <v>1047</v>
      </c>
    </row>
    <row r="149" spans="1:8">
      <c r="A149" s="276" t="s">
        <v>631</v>
      </c>
      <c r="B149" s="911" t="s">
        <v>1048</v>
      </c>
      <c r="C149" s="911">
        <v>-568355</v>
      </c>
      <c r="D149" s="911">
        <v>-568355</v>
      </c>
      <c r="E149" s="911">
        <v>0</v>
      </c>
      <c r="F149" s="911">
        <v>0</v>
      </c>
      <c r="G149" s="911">
        <v>0</v>
      </c>
      <c r="H149" s="916" t="s">
        <v>968</v>
      </c>
    </row>
    <row r="150" spans="1:8">
      <c r="A150" s="276" t="s">
        <v>632</v>
      </c>
      <c r="B150" s="911" t="s">
        <v>1049</v>
      </c>
      <c r="C150" s="911">
        <v>0</v>
      </c>
      <c r="D150" s="911">
        <v>0</v>
      </c>
      <c r="E150" s="911">
        <v>0</v>
      </c>
      <c r="F150" s="911">
        <v>0</v>
      </c>
      <c r="G150" s="911">
        <v>0</v>
      </c>
      <c r="H150" s="918">
        <v>0</v>
      </c>
    </row>
    <row r="151" spans="1:8" ht="28.8">
      <c r="A151" s="276" t="s">
        <v>633</v>
      </c>
      <c r="B151" s="911" t="s">
        <v>1050</v>
      </c>
      <c r="C151" s="911">
        <v>-153762.71341534203</v>
      </c>
      <c r="D151" s="911">
        <v>0</v>
      </c>
      <c r="E151" s="911">
        <v>0</v>
      </c>
      <c r="F151" s="911">
        <v>-153762.71341534203</v>
      </c>
      <c r="G151" s="911">
        <v>0</v>
      </c>
      <c r="H151" s="916" t="s">
        <v>1051</v>
      </c>
    </row>
    <row r="152" spans="1:8">
      <c r="A152" s="276" t="s">
        <v>634</v>
      </c>
      <c r="B152" s="911" t="s">
        <v>1052</v>
      </c>
      <c r="C152" s="911">
        <v>-1461442.3188827867</v>
      </c>
      <c r="D152" s="911">
        <v>0</v>
      </c>
      <c r="E152" s="911">
        <v>0</v>
      </c>
      <c r="F152" s="911">
        <v>0</v>
      </c>
      <c r="G152" s="911">
        <v>-1461442.3188827867</v>
      </c>
      <c r="H152" s="916" t="s">
        <v>1053</v>
      </c>
    </row>
    <row r="153" spans="1:8">
      <c r="A153" s="276" t="s">
        <v>635</v>
      </c>
      <c r="B153" s="911" t="s">
        <v>1054</v>
      </c>
      <c r="C153" s="911">
        <v>-3581501.8396892999</v>
      </c>
      <c r="D153" s="911">
        <v>-3581501.8396892999</v>
      </c>
      <c r="E153" s="911">
        <v>0</v>
      </c>
      <c r="F153" s="911">
        <v>0</v>
      </c>
      <c r="G153" s="911">
        <v>0</v>
      </c>
      <c r="H153" s="916" t="s">
        <v>1037</v>
      </c>
    </row>
    <row r="154" spans="1:8">
      <c r="A154" s="276" t="s">
        <v>636</v>
      </c>
      <c r="B154" s="911" t="s">
        <v>1330</v>
      </c>
      <c r="C154" s="911">
        <v>-245785.7012832</v>
      </c>
      <c r="D154" s="911">
        <v>-245785.7012832</v>
      </c>
      <c r="E154" s="911">
        <v>0</v>
      </c>
      <c r="F154" s="911">
        <v>0</v>
      </c>
      <c r="G154" s="911">
        <v>0</v>
      </c>
      <c r="H154" s="922" t="s">
        <v>1037</v>
      </c>
    </row>
    <row r="155" spans="1:8" hidden="1">
      <c r="A155" s="276" t="s">
        <v>637</v>
      </c>
      <c r="B155" s="911" t="s">
        <v>1331</v>
      </c>
      <c r="C155" s="911">
        <v>-390761.32982099999</v>
      </c>
      <c r="D155" s="911">
        <v>-390761.32982099999</v>
      </c>
      <c r="E155" s="911">
        <v>0</v>
      </c>
      <c r="F155" s="911">
        <v>0</v>
      </c>
      <c r="G155" s="911">
        <v>0</v>
      </c>
      <c r="H155" s="923" t="s">
        <v>1037</v>
      </c>
    </row>
    <row r="156" spans="1:8" hidden="1">
      <c r="A156" s="276" t="s">
        <v>638</v>
      </c>
      <c r="B156" s="911" t="s">
        <v>976</v>
      </c>
      <c r="C156" s="911">
        <v>-208177.84155093922</v>
      </c>
      <c r="D156" s="911">
        <v>0</v>
      </c>
      <c r="E156" s="911">
        <v>0</v>
      </c>
      <c r="F156" s="911">
        <v>0</v>
      </c>
      <c r="G156" s="911">
        <v>-208177.84155093922</v>
      </c>
      <c r="H156" s="923" t="s">
        <v>1022</v>
      </c>
    </row>
    <row r="157" spans="1:8" hidden="1">
      <c r="A157" s="276" t="s">
        <v>639</v>
      </c>
      <c r="B157" s="911" t="s">
        <v>1332</v>
      </c>
      <c r="C157" s="911">
        <v>-127942.94572800001</v>
      </c>
      <c r="D157" s="911">
        <v>0</v>
      </c>
      <c r="E157" s="911">
        <v>0</v>
      </c>
      <c r="F157" s="911">
        <v>-127942.94572800001</v>
      </c>
      <c r="G157" s="911">
        <v>0</v>
      </c>
      <c r="H157" s="923" t="s">
        <v>1056</v>
      </c>
    </row>
    <row r="158" spans="1:8" hidden="1">
      <c r="A158" s="276" t="s">
        <v>640</v>
      </c>
      <c r="B158" s="911" t="s">
        <v>1055</v>
      </c>
      <c r="C158" s="911">
        <v>4.0715866245602683</v>
      </c>
      <c r="D158" s="911">
        <v>4.0715866245602683</v>
      </c>
      <c r="E158" s="911">
        <v>0</v>
      </c>
      <c r="F158" s="911">
        <v>0</v>
      </c>
      <c r="G158" s="911">
        <v>0</v>
      </c>
      <c r="H158" s="923" t="s">
        <v>1037</v>
      </c>
    </row>
    <row r="159" spans="1:8" hidden="1">
      <c r="A159" s="276" t="s">
        <v>641</v>
      </c>
      <c r="B159" s="911" t="s">
        <v>1057</v>
      </c>
      <c r="C159" s="911">
        <v>-38518.078355327998</v>
      </c>
      <c r="D159" s="911">
        <v>0</v>
      </c>
      <c r="E159" s="911">
        <v>0</v>
      </c>
      <c r="F159" s="911">
        <v>0</v>
      </c>
      <c r="G159" s="911">
        <v>-38518.078355327998</v>
      </c>
      <c r="H159" s="923" t="s">
        <v>1034</v>
      </c>
    </row>
    <row r="160" spans="1:8" hidden="1">
      <c r="A160" s="276" t="s">
        <v>642</v>
      </c>
      <c r="B160" s="911" t="s">
        <v>982</v>
      </c>
      <c r="C160" s="911">
        <v>-2217430.42359616</v>
      </c>
      <c r="D160" s="911">
        <v>-2217430.42359616</v>
      </c>
      <c r="E160" s="911">
        <v>0</v>
      </c>
      <c r="F160" s="911">
        <v>0</v>
      </c>
      <c r="G160" s="911">
        <v>0</v>
      </c>
      <c r="H160" s="923" t="s">
        <v>1058</v>
      </c>
    </row>
    <row r="161" spans="1:10" hidden="1">
      <c r="A161" s="276" t="s">
        <v>643</v>
      </c>
      <c r="B161" s="911" t="s">
        <v>1001</v>
      </c>
      <c r="C161" s="911">
        <v>-90086556</v>
      </c>
      <c r="D161" s="911">
        <v>0</v>
      </c>
      <c r="E161" s="911">
        <v>0</v>
      </c>
      <c r="F161" s="911">
        <v>0</v>
      </c>
      <c r="G161" s="911">
        <v>-90086556</v>
      </c>
      <c r="H161" s="922" t="s">
        <v>1034</v>
      </c>
    </row>
    <row r="162" spans="1:10" hidden="1">
      <c r="A162" s="276" t="s">
        <v>644</v>
      </c>
      <c r="B162" s="911" t="s">
        <v>1333</v>
      </c>
      <c r="C162" s="911">
        <v>-9147256</v>
      </c>
      <c r="D162" s="911">
        <v>-9147256</v>
      </c>
      <c r="E162" s="911">
        <v>0</v>
      </c>
      <c r="F162" s="911">
        <v>0</v>
      </c>
      <c r="G162" s="911">
        <v>0</v>
      </c>
      <c r="H162" s="925" t="s">
        <v>1334</v>
      </c>
    </row>
    <row r="163" spans="1:10" hidden="1">
      <c r="A163" s="276" t="s">
        <v>645</v>
      </c>
      <c r="B163" s="911" t="s">
        <v>1006</v>
      </c>
      <c r="C163" s="911">
        <v>-3254291</v>
      </c>
      <c r="D163" s="911">
        <v>0</v>
      </c>
      <c r="E163" s="911">
        <v>0</v>
      </c>
      <c r="F163" s="911">
        <v>-3254291</v>
      </c>
      <c r="G163" s="911">
        <v>0</v>
      </c>
      <c r="H163" s="912" t="s">
        <v>1059</v>
      </c>
    </row>
    <row r="164" spans="1:10" hidden="1">
      <c r="A164" s="276" t="s">
        <v>646</v>
      </c>
      <c r="B164" s="911"/>
      <c r="C164" s="911"/>
      <c r="D164" s="911"/>
      <c r="E164" s="911"/>
      <c r="F164" s="911"/>
      <c r="G164" s="911"/>
      <c r="H164" s="922"/>
    </row>
    <row r="165" spans="1:10" hidden="1">
      <c r="A165" s="276" t="s">
        <v>647</v>
      </c>
      <c r="B165" s="911"/>
      <c r="C165" s="911"/>
      <c r="D165" s="911"/>
      <c r="E165" s="911"/>
      <c r="F165" s="911"/>
      <c r="G165" s="911"/>
      <c r="H165" s="922"/>
    </row>
    <row r="166" spans="1:10" hidden="1">
      <c r="A166" s="276" t="s">
        <v>648</v>
      </c>
      <c r="B166" s="911"/>
      <c r="C166" s="911"/>
      <c r="D166" s="911"/>
      <c r="E166" s="911"/>
      <c r="F166" s="911"/>
      <c r="G166" s="911"/>
      <c r="H166" s="923"/>
    </row>
    <row r="167" spans="1:10" hidden="1">
      <c r="A167" s="276" t="s">
        <v>649</v>
      </c>
      <c r="B167" s="922"/>
      <c r="C167" s="911"/>
      <c r="D167" s="911"/>
      <c r="E167" s="911"/>
      <c r="F167" s="911"/>
      <c r="G167" s="911"/>
      <c r="H167" s="922"/>
    </row>
    <row r="168" spans="1:10" hidden="1">
      <c r="A168" s="276" t="s">
        <v>650</v>
      </c>
      <c r="B168" s="922"/>
      <c r="C168" s="911"/>
      <c r="D168" s="911"/>
      <c r="E168" s="911"/>
      <c r="F168" s="911"/>
      <c r="G168" s="911"/>
      <c r="H168" s="930"/>
    </row>
    <row r="169" spans="1:10" hidden="1">
      <c r="A169" s="276" t="s">
        <v>651</v>
      </c>
      <c r="B169" s="922"/>
      <c r="C169" s="911"/>
      <c r="D169" s="911"/>
      <c r="E169" s="911"/>
      <c r="F169" s="911"/>
      <c r="G169" s="911"/>
      <c r="H169" s="922"/>
    </row>
    <row r="170" spans="1:10" hidden="1">
      <c r="A170" s="276" t="s">
        <v>652</v>
      </c>
      <c r="B170" s="931"/>
      <c r="C170" s="911"/>
      <c r="D170" s="911"/>
      <c r="E170" s="911"/>
      <c r="F170" s="911"/>
      <c r="G170" s="911"/>
      <c r="H170" s="932"/>
    </row>
    <row r="171" spans="1:10" hidden="1">
      <c r="A171" s="262" t="s">
        <v>653</v>
      </c>
      <c r="B171" s="928"/>
      <c r="C171" s="911"/>
      <c r="D171" s="911"/>
      <c r="E171" s="911"/>
      <c r="F171" s="911"/>
      <c r="G171" s="911"/>
      <c r="H171" s="933"/>
    </row>
    <row r="172" spans="1:10" hidden="1">
      <c r="A172" s="262" t="s">
        <v>654</v>
      </c>
      <c r="B172" s="934"/>
      <c r="C172" s="911"/>
      <c r="D172" s="911"/>
      <c r="E172" s="911"/>
      <c r="F172" s="911"/>
      <c r="G172" s="911"/>
      <c r="H172" s="932"/>
    </row>
    <row r="173" spans="1:10">
      <c r="A173" s="276" t="s">
        <v>654</v>
      </c>
      <c r="B173" s="928"/>
      <c r="C173" s="911"/>
      <c r="D173" s="911"/>
      <c r="E173" s="911"/>
      <c r="F173" s="911"/>
      <c r="G173" s="911"/>
      <c r="H173" s="935"/>
    </row>
    <row r="174" spans="1:10">
      <c r="A174" s="262">
        <v>26</v>
      </c>
      <c r="B174" s="278" t="s">
        <v>1168</v>
      </c>
      <c r="C174" s="319">
        <f>SUM(C139:C173)</f>
        <v>-122737491.81638199</v>
      </c>
      <c r="D174" s="319">
        <f>SUM(D139:D173)</f>
        <v>-26973975.918449584</v>
      </c>
      <c r="E174" s="319">
        <f>SUM(E136:E173)</f>
        <v>0</v>
      </c>
      <c r="F174" s="319">
        <f>SUM(F136:F173)</f>
        <v>-3968821.6591433422</v>
      </c>
      <c r="G174" s="319">
        <f>SUM(G136:G173)</f>
        <v>-91794694.238789052</v>
      </c>
      <c r="H174" s="515"/>
      <c r="J174" s="505"/>
    </row>
    <row r="175" spans="1:10">
      <c r="A175" s="262">
        <v>27</v>
      </c>
      <c r="B175" s="278" t="s">
        <v>602</v>
      </c>
      <c r="C175" s="936">
        <v>17006873.376000002</v>
      </c>
      <c r="D175" s="936">
        <v>-1581508</v>
      </c>
      <c r="E175" s="936">
        <v>0</v>
      </c>
      <c r="F175" s="936">
        <v>2358306</v>
      </c>
      <c r="G175" s="936">
        <v>16230075.376000002</v>
      </c>
      <c r="H175" s="935" t="s">
        <v>1329</v>
      </c>
    </row>
    <row r="176" spans="1:10">
      <c r="A176" s="262">
        <v>28</v>
      </c>
      <c r="B176" s="278" t="s">
        <v>603</v>
      </c>
      <c r="C176" s="911"/>
      <c r="D176" s="936"/>
      <c r="E176" s="936"/>
      <c r="F176" s="936"/>
      <c r="G176" s="936"/>
      <c r="H176" s="935"/>
    </row>
    <row r="177" spans="1:8">
      <c r="A177" s="276">
        <v>29</v>
      </c>
      <c r="B177" s="278" t="s">
        <v>13</v>
      </c>
      <c r="C177" s="319">
        <f>C174-C175-C176</f>
        <v>-139744365.19238198</v>
      </c>
      <c r="D177" s="319">
        <f>+D174-D175-D176</f>
        <v>-25392467.918449584</v>
      </c>
      <c r="E177" s="319">
        <f>+E174-E175-E176</f>
        <v>0</v>
      </c>
      <c r="F177" s="319">
        <f>+F174-F175-F176</f>
        <v>-6327127.6591433417</v>
      </c>
      <c r="G177" s="319">
        <f>+G174-G175-G176</f>
        <v>-108024769.61478905</v>
      </c>
      <c r="H177" s="515"/>
    </row>
    <row r="178" spans="1:8" ht="15" thickBot="1">
      <c r="A178" s="276"/>
      <c r="B178" s="299"/>
      <c r="C178" s="320"/>
      <c r="D178" s="320"/>
      <c r="E178" s="320"/>
      <c r="F178" s="320"/>
      <c r="G178" s="320"/>
      <c r="H178" s="516"/>
    </row>
    <row r="179" spans="1:8">
      <c r="A179" s="276">
        <v>30</v>
      </c>
      <c r="B179" s="305" t="s">
        <v>655</v>
      </c>
    </row>
    <row r="180" spans="1:8">
      <c r="A180" s="276">
        <v>31</v>
      </c>
      <c r="B180" s="289" t="s">
        <v>605</v>
      </c>
    </row>
    <row r="181" spans="1:8">
      <c r="A181" s="276">
        <v>32</v>
      </c>
      <c r="B181" s="289" t="s">
        <v>606</v>
      </c>
    </row>
    <row r="182" spans="1:8">
      <c r="A182" s="276">
        <v>33</v>
      </c>
      <c r="B182" s="289" t="s">
        <v>607</v>
      </c>
    </row>
    <row r="183" spans="1:8">
      <c r="A183" s="276">
        <v>34</v>
      </c>
      <c r="B183" s="289" t="s">
        <v>608</v>
      </c>
    </row>
    <row r="184" spans="1:8">
      <c r="A184" s="276">
        <v>35</v>
      </c>
      <c r="B184" s="507" t="s">
        <v>609</v>
      </c>
    </row>
    <row r="185" spans="1:8">
      <c r="A185" s="276">
        <v>36</v>
      </c>
      <c r="B185" s="508" t="s">
        <v>610</v>
      </c>
    </row>
    <row r="186" spans="1:8">
      <c r="B186" s="316"/>
    </row>
    <row r="187" spans="1:8">
      <c r="B187" s="265"/>
    </row>
    <row r="188" spans="1:8">
      <c r="B188" s="265"/>
    </row>
  </sheetData>
  <sheetProtection algorithmName="SHA-512" hashValue="0TzrPjRzL/nBotxw1bNajo7ehtJIn+VNUjMBmSls8AVDO8yU3yzO+V7ZVlFM0tt/9iM0pbkoqraMWTwMQvTwmg==" saltValue="79JRmvx8OmssMaJdIj4BRg==" spinCount="100000" sheet="1" objects="1" scenarios="1"/>
  <mergeCells count="4">
    <mergeCell ref="B1:H1"/>
    <mergeCell ref="B91:H91"/>
    <mergeCell ref="B128:H128"/>
    <mergeCell ref="B2:H2"/>
  </mergeCells>
  <pageMargins left="0.7" right="0.7" top="0.75" bottom="0.75" header="0.3" footer="0.3"/>
  <pageSetup scale="45" fitToHeight="0" orientation="landscape" r:id="rId1"/>
  <rowBreaks count="2" manualBreakCount="2">
    <brk id="90" max="7" man="1"/>
    <brk id="126"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82"/>
  <sheetViews>
    <sheetView zoomScale="60" zoomScaleNormal="60" workbookViewId="0"/>
  </sheetViews>
  <sheetFormatPr defaultColWidth="8.90625" defaultRowHeight="14.4"/>
  <cols>
    <col min="1" max="1" width="4.90625" style="262" customWidth="1"/>
    <col min="2" max="2" width="51.36328125" style="273" customWidth="1"/>
    <col min="3" max="3" width="14.1796875" style="273" customWidth="1"/>
    <col min="4" max="4" width="16" style="273" customWidth="1"/>
    <col min="5" max="5" width="13.1796875" style="273" customWidth="1"/>
    <col min="6" max="6" width="11.81640625" style="273" customWidth="1"/>
    <col min="7" max="7" width="11.6328125" style="273" bestFit="1" customWidth="1"/>
    <col min="8" max="8" width="103.81640625" style="708" customWidth="1"/>
    <col min="9" max="9" width="8.90625" style="487"/>
    <col min="10" max="10" width="8.81640625" style="487" customWidth="1"/>
    <col min="11" max="16384" width="8.90625" style="487"/>
  </cols>
  <sheetData>
    <row r="1" spans="1:9">
      <c r="B1" s="1024" t="s">
        <v>1173</v>
      </c>
      <c r="C1" s="1025"/>
      <c r="D1" s="1025"/>
      <c r="E1" s="1025"/>
      <c r="F1" s="1025"/>
      <c r="G1" s="1025"/>
      <c r="H1" s="1025"/>
      <c r="I1" s="241"/>
    </row>
    <row r="2" spans="1:9">
      <c r="B2" s="1026" t="str">
        <f>'4A - ADIT Summary'!$G$65</f>
        <v>PECO Energy Company</v>
      </c>
      <c r="C2" s="1027"/>
      <c r="D2" s="1027"/>
      <c r="E2" s="1027"/>
      <c r="F2" s="1027"/>
      <c r="G2" s="1027"/>
      <c r="H2" s="1027"/>
      <c r="I2" s="241"/>
    </row>
    <row r="3" spans="1:9">
      <c r="B3" s="265" t="s">
        <v>656</v>
      </c>
      <c r="C3" s="265"/>
      <c r="D3" s="265"/>
      <c r="E3" s="265"/>
      <c r="F3" s="265"/>
      <c r="G3" s="265"/>
      <c r="H3" s="704"/>
      <c r="I3" s="241"/>
    </row>
    <row r="4" spans="1:9">
      <c r="B4" s="297" t="s">
        <v>62</v>
      </c>
      <c r="C4" s="298" t="s">
        <v>63</v>
      </c>
      <c r="D4" s="298" t="s">
        <v>64</v>
      </c>
      <c r="E4" s="298" t="s">
        <v>65</v>
      </c>
      <c r="F4" s="298" t="s">
        <v>66</v>
      </c>
      <c r="G4" s="298" t="s">
        <v>67</v>
      </c>
      <c r="H4" s="704" t="s">
        <v>656</v>
      </c>
      <c r="I4" s="241"/>
    </row>
    <row r="5" spans="1:9">
      <c r="B5" s="265"/>
      <c r="C5" s="265"/>
      <c r="D5" s="265"/>
      <c r="E5" s="263" t="s">
        <v>531</v>
      </c>
      <c r="F5" s="267"/>
      <c r="G5" s="263"/>
      <c r="H5" s="704" t="s">
        <v>530</v>
      </c>
      <c r="I5" s="241"/>
    </row>
    <row r="6" spans="1:9">
      <c r="B6" s="265"/>
      <c r="C6" s="265"/>
      <c r="D6" s="265"/>
      <c r="E6" s="263" t="s">
        <v>17</v>
      </c>
      <c r="F6" s="263" t="s">
        <v>545</v>
      </c>
      <c r="G6" s="263" t="s">
        <v>498</v>
      </c>
      <c r="H6" s="705"/>
      <c r="I6" s="241"/>
    </row>
    <row r="7" spans="1:9">
      <c r="B7" s="265"/>
      <c r="C7" s="500" t="s">
        <v>13</v>
      </c>
      <c r="D7" s="265"/>
      <c r="E7" s="263" t="s">
        <v>506</v>
      </c>
      <c r="F7" s="263" t="s">
        <v>506</v>
      </c>
      <c r="G7" s="263" t="s">
        <v>506</v>
      </c>
      <c r="H7" s="705"/>
      <c r="I7" s="241"/>
    </row>
    <row r="8" spans="1:9">
      <c r="B8" s="265"/>
      <c r="C8" s="265"/>
      <c r="D8" s="265"/>
      <c r="E8" s="267"/>
      <c r="F8" s="267"/>
      <c r="G8" s="267"/>
      <c r="H8" s="704"/>
      <c r="I8" s="241"/>
    </row>
    <row r="9" spans="1:9">
      <c r="A9" s="262" t="s">
        <v>532</v>
      </c>
      <c r="B9" s="266" t="s">
        <v>513</v>
      </c>
      <c r="C9" s="321">
        <f>+C111</f>
        <v>-1236594468</v>
      </c>
      <c r="D9" s="265"/>
      <c r="E9" s="321">
        <f>E111</f>
        <v>-279795404</v>
      </c>
      <c r="F9" s="321">
        <f>F111</f>
        <v>0</v>
      </c>
      <c r="G9" s="321">
        <f>G111</f>
        <v>-32402074</v>
      </c>
      <c r="H9" s="513" t="s">
        <v>535</v>
      </c>
      <c r="I9" s="241"/>
    </row>
    <row r="10" spans="1:9">
      <c r="A10" s="262" t="s">
        <v>534</v>
      </c>
      <c r="B10" s="266" t="s">
        <v>519</v>
      </c>
      <c r="C10" s="321">
        <f>+C173</f>
        <v>-136693380.3008</v>
      </c>
      <c r="D10" s="265"/>
      <c r="E10" s="321">
        <f>E173</f>
        <v>0</v>
      </c>
      <c r="F10" s="321">
        <f>F173</f>
        <v>-5597527.049480346</v>
      </c>
      <c r="G10" s="321">
        <f>G173</f>
        <v>-107696384.83756882</v>
      </c>
      <c r="H10" s="513" t="s">
        <v>537</v>
      </c>
      <c r="I10" s="241"/>
    </row>
    <row r="11" spans="1:9">
      <c r="A11" s="262" t="s">
        <v>536</v>
      </c>
      <c r="B11" s="266" t="s">
        <v>522</v>
      </c>
      <c r="C11" s="321">
        <f>+C76</f>
        <v>178672638.75512001</v>
      </c>
      <c r="D11" s="265"/>
      <c r="E11" s="321">
        <f>E76</f>
        <v>0</v>
      </c>
      <c r="F11" s="321">
        <f>F76</f>
        <v>14054397.525985844</v>
      </c>
      <c r="G11" s="321">
        <f>G76</f>
        <v>135033251.59999999</v>
      </c>
      <c r="H11" s="513" t="s">
        <v>533</v>
      </c>
      <c r="I11" s="241"/>
    </row>
    <row r="12" spans="1:9">
      <c r="A12" s="262" t="s">
        <v>538</v>
      </c>
      <c r="B12" s="266" t="s">
        <v>539</v>
      </c>
      <c r="C12" s="321">
        <f>SUM(C9:C11)</f>
        <v>-1194615209.54568</v>
      </c>
      <c r="D12" s="265"/>
      <c r="E12" s="321">
        <f>SUM(E9:E11)</f>
        <v>-279795404</v>
      </c>
      <c r="F12" s="321">
        <f>SUM(F9:F11)</f>
        <v>8456870.4765054993</v>
      </c>
      <c r="G12" s="321">
        <f>SUM(G9:G11)</f>
        <v>-5065207.2375688255</v>
      </c>
      <c r="H12" s="513" t="s">
        <v>540</v>
      </c>
      <c r="I12" s="241"/>
    </row>
    <row r="13" spans="1:9">
      <c r="B13" s="266"/>
      <c r="C13" s="321"/>
      <c r="D13" s="321"/>
      <c r="E13" s="322"/>
      <c r="F13" s="322"/>
      <c r="G13" s="322"/>
      <c r="H13" s="706"/>
      <c r="I13" s="241"/>
    </row>
    <row r="14" spans="1:9">
      <c r="B14" s="265"/>
      <c r="C14" s="321"/>
      <c r="D14" s="321"/>
      <c r="E14" s="321"/>
      <c r="F14" s="321"/>
      <c r="G14" s="321"/>
      <c r="H14" s="706"/>
      <c r="I14" s="241"/>
    </row>
    <row r="15" spans="1:9">
      <c r="B15" s="266"/>
      <c r="C15" s="321"/>
      <c r="D15" s="321"/>
      <c r="E15" s="321"/>
      <c r="F15" s="321"/>
      <c r="G15" s="321"/>
      <c r="H15" s="707"/>
      <c r="I15" s="241"/>
    </row>
    <row r="16" spans="1:9">
      <c r="B16" s="265"/>
      <c r="C16" s="267"/>
      <c r="D16" s="267"/>
      <c r="E16" s="267"/>
      <c r="F16" s="267"/>
      <c r="G16" s="267"/>
      <c r="H16" s="705"/>
      <c r="I16" s="241"/>
    </row>
    <row r="17" spans="1:12">
      <c r="A17" s="262" t="s">
        <v>8</v>
      </c>
      <c r="B17" s="323" t="s">
        <v>541</v>
      </c>
      <c r="C17" s="324"/>
      <c r="D17" s="267"/>
      <c r="E17" s="267"/>
      <c r="F17" s="267"/>
      <c r="G17" s="267"/>
      <c r="H17" s="705"/>
      <c r="I17" s="241"/>
    </row>
    <row r="18" spans="1:12">
      <c r="B18" s="270" t="s">
        <v>542</v>
      </c>
      <c r="C18" s="271"/>
      <c r="D18" s="272"/>
      <c r="E18" s="272"/>
      <c r="F18" s="272"/>
      <c r="G18" s="272"/>
    </row>
    <row r="19" spans="1:12">
      <c r="B19" s="498" t="s">
        <v>62</v>
      </c>
      <c r="C19" s="499" t="s">
        <v>63</v>
      </c>
      <c r="D19" s="499" t="s">
        <v>64</v>
      </c>
      <c r="E19" s="499" t="s">
        <v>65</v>
      </c>
      <c r="F19" s="499" t="s">
        <v>66</v>
      </c>
      <c r="G19" s="499" t="s">
        <v>67</v>
      </c>
      <c r="H19" s="709" t="s">
        <v>68</v>
      </c>
    </row>
    <row r="20" spans="1:12">
      <c r="B20" s="501" t="s">
        <v>522</v>
      </c>
      <c r="C20" s="274" t="s">
        <v>13</v>
      </c>
      <c r="D20" s="274" t="s">
        <v>543</v>
      </c>
      <c r="E20" s="274" t="s">
        <v>531</v>
      </c>
      <c r="F20" s="274"/>
      <c r="G20" s="274"/>
    </row>
    <row r="21" spans="1:12">
      <c r="A21" s="262">
        <v>1</v>
      </c>
      <c r="C21" s="274"/>
      <c r="D21" s="274" t="s">
        <v>544</v>
      </c>
      <c r="E21" s="274" t="s">
        <v>17</v>
      </c>
      <c r="F21" s="274" t="s">
        <v>545</v>
      </c>
      <c r="G21" s="274" t="s">
        <v>498</v>
      </c>
    </row>
    <row r="22" spans="1:12">
      <c r="A22" s="262" t="s">
        <v>547</v>
      </c>
      <c r="C22" s="274"/>
      <c r="D22" s="274" t="s">
        <v>506</v>
      </c>
      <c r="E22" s="274" t="s">
        <v>506</v>
      </c>
      <c r="F22" s="274" t="s">
        <v>506</v>
      </c>
      <c r="G22" s="274" t="s">
        <v>506</v>
      </c>
      <c r="H22" s="710" t="s">
        <v>546</v>
      </c>
    </row>
    <row r="23" spans="1:12">
      <c r="A23" s="262" t="s">
        <v>548</v>
      </c>
      <c r="B23" s="502"/>
      <c r="C23" s="503"/>
      <c r="D23" s="517"/>
      <c r="E23" s="272"/>
      <c r="F23" s="272"/>
      <c r="G23" s="272"/>
    </row>
    <row r="24" spans="1:12" ht="43.2">
      <c r="A24" s="262" t="s">
        <v>549</v>
      </c>
      <c r="B24" s="937" t="s">
        <v>967</v>
      </c>
      <c r="C24" s="937">
        <v>237053</v>
      </c>
      <c r="D24" s="937">
        <v>0</v>
      </c>
      <c r="E24" s="937">
        <v>0</v>
      </c>
      <c r="F24" s="937">
        <v>0</v>
      </c>
      <c r="G24" s="937">
        <v>237053</v>
      </c>
      <c r="H24" s="938" t="s">
        <v>1017</v>
      </c>
      <c r="L24" s="518"/>
    </row>
    <row r="25" spans="1:12">
      <c r="A25" s="276" t="s">
        <v>550</v>
      </c>
      <c r="B25" s="937" t="s">
        <v>969</v>
      </c>
      <c r="C25" s="937">
        <v>1773851</v>
      </c>
      <c r="D25" s="937">
        <v>0</v>
      </c>
      <c r="E25" s="937">
        <v>0</v>
      </c>
      <c r="F25" s="937">
        <v>0</v>
      </c>
      <c r="G25" s="937">
        <v>1773851</v>
      </c>
      <c r="H25" s="938" t="s">
        <v>1018</v>
      </c>
    </row>
    <row r="26" spans="1:12">
      <c r="A26" s="276" t="s">
        <v>551</v>
      </c>
      <c r="B26" s="937" t="s">
        <v>970</v>
      </c>
      <c r="C26" s="937">
        <v>1863208</v>
      </c>
      <c r="D26" s="937">
        <v>0</v>
      </c>
      <c r="E26" s="937">
        <v>0</v>
      </c>
      <c r="F26" s="937">
        <v>0</v>
      </c>
      <c r="G26" s="937">
        <v>1863208</v>
      </c>
      <c r="H26" s="938" t="s">
        <v>1019</v>
      </c>
    </row>
    <row r="27" spans="1:12">
      <c r="A27" s="276" t="s">
        <v>552</v>
      </c>
      <c r="B27" s="937" t="s">
        <v>971</v>
      </c>
      <c r="C27" s="937">
        <v>0</v>
      </c>
      <c r="D27" s="937">
        <v>0</v>
      </c>
      <c r="E27" s="937">
        <v>0</v>
      </c>
      <c r="F27" s="937">
        <v>0</v>
      </c>
      <c r="G27" s="937">
        <v>0</v>
      </c>
      <c r="H27" s="938" t="s">
        <v>968</v>
      </c>
    </row>
    <row r="28" spans="1:12" ht="28.8">
      <c r="A28" s="276" t="s">
        <v>553</v>
      </c>
      <c r="B28" s="937" t="s">
        <v>972</v>
      </c>
      <c r="C28" s="937">
        <v>15064698</v>
      </c>
      <c r="D28" s="937">
        <v>15064698</v>
      </c>
      <c r="E28" s="937">
        <v>0</v>
      </c>
      <c r="F28" s="937">
        <v>0</v>
      </c>
      <c r="G28" s="937">
        <v>0</v>
      </c>
      <c r="H28" s="938" t="s">
        <v>1020</v>
      </c>
    </row>
    <row r="29" spans="1:12">
      <c r="A29" s="276" t="s">
        <v>554</v>
      </c>
      <c r="B29" s="937" t="s">
        <v>973</v>
      </c>
      <c r="C29" s="937">
        <v>1013502</v>
      </c>
      <c r="D29" s="937">
        <v>1013502</v>
      </c>
      <c r="E29" s="937">
        <v>0</v>
      </c>
      <c r="F29" s="937">
        <v>0</v>
      </c>
      <c r="G29" s="937">
        <v>0</v>
      </c>
      <c r="H29" s="938" t="s">
        <v>968</v>
      </c>
    </row>
    <row r="30" spans="1:12">
      <c r="A30" s="276" t="s">
        <v>555</v>
      </c>
      <c r="B30" s="937" t="s">
        <v>974</v>
      </c>
      <c r="C30" s="937">
        <v>335650</v>
      </c>
      <c r="D30" s="937">
        <v>335650</v>
      </c>
      <c r="E30" s="937">
        <v>0</v>
      </c>
      <c r="F30" s="937">
        <v>0</v>
      </c>
      <c r="G30" s="937">
        <v>0</v>
      </c>
      <c r="H30" s="938" t="s">
        <v>968</v>
      </c>
    </row>
    <row r="31" spans="1:12" ht="28.8">
      <c r="A31" s="276" t="s">
        <v>556</v>
      </c>
      <c r="B31" s="937" t="s">
        <v>975</v>
      </c>
      <c r="C31" s="937">
        <v>1698133</v>
      </c>
      <c r="D31" s="937">
        <v>0</v>
      </c>
      <c r="E31" s="937">
        <v>0</v>
      </c>
      <c r="F31" s="937">
        <v>0</v>
      </c>
      <c r="G31" s="937">
        <v>1698133</v>
      </c>
      <c r="H31" s="938" t="s">
        <v>1021</v>
      </c>
    </row>
    <row r="32" spans="1:12">
      <c r="A32" s="276" t="s">
        <v>557</v>
      </c>
      <c r="B32" s="937" t="s">
        <v>1380</v>
      </c>
      <c r="C32" s="937">
        <v>225134</v>
      </c>
      <c r="D32" s="937">
        <v>225134</v>
      </c>
      <c r="E32" s="937">
        <v>0</v>
      </c>
      <c r="F32" s="937">
        <v>0</v>
      </c>
      <c r="G32" s="937">
        <v>0</v>
      </c>
      <c r="H32" s="938" t="s">
        <v>968</v>
      </c>
    </row>
    <row r="33" spans="1:13">
      <c r="A33" s="276" t="s">
        <v>558</v>
      </c>
      <c r="B33" s="937" t="s">
        <v>976</v>
      </c>
      <c r="C33" s="937">
        <v>18627</v>
      </c>
      <c r="D33" s="937">
        <v>0</v>
      </c>
      <c r="E33" s="937">
        <v>0</v>
      </c>
      <c r="F33" s="937">
        <v>0</v>
      </c>
      <c r="G33" s="937">
        <v>18627</v>
      </c>
      <c r="H33" s="938" t="s">
        <v>1022</v>
      </c>
    </row>
    <row r="34" spans="1:13">
      <c r="A34" s="276" t="s">
        <v>559</v>
      </c>
      <c r="B34" s="937" t="s">
        <v>1324</v>
      </c>
      <c r="C34" s="937">
        <v>0</v>
      </c>
      <c r="D34" s="937">
        <v>0</v>
      </c>
      <c r="E34" s="937">
        <v>0</v>
      </c>
      <c r="F34" s="937">
        <v>0</v>
      </c>
      <c r="G34" s="937">
        <v>0</v>
      </c>
      <c r="H34" s="938"/>
    </row>
    <row r="35" spans="1:13">
      <c r="A35" s="276" t="s">
        <v>560</v>
      </c>
      <c r="B35" s="937" t="s">
        <v>1381</v>
      </c>
      <c r="C35" s="937">
        <v>5371606</v>
      </c>
      <c r="D35" s="937">
        <v>5371606</v>
      </c>
      <c r="E35" s="937">
        <v>0</v>
      </c>
      <c r="F35" s="937">
        <v>0</v>
      </c>
      <c r="G35" s="937">
        <v>0</v>
      </c>
      <c r="H35" s="938" t="s">
        <v>1023</v>
      </c>
    </row>
    <row r="36" spans="1:13">
      <c r="A36" s="276" t="s">
        <v>561</v>
      </c>
      <c r="B36" s="937" t="s">
        <v>977</v>
      </c>
      <c r="C36" s="937">
        <v>0</v>
      </c>
      <c r="D36" s="937">
        <v>0</v>
      </c>
      <c r="E36" s="937">
        <v>0</v>
      </c>
      <c r="F36" s="937">
        <v>0</v>
      </c>
      <c r="G36" s="937">
        <v>0</v>
      </c>
      <c r="H36" s="938" t="s">
        <v>968</v>
      </c>
    </row>
    <row r="37" spans="1:13">
      <c r="A37" s="276" t="s">
        <v>562</v>
      </c>
      <c r="B37" s="937" t="s">
        <v>1000</v>
      </c>
      <c r="C37" s="937">
        <v>9990749</v>
      </c>
      <c r="D37" s="937">
        <v>0</v>
      </c>
      <c r="E37" s="937">
        <v>0</v>
      </c>
      <c r="F37" s="937">
        <v>0</v>
      </c>
      <c r="G37" s="937">
        <v>9990749</v>
      </c>
      <c r="H37" s="938" t="s">
        <v>1024</v>
      </c>
    </row>
    <row r="38" spans="1:13">
      <c r="A38" s="276" t="s">
        <v>563</v>
      </c>
      <c r="B38" s="937" t="s">
        <v>978</v>
      </c>
      <c r="C38" s="937">
        <v>0</v>
      </c>
      <c r="D38" s="937">
        <v>0</v>
      </c>
      <c r="E38" s="937">
        <v>0</v>
      </c>
      <c r="F38" s="937">
        <v>0</v>
      </c>
      <c r="G38" s="937">
        <v>0</v>
      </c>
      <c r="H38" s="938" t="s">
        <v>1025</v>
      </c>
    </row>
    <row r="39" spans="1:13">
      <c r="A39" s="276" t="s">
        <v>564</v>
      </c>
      <c r="B39" s="937" t="s">
        <v>979</v>
      </c>
      <c r="C39" s="937">
        <v>0</v>
      </c>
      <c r="D39" s="937">
        <v>0</v>
      </c>
      <c r="E39" s="937">
        <v>0</v>
      </c>
      <c r="F39" s="937">
        <v>0</v>
      </c>
      <c r="G39" s="937">
        <v>0</v>
      </c>
      <c r="H39" s="938" t="s">
        <v>968</v>
      </c>
    </row>
    <row r="40" spans="1:13">
      <c r="A40" s="276" t="s">
        <v>565</v>
      </c>
      <c r="B40" s="937" t="s">
        <v>1026</v>
      </c>
      <c r="C40" s="937">
        <v>67489</v>
      </c>
      <c r="D40" s="937">
        <v>67489</v>
      </c>
      <c r="E40" s="937">
        <v>0</v>
      </c>
      <c r="F40" s="937">
        <v>0</v>
      </c>
      <c r="G40" s="937">
        <v>0</v>
      </c>
      <c r="H40" s="938" t="s">
        <v>968</v>
      </c>
    </row>
    <row r="41" spans="1:13">
      <c r="A41" s="276" t="s">
        <v>566</v>
      </c>
      <c r="B41" s="937" t="s">
        <v>980</v>
      </c>
      <c r="C41" s="937">
        <v>428906</v>
      </c>
      <c r="D41" s="937">
        <v>428906</v>
      </c>
      <c r="E41" s="937">
        <v>0</v>
      </c>
      <c r="F41" s="937">
        <v>0</v>
      </c>
      <c r="G41" s="937">
        <v>0</v>
      </c>
      <c r="H41" s="938" t="s">
        <v>968</v>
      </c>
    </row>
    <row r="42" spans="1:13">
      <c r="A42" s="276" t="s">
        <v>567</v>
      </c>
      <c r="B42" s="937" t="s">
        <v>981</v>
      </c>
      <c r="C42" s="937">
        <v>-15327.705265844561</v>
      </c>
      <c r="D42" s="937">
        <v>-15327.705265844561</v>
      </c>
      <c r="E42" s="937">
        <v>0</v>
      </c>
      <c r="F42" s="937">
        <v>0</v>
      </c>
      <c r="G42" s="937">
        <v>0</v>
      </c>
      <c r="H42" s="938"/>
    </row>
    <row r="43" spans="1:13">
      <c r="A43" s="276" t="s">
        <v>568</v>
      </c>
      <c r="B43" s="937" t="s">
        <v>1027</v>
      </c>
      <c r="C43" s="937">
        <v>10793.705265844565</v>
      </c>
      <c r="D43" s="937">
        <v>0</v>
      </c>
      <c r="E43" s="937">
        <v>0</v>
      </c>
      <c r="F43" s="937">
        <v>10793.705265844565</v>
      </c>
      <c r="G43" s="937">
        <v>0</v>
      </c>
      <c r="H43" s="938" t="s">
        <v>1028</v>
      </c>
    </row>
    <row r="44" spans="1:13">
      <c r="A44" s="276" t="s">
        <v>569</v>
      </c>
      <c r="B44" s="937" t="s">
        <v>1029</v>
      </c>
      <c r="C44" s="937">
        <v>192052</v>
      </c>
      <c r="D44" s="937">
        <v>192052</v>
      </c>
      <c r="E44" s="937">
        <v>0</v>
      </c>
      <c r="F44" s="937">
        <v>0</v>
      </c>
      <c r="G44" s="937">
        <v>0</v>
      </c>
      <c r="H44" s="938" t="s">
        <v>968</v>
      </c>
    </row>
    <row r="45" spans="1:13">
      <c r="A45" s="276" t="s">
        <v>570</v>
      </c>
      <c r="B45" s="937" t="s">
        <v>1030</v>
      </c>
      <c r="C45" s="937">
        <v>83758</v>
      </c>
      <c r="D45" s="937">
        <v>0</v>
      </c>
      <c r="E45" s="937">
        <v>0</v>
      </c>
      <c r="F45" s="937">
        <v>83758</v>
      </c>
      <c r="G45" s="937">
        <v>0</v>
      </c>
      <c r="H45" s="938" t="s">
        <v>1031</v>
      </c>
    </row>
    <row r="46" spans="1:13">
      <c r="A46" s="276" t="s">
        <v>571</v>
      </c>
      <c r="B46" s="937" t="s">
        <v>1032</v>
      </c>
      <c r="C46" s="937">
        <v>262092</v>
      </c>
      <c r="D46" s="937">
        <v>0</v>
      </c>
      <c r="E46" s="937">
        <v>0</v>
      </c>
      <c r="F46" s="937">
        <v>262092</v>
      </c>
      <c r="G46" s="937">
        <v>0</v>
      </c>
      <c r="H46" s="938" t="s">
        <v>1033</v>
      </c>
    </row>
    <row r="47" spans="1:13">
      <c r="A47" s="276" t="s">
        <v>572</v>
      </c>
      <c r="B47" s="937" t="s">
        <v>1326</v>
      </c>
      <c r="C47" s="937">
        <v>0</v>
      </c>
      <c r="D47" s="937">
        <v>0</v>
      </c>
      <c r="E47" s="937">
        <v>0</v>
      </c>
      <c r="F47" s="937">
        <v>0</v>
      </c>
      <c r="G47" s="937">
        <v>0</v>
      </c>
      <c r="H47" s="938"/>
    </row>
    <row r="48" spans="1:13">
      <c r="A48" s="276" t="s">
        <v>573</v>
      </c>
      <c r="B48" s="937" t="s">
        <v>1328</v>
      </c>
      <c r="C48" s="937">
        <v>13825356</v>
      </c>
      <c r="D48" s="937">
        <v>0</v>
      </c>
      <c r="E48" s="937">
        <v>0</v>
      </c>
      <c r="F48" s="937">
        <v>13825356</v>
      </c>
      <c r="G48" s="937">
        <v>0</v>
      </c>
      <c r="H48" s="938"/>
      <c r="M48" s="518"/>
    </row>
    <row r="49" spans="1:8" ht="28.8">
      <c r="A49" s="276" t="s">
        <v>574</v>
      </c>
      <c r="B49" s="937" t="s">
        <v>1001</v>
      </c>
      <c r="C49" s="937">
        <v>0</v>
      </c>
      <c r="D49" s="937">
        <v>0</v>
      </c>
      <c r="E49" s="937">
        <v>0</v>
      </c>
      <c r="F49" s="937">
        <v>0</v>
      </c>
      <c r="G49" s="937">
        <v>0</v>
      </c>
      <c r="H49" s="938" t="s">
        <v>1034</v>
      </c>
    </row>
    <row r="50" spans="1:8">
      <c r="A50" s="276" t="s">
        <v>575</v>
      </c>
      <c r="B50" s="937" t="s">
        <v>983</v>
      </c>
      <c r="C50" s="937">
        <v>0</v>
      </c>
      <c r="D50" s="937">
        <v>0</v>
      </c>
      <c r="E50" s="937">
        <v>0</v>
      </c>
      <c r="F50" s="937">
        <v>0</v>
      </c>
      <c r="G50" s="937">
        <v>0</v>
      </c>
      <c r="H50" s="938" t="s">
        <v>968</v>
      </c>
    </row>
    <row r="51" spans="1:8" ht="28.8">
      <c r="A51" s="276" t="s">
        <v>576</v>
      </c>
      <c r="B51" s="937" t="s">
        <v>1002</v>
      </c>
      <c r="C51" s="937">
        <v>71389972</v>
      </c>
      <c r="D51" s="937">
        <v>0</v>
      </c>
      <c r="E51" s="937">
        <v>0</v>
      </c>
      <c r="F51" s="937">
        <v>0</v>
      </c>
      <c r="G51" s="937">
        <v>71389972</v>
      </c>
      <c r="H51" s="938" t="s">
        <v>1035</v>
      </c>
    </row>
    <row r="52" spans="1:8" ht="28.8">
      <c r="A52" s="276" t="s">
        <v>577</v>
      </c>
      <c r="B52" s="937" t="s">
        <v>984</v>
      </c>
      <c r="C52" s="937">
        <v>48886</v>
      </c>
      <c r="D52" s="937">
        <v>48886</v>
      </c>
      <c r="E52" s="937">
        <v>0</v>
      </c>
      <c r="F52" s="937">
        <v>0</v>
      </c>
      <c r="G52" s="937">
        <v>0</v>
      </c>
      <c r="H52" s="938" t="s">
        <v>1036</v>
      </c>
    </row>
    <row r="53" spans="1:8">
      <c r="A53" s="276" t="s">
        <v>578</v>
      </c>
      <c r="B53" s="937" t="s">
        <v>985</v>
      </c>
      <c r="C53" s="937">
        <v>3158623</v>
      </c>
      <c r="D53" s="937">
        <v>3158623</v>
      </c>
      <c r="E53" s="937">
        <v>0</v>
      </c>
      <c r="F53" s="937">
        <v>0</v>
      </c>
      <c r="G53" s="937">
        <v>0</v>
      </c>
      <c r="H53" s="938" t="s">
        <v>1037</v>
      </c>
    </row>
    <row r="54" spans="1:8">
      <c r="A54" s="276" t="s">
        <v>579</v>
      </c>
      <c r="B54" s="937" t="s">
        <v>986</v>
      </c>
      <c r="C54" s="937">
        <v>0</v>
      </c>
      <c r="D54" s="937">
        <v>0</v>
      </c>
      <c r="E54" s="937">
        <v>0</v>
      </c>
      <c r="F54" s="937">
        <v>0</v>
      </c>
      <c r="G54" s="937">
        <v>0</v>
      </c>
      <c r="H54" s="938" t="s">
        <v>1037</v>
      </c>
    </row>
    <row r="55" spans="1:8">
      <c r="A55" s="276" t="s">
        <v>580</v>
      </c>
      <c r="B55" s="937" t="s">
        <v>987</v>
      </c>
      <c r="C55" s="937">
        <v>132515</v>
      </c>
      <c r="D55" s="937">
        <v>132515</v>
      </c>
      <c r="E55" s="937">
        <v>0</v>
      </c>
      <c r="F55" s="937">
        <v>0</v>
      </c>
      <c r="G55" s="937">
        <v>0</v>
      </c>
      <c r="H55" s="938" t="s">
        <v>1038</v>
      </c>
    </row>
    <row r="56" spans="1:8">
      <c r="A56" s="276" t="s">
        <v>581</v>
      </c>
      <c r="B56" s="937" t="s">
        <v>988</v>
      </c>
      <c r="C56" s="937">
        <v>51322</v>
      </c>
      <c r="D56" s="937">
        <v>0</v>
      </c>
      <c r="E56" s="937">
        <v>0</v>
      </c>
      <c r="F56" s="937">
        <v>0</v>
      </c>
      <c r="G56" s="937">
        <v>51322</v>
      </c>
      <c r="H56" s="938" t="s">
        <v>1039</v>
      </c>
    </row>
    <row r="57" spans="1:8">
      <c r="A57" s="276" t="s">
        <v>582</v>
      </c>
      <c r="B57" s="937" t="s">
        <v>1003</v>
      </c>
      <c r="C57" s="937">
        <v>1145678</v>
      </c>
      <c r="D57" s="937">
        <v>0</v>
      </c>
      <c r="E57" s="937">
        <v>0</v>
      </c>
      <c r="F57" s="937">
        <v>0</v>
      </c>
      <c r="G57" s="937">
        <v>1145678</v>
      </c>
      <c r="H57" s="938" t="s">
        <v>1040</v>
      </c>
    </row>
    <row r="58" spans="1:8">
      <c r="A58" s="276" t="s">
        <v>583</v>
      </c>
      <c r="B58" s="937" t="s">
        <v>989</v>
      </c>
      <c r="C58" s="937">
        <v>1701178</v>
      </c>
      <c r="D58" s="937">
        <v>1701178</v>
      </c>
      <c r="E58" s="937">
        <v>0</v>
      </c>
      <c r="F58" s="937">
        <v>0</v>
      </c>
      <c r="G58" s="937">
        <v>0</v>
      </c>
      <c r="H58" s="938" t="s">
        <v>968</v>
      </c>
    </row>
    <row r="59" spans="1:8" ht="28.8">
      <c r="A59" s="276" t="s">
        <v>584</v>
      </c>
      <c r="B59" s="937" t="s">
        <v>990</v>
      </c>
      <c r="C59" s="937">
        <v>9646333</v>
      </c>
      <c r="D59" s="937">
        <v>0</v>
      </c>
      <c r="E59" s="937">
        <v>0</v>
      </c>
      <c r="F59" s="937">
        <v>0</v>
      </c>
      <c r="G59" s="937">
        <v>9646333</v>
      </c>
      <c r="H59" s="938" t="s">
        <v>1041</v>
      </c>
    </row>
    <row r="60" spans="1:8">
      <c r="A60" s="276" t="s">
        <v>585</v>
      </c>
      <c r="B60" s="937"/>
      <c r="C60" s="937"/>
      <c r="D60" s="937"/>
      <c r="E60" s="937"/>
      <c r="F60" s="937"/>
      <c r="G60" s="937"/>
      <c r="H60" s="938"/>
    </row>
    <row r="61" spans="1:8">
      <c r="A61" s="276" t="s">
        <v>586</v>
      </c>
      <c r="B61" s="937"/>
      <c r="C61" s="937"/>
      <c r="D61" s="937"/>
      <c r="E61" s="937"/>
      <c r="F61" s="937"/>
      <c r="G61" s="937"/>
      <c r="H61" s="938"/>
    </row>
    <row r="62" spans="1:8">
      <c r="A62" s="276" t="s">
        <v>587</v>
      </c>
      <c r="B62" s="937"/>
      <c r="C62" s="937"/>
      <c r="D62" s="937"/>
      <c r="E62" s="937"/>
      <c r="F62" s="937"/>
      <c r="G62" s="937"/>
      <c r="H62" s="938"/>
    </row>
    <row r="63" spans="1:8">
      <c r="A63" s="276" t="s">
        <v>588</v>
      </c>
      <c r="B63" s="937"/>
      <c r="C63" s="937"/>
      <c r="D63" s="937"/>
      <c r="E63" s="937"/>
      <c r="F63" s="937"/>
      <c r="G63" s="937"/>
      <c r="H63" s="938"/>
    </row>
    <row r="64" spans="1:8">
      <c r="A64" s="276" t="s">
        <v>589</v>
      </c>
      <c r="B64" s="937"/>
      <c r="C64" s="937"/>
      <c r="D64" s="937"/>
      <c r="E64" s="937"/>
      <c r="F64" s="937"/>
      <c r="G64" s="937"/>
      <c r="H64" s="938"/>
    </row>
    <row r="65" spans="1:10">
      <c r="A65" s="276" t="s">
        <v>590</v>
      </c>
      <c r="B65" s="937"/>
      <c r="C65" s="937"/>
      <c r="D65" s="937"/>
      <c r="E65" s="937"/>
      <c r="F65" s="937"/>
      <c r="G65" s="937"/>
      <c r="H65" s="938"/>
    </row>
    <row r="66" spans="1:10">
      <c r="A66" s="276" t="s">
        <v>591</v>
      </c>
      <c r="B66" s="937"/>
      <c r="C66" s="937"/>
      <c r="D66" s="937"/>
      <c r="E66" s="937"/>
      <c r="F66" s="937"/>
      <c r="G66" s="937"/>
      <c r="H66" s="938"/>
    </row>
    <row r="67" spans="1:10">
      <c r="A67" s="276" t="s">
        <v>592</v>
      </c>
      <c r="B67" s="937"/>
      <c r="C67" s="937"/>
      <c r="D67" s="937"/>
      <c r="E67" s="937"/>
      <c r="F67" s="937"/>
      <c r="G67" s="937"/>
      <c r="H67" s="938"/>
    </row>
    <row r="68" spans="1:10">
      <c r="A68" s="276" t="s">
        <v>593</v>
      </c>
      <c r="B68" s="937"/>
      <c r="C68" s="937"/>
      <c r="D68" s="937"/>
      <c r="E68" s="937"/>
      <c r="F68" s="937"/>
      <c r="G68" s="937"/>
      <c r="H68" s="938"/>
    </row>
    <row r="69" spans="1:10">
      <c r="A69" s="276" t="s">
        <v>594</v>
      </c>
      <c r="B69" s="937"/>
      <c r="C69" s="937"/>
      <c r="D69" s="937"/>
      <c r="E69" s="937"/>
      <c r="F69" s="937"/>
      <c r="G69" s="937"/>
      <c r="H69" s="938"/>
    </row>
    <row r="70" spans="1:10">
      <c r="A70" s="276" t="s">
        <v>595</v>
      </c>
      <c r="B70" s="937"/>
      <c r="C70" s="937"/>
      <c r="D70" s="937"/>
      <c r="E70" s="937"/>
      <c r="F70" s="937"/>
      <c r="G70" s="937"/>
      <c r="H70" s="938"/>
    </row>
    <row r="71" spans="1:10">
      <c r="A71" s="276" t="s">
        <v>596</v>
      </c>
      <c r="B71" s="937"/>
      <c r="C71" s="937"/>
      <c r="D71" s="937"/>
      <c r="E71" s="937"/>
      <c r="F71" s="937"/>
      <c r="G71" s="937"/>
      <c r="H71" s="938"/>
    </row>
    <row r="72" spans="1:10">
      <c r="A72" s="276" t="s">
        <v>312</v>
      </c>
      <c r="B72" s="937"/>
      <c r="C72" s="937"/>
      <c r="D72" s="937"/>
      <c r="E72" s="937"/>
      <c r="F72" s="937"/>
      <c r="G72" s="937"/>
      <c r="H72" s="938"/>
    </row>
    <row r="73" spans="1:10">
      <c r="A73" s="276">
        <v>2</v>
      </c>
      <c r="B73" s="741" t="s">
        <v>1163</v>
      </c>
      <c r="C73" s="740">
        <f>SUM(C24:C72)</f>
        <v>139721837</v>
      </c>
      <c r="D73" s="740">
        <f>SUM(D24:D72)</f>
        <v>27724911.294734154</v>
      </c>
      <c r="E73" s="740">
        <f>SUM(E24:E72)</f>
        <v>0</v>
      </c>
      <c r="F73" s="740">
        <f>SUM(F24:F72)</f>
        <v>14181999.705265844</v>
      </c>
      <c r="G73" s="740">
        <f>SUM(G24:G72)</f>
        <v>97814926</v>
      </c>
      <c r="H73" s="753"/>
      <c r="J73" s="505"/>
    </row>
    <row r="74" spans="1:10">
      <c r="A74" s="276">
        <v>3</v>
      </c>
      <c r="B74" s="741" t="s">
        <v>602</v>
      </c>
      <c r="C74" s="937">
        <v>-38950801.755120002</v>
      </c>
      <c r="D74" s="937">
        <v>-1860078.3344000001</v>
      </c>
      <c r="E74" s="937">
        <v>0</v>
      </c>
      <c r="F74" s="937">
        <v>127602.17928</v>
      </c>
      <c r="G74" s="937">
        <v>-37218325.600000001</v>
      </c>
      <c r="H74" s="939"/>
    </row>
    <row r="75" spans="1:10">
      <c r="A75" s="276">
        <v>4</v>
      </c>
      <c r="B75" s="741" t="s">
        <v>603</v>
      </c>
      <c r="C75" s="937"/>
      <c r="D75" s="937"/>
      <c r="E75" s="937"/>
      <c r="F75" s="937"/>
      <c r="G75" s="937"/>
      <c r="H75" s="939"/>
    </row>
    <row r="76" spans="1:10">
      <c r="A76" s="262">
        <v>5</v>
      </c>
      <c r="B76" s="741" t="s">
        <v>1302</v>
      </c>
      <c r="C76" s="740">
        <f>+C73-C74</f>
        <v>178672638.75512001</v>
      </c>
      <c r="D76" s="740">
        <f>+D73-D74</f>
        <v>29584989.629134156</v>
      </c>
      <c r="E76" s="740">
        <f>+E73-E74</f>
        <v>0</v>
      </c>
      <c r="F76" s="740">
        <f>+F73-F74</f>
        <v>14054397.525985844</v>
      </c>
      <c r="G76" s="740">
        <f>+G73-G74</f>
        <v>135033251.59999999</v>
      </c>
      <c r="H76" s="753"/>
    </row>
    <row r="77" spans="1:10">
      <c r="B77" s="280"/>
      <c r="C77" s="281"/>
      <c r="D77" s="267"/>
      <c r="E77" s="267"/>
      <c r="F77" s="267"/>
      <c r="G77" s="282"/>
      <c r="H77" s="711"/>
    </row>
    <row r="78" spans="1:10">
      <c r="A78" s="276">
        <v>6</v>
      </c>
      <c r="B78" s="284" t="s">
        <v>604</v>
      </c>
      <c r="C78" s="285"/>
      <c r="D78" s="286"/>
      <c r="E78" s="286"/>
      <c r="F78" s="286"/>
      <c r="G78" s="287"/>
      <c r="H78" s="712"/>
    </row>
    <row r="79" spans="1:10">
      <c r="A79" s="276">
        <v>7</v>
      </c>
      <c r="B79" s="289" t="s">
        <v>605</v>
      </c>
      <c r="C79" s="267"/>
      <c r="D79" s="267"/>
      <c r="E79" s="267"/>
      <c r="F79" s="267"/>
      <c r="G79" s="267"/>
      <c r="H79" s="713"/>
    </row>
    <row r="80" spans="1:10">
      <c r="A80" s="276">
        <v>8</v>
      </c>
      <c r="B80" s="289" t="s">
        <v>606</v>
      </c>
      <c r="C80" s="290"/>
      <c r="D80" s="267"/>
      <c r="E80" s="267"/>
      <c r="F80" s="267"/>
      <c r="G80" s="282"/>
      <c r="H80" s="714"/>
    </row>
    <row r="81" spans="1:8">
      <c r="A81" s="276">
        <v>9</v>
      </c>
      <c r="B81" s="289" t="s">
        <v>607</v>
      </c>
      <c r="C81" s="290"/>
      <c r="D81" s="267"/>
      <c r="E81" s="267"/>
      <c r="F81" s="267"/>
      <c r="G81" s="282"/>
      <c r="H81" s="714"/>
    </row>
    <row r="82" spans="1:8">
      <c r="A82" s="276">
        <v>10</v>
      </c>
      <c r="B82" s="289" t="s">
        <v>608</v>
      </c>
      <c r="C82" s="290"/>
      <c r="D82" s="267"/>
      <c r="E82" s="267"/>
      <c r="F82" s="267"/>
      <c r="G82" s="282"/>
      <c r="H82" s="714"/>
    </row>
    <row r="83" spans="1:8">
      <c r="A83" s="276">
        <v>11</v>
      </c>
      <c r="B83" s="507" t="s">
        <v>609</v>
      </c>
      <c r="C83" s="267"/>
      <c r="D83" s="267"/>
      <c r="E83" s="267"/>
      <c r="F83" s="267"/>
      <c r="G83" s="267"/>
      <c r="H83" s="713"/>
    </row>
    <row r="84" spans="1:8">
      <c r="A84" s="276">
        <v>12</v>
      </c>
      <c r="B84" s="508" t="s">
        <v>610</v>
      </c>
      <c r="C84" s="267"/>
      <c r="D84" s="267"/>
      <c r="E84" s="267"/>
      <c r="F84" s="267"/>
      <c r="G84" s="267"/>
      <c r="H84" s="713"/>
    </row>
    <row r="85" spans="1:8">
      <c r="B85" s="292"/>
      <c r="C85" s="293"/>
      <c r="D85" s="294"/>
      <c r="E85" s="294"/>
      <c r="F85" s="294"/>
      <c r="G85" s="295"/>
      <c r="H85" s="715"/>
    </row>
    <row r="86" spans="1:8">
      <c r="B86" s="1026" t="str">
        <f>'4A - ADIT Summary'!$G$65</f>
        <v>PECO Energy Company</v>
      </c>
      <c r="C86" s="1027"/>
      <c r="D86" s="1027"/>
      <c r="E86" s="1027"/>
      <c r="F86" s="1027"/>
      <c r="G86" s="1027"/>
      <c r="H86" s="1027"/>
    </row>
    <row r="87" spans="1:8" ht="15.6">
      <c r="B87" s="265" t="s">
        <v>656</v>
      </c>
      <c r="C87" s="265"/>
      <c r="D87" s="265"/>
      <c r="E87" s="265"/>
      <c r="F87" s="265" t="s">
        <v>2</v>
      </c>
      <c r="G87" s="265"/>
      <c r="H87" s="703"/>
    </row>
    <row r="88" spans="1:8">
      <c r="B88" s="265"/>
      <c r="C88" s="298"/>
      <c r="D88" s="509"/>
      <c r="E88" s="509"/>
      <c r="F88" s="509"/>
      <c r="G88" s="509"/>
      <c r="H88" s="716"/>
    </row>
    <row r="89" spans="1:8">
      <c r="B89" s="297"/>
      <c r="C89" s="298"/>
      <c r="D89" s="509"/>
      <c r="E89" s="509"/>
      <c r="F89" s="509"/>
      <c r="G89" s="509"/>
      <c r="H89" s="704" t="s">
        <v>656</v>
      </c>
    </row>
    <row r="90" spans="1:8">
      <c r="B90" s="297"/>
      <c r="C90" s="298"/>
      <c r="D90" s="509"/>
      <c r="E90" s="509"/>
      <c r="F90" s="509"/>
      <c r="G90" s="509"/>
      <c r="H90" s="704" t="s">
        <v>611</v>
      </c>
    </row>
    <row r="91" spans="1:8">
      <c r="B91" s="297"/>
      <c r="C91" s="298"/>
      <c r="D91" s="509"/>
      <c r="E91" s="509"/>
      <c r="F91" s="509"/>
      <c r="G91" s="509"/>
      <c r="H91" s="705"/>
    </row>
    <row r="92" spans="1:8">
      <c r="B92" s="265"/>
      <c r="C92" s="267"/>
      <c r="D92" s="267"/>
      <c r="E92" s="267"/>
      <c r="F92" s="267"/>
      <c r="G92" s="267"/>
      <c r="H92" s="717"/>
    </row>
    <row r="93" spans="1:8">
      <c r="B93" s="265"/>
      <c r="C93" s="267"/>
      <c r="D93" s="267"/>
      <c r="E93" s="267"/>
      <c r="F93" s="267"/>
      <c r="G93" s="267"/>
      <c r="H93" s="717"/>
    </row>
    <row r="94" spans="1:8">
      <c r="B94" s="297" t="s">
        <v>62</v>
      </c>
      <c r="C94" s="499" t="s">
        <v>63</v>
      </c>
      <c r="D94" s="298" t="s">
        <v>64</v>
      </c>
      <c r="E94" s="298" t="s">
        <v>65</v>
      </c>
      <c r="F94" s="298" t="s">
        <v>66</v>
      </c>
      <c r="G94" s="298" t="s">
        <v>67</v>
      </c>
      <c r="H94" s="718" t="s">
        <v>68</v>
      </c>
    </row>
    <row r="95" spans="1:8">
      <c r="B95" s="266" t="s">
        <v>513</v>
      </c>
      <c r="C95" s="274" t="s">
        <v>13</v>
      </c>
      <c r="D95" s="274" t="s">
        <v>543</v>
      </c>
      <c r="E95" s="263" t="s">
        <v>531</v>
      </c>
      <c r="F95" s="263"/>
      <c r="G95" s="263"/>
      <c r="H95" s="705"/>
    </row>
    <row r="96" spans="1:8">
      <c r="B96" s="299"/>
      <c r="C96" s="274"/>
      <c r="D96" s="274" t="s">
        <v>544</v>
      </c>
      <c r="E96" s="263" t="s">
        <v>17</v>
      </c>
      <c r="F96" s="263" t="s">
        <v>545</v>
      </c>
      <c r="G96" s="263" t="s">
        <v>498</v>
      </c>
      <c r="H96" s="705"/>
    </row>
    <row r="97" spans="1:8">
      <c r="B97" s="317"/>
      <c r="C97" s="318"/>
      <c r="D97" s="274" t="s">
        <v>506</v>
      </c>
      <c r="E97" s="263" t="s">
        <v>506</v>
      </c>
      <c r="F97" s="263" t="s">
        <v>506</v>
      </c>
      <c r="G97" s="263" t="s">
        <v>506</v>
      </c>
      <c r="H97" s="717" t="s">
        <v>546</v>
      </c>
    </row>
    <row r="98" spans="1:8">
      <c r="B98" s="265"/>
      <c r="C98" s="300"/>
      <c r="D98" s="267"/>
      <c r="E98" s="267"/>
      <c r="F98" s="267"/>
      <c r="G98" s="267"/>
      <c r="H98" s="705"/>
    </row>
    <row r="99" spans="1:8">
      <c r="A99" s="262" t="s">
        <v>612</v>
      </c>
      <c r="B99" s="929" t="s">
        <v>1229</v>
      </c>
      <c r="C99" s="929">
        <v>0</v>
      </c>
      <c r="D99" s="911">
        <v>0</v>
      </c>
      <c r="E99" s="911">
        <v>0</v>
      </c>
      <c r="F99" s="911">
        <v>0</v>
      </c>
      <c r="G99" s="911">
        <v>0</v>
      </c>
      <c r="H99" s="916"/>
    </row>
    <row r="100" spans="1:8">
      <c r="A100" s="262" t="s">
        <v>613</v>
      </c>
      <c r="B100" s="929" t="s">
        <v>752</v>
      </c>
      <c r="C100" s="929">
        <v>-29503593</v>
      </c>
      <c r="D100" s="911">
        <v>0</v>
      </c>
      <c r="E100" s="911">
        <v>0</v>
      </c>
      <c r="F100" s="911">
        <v>0</v>
      </c>
      <c r="G100" s="911">
        <v>-29503593</v>
      </c>
      <c r="H100" s="916" t="s">
        <v>1042</v>
      </c>
    </row>
    <row r="101" spans="1:8">
      <c r="A101" s="262" t="s">
        <v>614</v>
      </c>
      <c r="B101" s="929" t="s">
        <v>864</v>
      </c>
      <c r="C101" s="929">
        <v>-1188168321</v>
      </c>
      <c r="D101" s="911">
        <v>-1188168321</v>
      </c>
      <c r="E101" s="911">
        <v>0</v>
      </c>
      <c r="F101" s="911">
        <v>0</v>
      </c>
      <c r="G101" s="911">
        <v>0</v>
      </c>
      <c r="H101" s="916" t="s">
        <v>1043</v>
      </c>
    </row>
    <row r="102" spans="1:8">
      <c r="A102" s="276" t="s">
        <v>615</v>
      </c>
      <c r="B102" s="929" t="s">
        <v>992</v>
      </c>
      <c r="C102" s="929">
        <v>-3041661</v>
      </c>
      <c r="D102" s="911">
        <v>0</v>
      </c>
      <c r="E102" s="911">
        <v>0</v>
      </c>
      <c r="F102" s="911">
        <v>0</v>
      </c>
      <c r="G102" s="911">
        <v>-3041661</v>
      </c>
      <c r="H102" s="916" t="s">
        <v>1042</v>
      </c>
    </row>
    <row r="103" spans="1:8">
      <c r="A103" s="276" t="s">
        <v>616</v>
      </c>
      <c r="B103" s="929" t="s">
        <v>17</v>
      </c>
      <c r="C103" s="929">
        <v>-226271862</v>
      </c>
      <c r="D103" s="911">
        <v>0</v>
      </c>
      <c r="E103" s="911">
        <v>-226271862</v>
      </c>
      <c r="F103" s="911">
        <v>0</v>
      </c>
      <c r="G103" s="911">
        <v>0</v>
      </c>
      <c r="H103" s="916" t="s">
        <v>991</v>
      </c>
    </row>
    <row r="104" spans="1:8">
      <c r="A104" s="276" t="s">
        <v>617</v>
      </c>
      <c r="B104" s="929"/>
      <c r="C104" s="929"/>
      <c r="D104" s="911"/>
      <c r="E104" s="911"/>
      <c r="F104" s="911"/>
      <c r="G104" s="911"/>
      <c r="H104" s="916"/>
    </row>
    <row r="105" spans="1:8">
      <c r="A105" s="276" t="s">
        <v>618</v>
      </c>
      <c r="B105" s="929"/>
      <c r="C105" s="929"/>
      <c r="D105" s="911"/>
      <c r="E105" s="911"/>
      <c r="F105" s="911"/>
      <c r="G105" s="911"/>
      <c r="H105" s="916"/>
    </row>
    <row r="106" spans="1:8">
      <c r="A106" s="276" t="s">
        <v>619</v>
      </c>
      <c r="B106" s="929"/>
      <c r="C106" s="929"/>
      <c r="D106" s="911"/>
      <c r="E106" s="911"/>
      <c r="F106" s="911"/>
      <c r="G106" s="911"/>
      <c r="H106" s="914"/>
    </row>
    <row r="107" spans="1:8">
      <c r="A107" s="276" t="s">
        <v>312</v>
      </c>
      <c r="B107" s="929"/>
      <c r="C107" s="929"/>
      <c r="D107" s="911"/>
      <c r="E107" s="911"/>
      <c r="F107" s="911"/>
      <c r="G107" s="911"/>
      <c r="H107" s="914"/>
    </row>
    <row r="108" spans="1:8">
      <c r="A108" s="276">
        <v>14</v>
      </c>
      <c r="B108" s="278" t="s">
        <v>1165</v>
      </c>
      <c r="C108" s="277">
        <f>SUM(C99:C107)</f>
        <v>-1446985437</v>
      </c>
      <c r="D108" s="277">
        <f>SUM(D99:D107)</f>
        <v>-1188168321</v>
      </c>
      <c r="E108" s="277">
        <f>SUM(E99:E107)</f>
        <v>-226271862</v>
      </c>
      <c r="F108" s="277">
        <f>SUM(F99:F107)</f>
        <v>0</v>
      </c>
      <c r="G108" s="277">
        <f>SUM(G99:G107)</f>
        <v>-32545254</v>
      </c>
      <c r="H108" s="719"/>
    </row>
    <row r="109" spans="1:8">
      <c r="A109" s="276">
        <v>15</v>
      </c>
      <c r="B109" s="278" t="str">
        <f>'[6]ADIT EOY 2018'!B113</f>
        <v>Less FASB 109 Above if not separately removed</v>
      </c>
      <c r="C109" s="940">
        <v>-210390969</v>
      </c>
      <c r="D109" s="940">
        <v>-263771331</v>
      </c>
      <c r="E109" s="940">
        <v>53523542</v>
      </c>
      <c r="F109" s="940">
        <v>0</v>
      </c>
      <c r="G109" s="940">
        <v>-143180</v>
      </c>
      <c r="H109" s="914"/>
    </row>
    <row r="110" spans="1:8">
      <c r="A110" s="276">
        <v>16</v>
      </c>
      <c r="B110" s="278" t="str">
        <f>'[6]ADIT EOY 2018'!B114</f>
        <v>Less FASB 109 - TCJA</v>
      </c>
      <c r="C110" s="940"/>
      <c r="D110" s="940"/>
      <c r="E110" s="940"/>
      <c r="F110" s="940"/>
      <c r="G110" s="940"/>
      <c r="H110" s="941"/>
    </row>
    <row r="111" spans="1:8">
      <c r="A111" s="276">
        <v>17</v>
      </c>
      <c r="B111" s="278" t="s">
        <v>1281</v>
      </c>
      <c r="C111" s="738">
        <f>C108-C109</f>
        <v>-1236594468</v>
      </c>
      <c r="D111" s="738">
        <f>+D108-D109-D110</f>
        <v>-924396990</v>
      </c>
      <c r="E111" s="738">
        <f>+E108-E109-E110</f>
        <v>-279795404</v>
      </c>
      <c r="F111" s="738">
        <f>+F108-F109-F110</f>
        <v>0</v>
      </c>
      <c r="G111" s="738">
        <f>+G108-G109-G110</f>
        <v>-32402074</v>
      </c>
      <c r="H111" s="737"/>
    </row>
    <row r="112" spans="1:8">
      <c r="B112" s="299"/>
      <c r="C112" s="301"/>
      <c r="D112" s="301"/>
      <c r="E112" s="301"/>
      <c r="F112" s="301"/>
      <c r="G112" s="267"/>
      <c r="H112" s="720"/>
    </row>
    <row r="113" spans="1:8" ht="15" thickBot="1">
      <c r="B113" s="299"/>
      <c r="C113" s="303"/>
      <c r="D113" s="267"/>
      <c r="E113" s="267"/>
      <c r="F113" s="267"/>
      <c r="G113" s="282"/>
      <c r="H113" s="721"/>
    </row>
    <row r="114" spans="1:8">
      <c r="A114" s="276">
        <v>18</v>
      </c>
      <c r="B114" s="305" t="s">
        <v>620</v>
      </c>
      <c r="C114" s="306"/>
      <c r="D114" s="307"/>
      <c r="E114" s="307"/>
      <c r="F114" s="307"/>
      <c r="G114" s="308"/>
      <c r="H114" s="722"/>
    </row>
    <row r="115" spans="1:8">
      <c r="A115" s="276">
        <v>19</v>
      </c>
      <c r="B115" s="289" t="s">
        <v>605</v>
      </c>
      <c r="C115" s="310"/>
      <c r="D115" s="509"/>
      <c r="E115" s="509"/>
      <c r="F115" s="509"/>
      <c r="G115" s="509"/>
      <c r="H115" s="514"/>
    </row>
    <row r="116" spans="1:8">
      <c r="A116" s="276">
        <v>20</v>
      </c>
      <c r="B116" s="289" t="s">
        <v>606</v>
      </c>
      <c r="C116" s="290"/>
      <c r="D116" s="267"/>
      <c r="E116" s="267"/>
      <c r="F116" s="267"/>
      <c r="G116" s="282"/>
      <c r="H116" s="723"/>
    </row>
    <row r="117" spans="1:8">
      <c r="A117" s="276">
        <v>21</v>
      </c>
      <c r="B117" s="289" t="s">
        <v>607</v>
      </c>
      <c r="C117" s="290"/>
      <c r="D117" s="267"/>
      <c r="E117" s="267"/>
      <c r="F117" s="267"/>
      <c r="G117" s="282"/>
      <c r="H117" s="723"/>
    </row>
    <row r="118" spans="1:8">
      <c r="A118" s="276">
        <v>22</v>
      </c>
      <c r="B118" s="289" t="s">
        <v>608</v>
      </c>
      <c r="C118" s="290"/>
      <c r="D118" s="267"/>
      <c r="E118" s="267"/>
      <c r="F118" s="267"/>
      <c r="G118" s="282"/>
      <c r="H118" s="723"/>
    </row>
    <row r="119" spans="1:8">
      <c r="A119" s="276">
        <v>23</v>
      </c>
      <c r="B119" s="507" t="s">
        <v>609</v>
      </c>
      <c r="C119" s="512"/>
      <c r="D119" s="513"/>
      <c r="E119" s="513"/>
      <c r="F119" s="513"/>
      <c r="G119" s="513"/>
      <c r="H119" s="514"/>
    </row>
    <row r="120" spans="1:8">
      <c r="A120" s="276">
        <v>24</v>
      </c>
      <c r="B120" s="508" t="s">
        <v>610</v>
      </c>
      <c r="C120" s="513"/>
      <c r="D120" s="513"/>
      <c r="E120" s="513"/>
      <c r="F120" s="513"/>
      <c r="G120" s="513"/>
      <c r="H120" s="514"/>
    </row>
    <row r="121" spans="1:8" ht="15" thickBot="1">
      <c r="B121" s="325"/>
      <c r="C121" s="312"/>
      <c r="D121" s="313"/>
      <c r="E121" s="313"/>
      <c r="F121" s="313"/>
      <c r="G121" s="314"/>
      <c r="H121" s="724"/>
    </row>
    <row r="122" spans="1:8">
      <c r="B122" s="1026" t="str">
        <f>'4A - ADIT Summary'!$G$65</f>
        <v>PECO Energy Company</v>
      </c>
      <c r="C122" s="1027"/>
      <c r="D122" s="1027"/>
      <c r="E122" s="1027"/>
      <c r="F122" s="1027"/>
      <c r="G122" s="1027"/>
      <c r="H122" s="1027"/>
    </row>
    <row r="123" spans="1:8" ht="15.6">
      <c r="B123" s="265" t="s">
        <v>656</v>
      </c>
      <c r="C123" s="265"/>
      <c r="D123" s="265"/>
      <c r="E123" s="265"/>
      <c r="F123" s="265"/>
      <c r="G123" s="265"/>
      <c r="H123" s="703"/>
    </row>
    <row r="124" spans="1:8">
      <c r="B124" s="265"/>
      <c r="C124" s="326"/>
      <c r="D124" s="326"/>
      <c r="E124" s="326"/>
      <c r="F124" s="326"/>
      <c r="G124" s="326"/>
      <c r="H124" s="716"/>
    </row>
    <row r="125" spans="1:8">
      <c r="B125" s="326"/>
      <c r="C125" s="326"/>
      <c r="D125" s="326"/>
      <c r="E125" s="326"/>
      <c r="F125" s="326"/>
      <c r="G125" s="326"/>
      <c r="H125" s="704" t="s">
        <v>656</v>
      </c>
    </row>
    <row r="126" spans="1:8">
      <c r="B126" s="326"/>
      <c r="C126" s="326"/>
      <c r="D126" s="326"/>
      <c r="E126" s="326"/>
      <c r="F126" s="326"/>
      <c r="G126" s="326"/>
      <c r="H126" s="704" t="s">
        <v>621</v>
      </c>
    </row>
    <row r="127" spans="1:8">
      <c r="B127" s="280"/>
      <c r="C127" s="281"/>
      <c r="D127" s="267"/>
      <c r="E127" s="267"/>
      <c r="F127" s="267"/>
      <c r="G127" s="282"/>
      <c r="H127" s="721"/>
    </row>
    <row r="128" spans="1:8">
      <c r="B128" s="297" t="s">
        <v>62</v>
      </c>
      <c r="C128" s="499" t="s">
        <v>63</v>
      </c>
      <c r="D128" s="298" t="s">
        <v>64</v>
      </c>
      <c r="E128" s="298" t="s">
        <v>65</v>
      </c>
      <c r="F128" s="298" t="s">
        <v>66</v>
      </c>
      <c r="G128" s="298" t="s">
        <v>67</v>
      </c>
      <c r="H128" s="718" t="s">
        <v>68</v>
      </c>
    </row>
    <row r="129" spans="1:12">
      <c r="B129" s="266" t="s">
        <v>519</v>
      </c>
      <c r="C129" s="274" t="s">
        <v>13</v>
      </c>
      <c r="D129" s="274" t="s">
        <v>543</v>
      </c>
      <c r="E129" s="263" t="s">
        <v>531</v>
      </c>
      <c r="F129" s="263"/>
      <c r="G129" s="263"/>
      <c r="H129" s="705"/>
    </row>
    <row r="130" spans="1:12">
      <c r="B130" s="265"/>
      <c r="C130" s="274"/>
      <c r="D130" s="274" t="s">
        <v>544</v>
      </c>
      <c r="E130" s="263" t="s">
        <v>17</v>
      </c>
      <c r="F130" s="263" t="s">
        <v>545</v>
      </c>
      <c r="G130" s="263" t="s">
        <v>498</v>
      </c>
      <c r="H130" s="705"/>
    </row>
    <row r="131" spans="1:12">
      <c r="B131" s="317"/>
      <c r="C131" s="318"/>
      <c r="D131" s="274" t="s">
        <v>506</v>
      </c>
      <c r="E131" s="263" t="s">
        <v>506</v>
      </c>
      <c r="F131" s="263" t="s">
        <v>506</v>
      </c>
      <c r="G131" s="263" t="s">
        <v>506</v>
      </c>
      <c r="H131" s="717" t="s">
        <v>546</v>
      </c>
    </row>
    <row r="132" spans="1:12">
      <c r="B132" s="317"/>
      <c r="C132" s="318"/>
      <c r="D132" s="267"/>
      <c r="E132" s="267"/>
      <c r="F132" s="267"/>
      <c r="G132" s="267"/>
      <c r="H132" s="513">
        <v>-156019</v>
      </c>
    </row>
    <row r="133" spans="1:12">
      <c r="B133" s="317"/>
      <c r="C133" s="318"/>
      <c r="D133" s="267"/>
      <c r="E133" s="267"/>
      <c r="F133" s="267"/>
      <c r="G133" s="267"/>
      <c r="H133" s="705"/>
    </row>
    <row r="134" spans="1:12">
      <c r="A134" s="262" t="s">
        <v>622</v>
      </c>
      <c r="B134" s="911" t="s">
        <v>1004</v>
      </c>
      <c r="C134" s="911">
        <v>-3337244</v>
      </c>
      <c r="D134" s="911">
        <v>-3337244</v>
      </c>
      <c r="E134" s="911">
        <v>0</v>
      </c>
      <c r="F134" s="911">
        <v>0</v>
      </c>
      <c r="G134" s="911">
        <v>0</v>
      </c>
      <c r="H134" s="911" t="s">
        <v>1037</v>
      </c>
    </row>
    <row r="135" spans="1:12">
      <c r="A135" s="262" t="s">
        <v>623</v>
      </c>
      <c r="B135" s="911" t="s">
        <v>993</v>
      </c>
      <c r="C135" s="911">
        <v>-848268</v>
      </c>
      <c r="D135" s="911">
        <v>-848268</v>
      </c>
      <c r="E135" s="911">
        <v>0</v>
      </c>
      <c r="F135" s="911">
        <v>0</v>
      </c>
      <c r="G135" s="911">
        <v>0</v>
      </c>
      <c r="H135" s="911" t="s">
        <v>1037</v>
      </c>
      <c r="L135" s="518"/>
    </row>
    <row r="136" spans="1:12">
      <c r="A136" s="262" t="s">
        <v>624</v>
      </c>
      <c r="B136" s="911" t="s">
        <v>1005</v>
      </c>
      <c r="C136" s="911">
        <v>-321464</v>
      </c>
      <c r="D136" s="911">
        <v>0</v>
      </c>
      <c r="E136" s="911">
        <v>0</v>
      </c>
      <c r="F136" s="911">
        <v>-321464</v>
      </c>
      <c r="G136" s="911">
        <v>0</v>
      </c>
      <c r="H136" s="911" t="s">
        <v>1044</v>
      </c>
      <c r="L136" s="518"/>
    </row>
    <row r="137" spans="1:12">
      <c r="A137" s="276" t="s">
        <v>625</v>
      </c>
      <c r="B137" s="911" t="s">
        <v>994</v>
      </c>
      <c r="C137" s="911">
        <v>-417587</v>
      </c>
      <c r="D137" s="911">
        <v>-417587</v>
      </c>
      <c r="E137" s="911">
        <v>0</v>
      </c>
      <c r="F137" s="911">
        <v>0</v>
      </c>
      <c r="G137" s="911">
        <v>0</v>
      </c>
      <c r="H137" s="911" t="s">
        <v>1037</v>
      </c>
    </row>
    <row r="138" spans="1:12">
      <c r="A138" s="276" t="s">
        <v>626</v>
      </c>
      <c r="B138" s="911" t="s">
        <v>995</v>
      </c>
      <c r="C138" s="911">
        <v>-1350453</v>
      </c>
      <c r="D138" s="911">
        <v>-1350453</v>
      </c>
      <c r="E138" s="911">
        <v>0</v>
      </c>
      <c r="F138" s="911">
        <v>0</v>
      </c>
      <c r="G138" s="911">
        <v>0</v>
      </c>
      <c r="H138" s="911" t="s">
        <v>1037</v>
      </c>
    </row>
    <row r="139" spans="1:12">
      <c r="A139" s="276" t="s">
        <v>627</v>
      </c>
      <c r="B139" s="911" t="s">
        <v>996</v>
      </c>
      <c r="C139" s="911">
        <v>-68443</v>
      </c>
      <c r="D139" s="911">
        <v>-68443</v>
      </c>
      <c r="E139" s="911">
        <v>0</v>
      </c>
      <c r="F139" s="911">
        <v>0</v>
      </c>
      <c r="G139" s="911">
        <v>0</v>
      </c>
      <c r="H139" s="911" t="s">
        <v>1037</v>
      </c>
    </row>
    <row r="140" spans="1:12" ht="14.25" customHeight="1">
      <c r="A140" s="276" t="s">
        <v>628</v>
      </c>
      <c r="B140" s="911" t="s">
        <v>997</v>
      </c>
      <c r="C140" s="911">
        <v>-415762</v>
      </c>
      <c r="D140" s="911">
        <v>-415762</v>
      </c>
      <c r="E140" s="911">
        <v>0</v>
      </c>
      <c r="F140" s="911">
        <v>0</v>
      </c>
      <c r="G140" s="911">
        <v>0</v>
      </c>
      <c r="H140" s="911" t="s">
        <v>1037</v>
      </c>
    </row>
    <row r="141" spans="1:12">
      <c r="A141" s="276" t="s">
        <v>629</v>
      </c>
      <c r="B141" s="911" t="s">
        <v>1045</v>
      </c>
      <c r="C141" s="911">
        <v>0</v>
      </c>
      <c r="D141" s="911">
        <v>0</v>
      </c>
      <c r="E141" s="911">
        <v>0</v>
      </c>
      <c r="F141" s="911">
        <v>0</v>
      </c>
      <c r="G141" s="911">
        <v>0</v>
      </c>
      <c r="H141" s="911" t="s">
        <v>1037</v>
      </c>
    </row>
    <row r="142" spans="1:12">
      <c r="A142" s="276" t="s">
        <v>630</v>
      </c>
      <c r="B142" s="911" t="s">
        <v>1046</v>
      </c>
      <c r="C142" s="911">
        <v>-385014</v>
      </c>
      <c r="D142" s="911">
        <v>-385014</v>
      </c>
      <c r="E142" s="911">
        <v>0</v>
      </c>
      <c r="F142" s="911">
        <v>0</v>
      </c>
      <c r="G142" s="911">
        <v>0</v>
      </c>
      <c r="H142" s="911" t="s">
        <v>1037</v>
      </c>
    </row>
    <row r="143" spans="1:12">
      <c r="A143" s="276" t="s">
        <v>631</v>
      </c>
      <c r="B143" s="911" t="s">
        <v>998</v>
      </c>
      <c r="C143" s="911">
        <v>-242518</v>
      </c>
      <c r="D143" s="911">
        <v>0</v>
      </c>
      <c r="E143" s="911">
        <v>0</v>
      </c>
      <c r="F143" s="911">
        <v>0</v>
      </c>
      <c r="G143" s="911">
        <v>-242518</v>
      </c>
      <c r="H143" s="911" t="s">
        <v>1047</v>
      </c>
    </row>
    <row r="144" spans="1:12">
      <c r="A144" s="276" t="s">
        <v>632</v>
      </c>
      <c r="B144" s="911" t="s">
        <v>1048</v>
      </c>
      <c r="C144" s="911">
        <v>-575647</v>
      </c>
      <c r="D144" s="911">
        <v>-575647</v>
      </c>
      <c r="E144" s="911">
        <v>0</v>
      </c>
      <c r="F144" s="911">
        <v>0</v>
      </c>
      <c r="G144" s="911">
        <v>0</v>
      </c>
      <c r="H144" s="911" t="s">
        <v>968</v>
      </c>
    </row>
    <row r="145" spans="1:8">
      <c r="A145" s="276" t="s">
        <v>633</v>
      </c>
      <c r="B145" s="911" t="s">
        <v>1049</v>
      </c>
      <c r="C145" s="911">
        <v>0</v>
      </c>
      <c r="D145" s="911">
        <v>0</v>
      </c>
      <c r="E145" s="911">
        <v>0</v>
      </c>
      <c r="F145" s="911">
        <v>0</v>
      </c>
      <c r="G145" s="911">
        <v>0</v>
      </c>
      <c r="H145" s="911"/>
    </row>
    <row r="146" spans="1:8" ht="28.8">
      <c r="A146" s="276" t="s">
        <v>634</v>
      </c>
      <c r="B146" s="911" t="s">
        <v>1050</v>
      </c>
      <c r="C146" s="911">
        <v>-111361.24659113595</v>
      </c>
      <c r="D146" s="911">
        <v>0</v>
      </c>
      <c r="E146" s="911">
        <v>0</v>
      </c>
      <c r="F146" s="911">
        <v>-111361.24659113595</v>
      </c>
      <c r="G146" s="911">
        <v>0</v>
      </c>
      <c r="H146" s="942" t="s">
        <v>1051</v>
      </c>
    </row>
    <row r="147" spans="1:8">
      <c r="A147" s="276" t="s">
        <v>635</v>
      </c>
      <c r="B147" s="911" t="s">
        <v>1052</v>
      </c>
      <c r="C147" s="911">
        <v>-1595004.7078475344</v>
      </c>
      <c r="D147" s="911">
        <v>0</v>
      </c>
      <c r="E147" s="911">
        <v>0</v>
      </c>
      <c r="F147" s="911">
        <v>0</v>
      </c>
      <c r="G147" s="911">
        <v>-1595004.7078475344</v>
      </c>
      <c r="H147" s="942" t="s">
        <v>1053</v>
      </c>
    </row>
    <row r="148" spans="1:8">
      <c r="A148" s="276" t="s">
        <v>636</v>
      </c>
      <c r="B148" s="911" t="s">
        <v>1054</v>
      </c>
      <c r="C148" s="911">
        <v>-3337244.1602963097</v>
      </c>
      <c r="D148" s="911">
        <v>-3337244.1602963097</v>
      </c>
      <c r="E148" s="911">
        <v>0</v>
      </c>
      <c r="F148" s="911">
        <v>0</v>
      </c>
      <c r="G148" s="911">
        <v>0</v>
      </c>
      <c r="H148" s="942" t="s">
        <v>1037</v>
      </c>
    </row>
    <row r="149" spans="1:8">
      <c r="A149" s="276" t="s">
        <v>637</v>
      </c>
      <c r="B149" s="911" t="s">
        <v>1330</v>
      </c>
      <c r="C149" s="911">
        <v>-1.1556840035989269E-2</v>
      </c>
      <c r="D149" s="911">
        <v>-1.1556840035989269E-2</v>
      </c>
      <c r="E149" s="911">
        <v>0</v>
      </c>
      <c r="F149" s="911">
        <v>0</v>
      </c>
      <c r="G149" s="911">
        <v>0</v>
      </c>
      <c r="H149" s="942" t="s">
        <v>1037</v>
      </c>
    </row>
    <row r="150" spans="1:8">
      <c r="A150" s="276" t="s">
        <v>638</v>
      </c>
      <c r="B150" s="911" t="s">
        <v>1331</v>
      </c>
      <c r="C150" s="911">
        <v>-1567342.1078519998</v>
      </c>
      <c r="D150" s="911">
        <v>-1567342.1078519998</v>
      </c>
      <c r="E150" s="911">
        <v>0</v>
      </c>
      <c r="F150" s="911">
        <v>0</v>
      </c>
      <c r="G150" s="911">
        <v>0</v>
      </c>
      <c r="H150" s="942" t="s">
        <v>1037</v>
      </c>
    </row>
    <row r="151" spans="1:8">
      <c r="A151" s="276" t="s">
        <v>639</v>
      </c>
      <c r="B151" s="911" t="s">
        <v>976</v>
      </c>
      <c r="C151" s="911">
        <v>-205033.817364444</v>
      </c>
      <c r="D151" s="911">
        <v>0</v>
      </c>
      <c r="E151" s="911">
        <v>0</v>
      </c>
      <c r="F151" s="911">
        <v>0</v>
      </c>
      <c r="G151" s="911">
        <v>-205033.817364444</v>
      </c>
      <c r="H151" s="942" t="s">
        <v>1022</v>
      </c>
    </row>
    <row r="152" spans="1:8" ht="28.8">
      <c r="A152" s="276" t="s">
        <v>640</v>
      </c>
      <c r="B152" s="911" t="s">
        <v>1332</v>
      </c>
      <c r="C152" s="911">
        <v>-2.8892099984864326E-3</v>
      </c>
      <c r="D152" s="911">
        <v>0</v>
      </c>
      <c r="E152" s="911">
        <v>0</v>
      </c>
      <c r="F152" s="911">
        <v>-2.8892099984864326E-3</v>
      </c>
      <c r="G152" s="911">
        <v>0</v>
      </c>
      <c r="H152" s="942" t="s">
        <v>1056</v>
      </c>
    </row>
    <row r="153" spans="1:8">
      <c r="A153" s="276" t="s">
        <v>641</v>
      </c>
      <c r="B153" s="911" t="s">
        <v>1055</v>
      </c>
      <c r="C153" s="911">
        <v>0</v>
      </c>
      <c r="D153" s="911">
        <v>0</v>
      </c>
      <c r="E153" s="911">
        <v>0</v>
      </c>
      <c r="F153" s="911">
        <v>0</v>
      </c>
      <c r="G153" s="911">
        <v>0</v>
      </c>
      <c r="H153" s="942" t="s">
        <v>1037</v>
      </c>
    </row>
    <row r="154" spans="1:8" ht="28.8">
      <c r="A154" s="276" t="s">
        <v>642</v>
      </c>
      <c r="B154" s="911" t="s">
        <v>1057</v>
      </c>
      <c r="C154" s="911">
        <v>-1.1556840001303349E-2</v>
      </c>
      <c r="D154" s="911">
        <v>0</v>
      </c>
      <c r="E154" s="911">
        <v>0</v>
      </c>
      <c r="F154" s="911">
        <v>0</v>
      </c>
      <c r="G154" s="911">
        <v>-1.1556840001303349E-2</v>
      </c>
      <c r="H154" s="942" t="s">
        <v>1034</v>
      </c>
    </row>
    <row r="155" spans="1:8">
      <c r="A155" s="276" t="s">
        <v>643</v>
      </c>
      <c r="B155" s="911" t="s">
        <v>1382</v>
      </c>
      <c r="C155" s="911">
        <v>-203599.37256033</v>
      </c>
      <c r="D155" s="911">
        <v>-203599.37256033</v>
      </c>
      <c r="E155" s="911">
        <v>0</v>
      </c>
      <c r="F155" s="911">
        <v>0</v>
      </c>
      <c r="G155" s="911">
        <v>0</v>
      </c>
      <c r="H155" s="942"/>
    </row>
    <row r="156" spans="1:8">
      <c r="A156" s="276" t="s">
        <v>644</v>
      </c>
      <c r="B156" s="911" t="s">
        <v>982</v>
      </c>
      <c r="C156" s="911">
        <v>237902.43851464428</v>
      </c>
      <c r="D156" s="911">
        <v>237902.43851464428</v>
      </c>
      <c r="E156" s="911">
        <v>0</v>
      </c>
      <c r="F156" s="911">
        <v>0</v>
      </c>
      <c r="G156" s="911">
        <v>0</v>
      </c>
      <c r="H156" s="942" t="s">
        <v>1058</v>
      </c>
    </row>
    <row r="157" spans="1:8" ht="28.8">
      <c r="A157" s="276" t="s">
        <v>645</v>
      </c>
      <c r="B157" s="911" t="s">
        <v>1001</v>
      </c>
      <c r="C157" s="911">
        <v>-92669768</v>
      </c>
      <c r="D157" s="911">
        <v>0</v>
      </c>
      <c r="E157" s="911">
        <v>0</v>
      </c>
      <c r="F157" s="911">
        <v>0</v>
      </c>
      <c r="G157" s="911">
        <v>-92669768</v>
      </c>
      <c r="H157" s="942" t="s">
        <v>1034</v>
      </c>
    </row>
    <row r="158" spans="1:8">
      <c r="A158" s="276" t="s">
        <v>646</v>
      </c>
      <c r="B158" s="911" t="s">
        <v>1333</v>
      </c>
      <c r="C158" s="911">
        <v>-7896920</v>
      </c>
      <c r="D158" s="911">
        <v>-7896920</v>
      </c>
      <c r="E158" s="911">
        <v>0</v>
      </c>
      <c r="F158" s="911">
        <v>0</v>
      </c>
      <c r="G158" s="911">
        <v>0</v>
      </c>
      <c r="H158" s="916" t="s">
        <v>1334</v>
      </c>
    </row>
    <row r="159" spans="1:8">
      <c r="A159" s="276" t="s">
        <v>647</v>
      </c>
      <c r="B159" s="911" t="s">
        <v>1006</v>
      </c>
      <c r="C159" s="911">
        <v>-3278057</v>
      </c>
      <c r="D159" s="911">
        <v>0</v>
      </c>
      <c r="E159" s="911">
        <v>0</v>
      </c>
      <c r="F159" s="911">
        <v>-3278057</v>
      </c>
      <c r="G159" s="911">
        <v>0</v>
      </c>
      <c r="H159" s="916" t="s">
        <v>1059</v>
      </c>
    </row>
    <row r="160" spans="1:8">
      <c r="A160" s="276" t="s">
        <v>648</v>
      </c>
      <c r="B160" s="911" t="s">
        <v>1383</v>
      </c>
      <c r="C160" s="911">
        <v>-5001186</v>
      </c>
      <c r="D160" s="911">
        <v>-5001186</v>
      </c>
      <c r="E160" s="911">
        <v>0</v>
      </c>
      <c r="F160" s="911">
        <v>0</v>
      </c>
      <c r="G160" s="911">
        <v>0</v>
      </c>
      <c r="H160" s="916"/>
    </row>
    <row r="161" spans="1:10">
      <c r="A161" s="276" t="s">
        <v>649</v>
      </c>
      <c r="B161" s="911"/>
      <c r="C161" s="911"/>
      <c r="D161" s="911"/>
      <c r="E161" s="911"/>
      <c r="F161" s="911"/>
      <c r="G161" s="911"/>
      <c r="H161" s="916"/>
    </row>
    <row r="162" spans="1:10">
      <c r="A162" s="276" t="s">
        <v>650</v>
      </c>
      <c r="B162" s="911"/>
      <c r="C162" s="911"/>
      <c r="D162" s="911"/>
      <c r="E162" s="911"/>
      <c r="F162" s="911"/>
      <c r="G162" s="911"/>
      <c r="H162" s="916"/>
    </row>
    <row r="163" spans="1:10">
      <c r="A163" s="276" t="s">
        <v>651</v>
      </c>
      <c r="B163" s="911"/>
      <c r="C163" s="911"/>
      <c r="D163" s="911"/>
      <c r="E163" s="911"/>
      <c r="F163" s="911"/>
      <c r="G163" s="911"/>
      <c r="H163" s="916"/>
    </row>
    <row r="164" spans="1:10">
      <c r="A164" s="276" t="s">
        <v>652</v>
      </c>
      <c r="B164" s="911"/>
      <c r="C164" s="911"/>
      <c r="D164" s="911"/>
      <c r="E164" s="911"/>
      <c r="F164" s="911"/>
      <c r="G164" s="911"/>
      <c r="H164" s="916"/>
    </row>
    <row r="165" spans="1:10">
      <c r="A165" s="262" t="s">
        <v>653</v>
      </c>
      <c r="B165" s="911"/>
      <c r="C165" s="911"/>
      <c r="D165" s="911"/>
      <c r="E165" s="911"/>
      <c r="F165" s="911"/>
      <c r="G165" s="911"/>
      <c r="H165" s="916"/>
    </row>
    <row r="166" spans="1:10">
      <c r="B166" s="911"/>
      <c r="C166" s="911"/>
      <c r="D166" s="911"/>
      <c r="E166" s="911"/>
      <c r="F166" s="911"/>
      <c r="G166" s="911"/>
      <c r="H166" s="911"/>
    </row>
    <row r="167" spans="1:10">
      <c r="B167" s="911"/>
      <c r="C167" s="911"/>
      <c r="D167" s="911"/>
      <c r="E167" s="911"/>
      <c r="F167" s="911"/>
      <c r="G167" s="911"/>
      <c r="H167" s="911"/>
    </row>
    <row r="168" spans="1:10">
      <c r="A168" s="262" t="s">
        <v>654</v>
      </c>
      <c r="B168" s="911"/>
      <c r="C168" s="911"/>
      <c r="D168" s="911"/>
      <c r="E168" s="911"/>
      <c r="F168" s="911"/>
      <c r="G168" s="911"/>
      <c r="H168" s="911"/>
    </row>
    <row r="169" spans="1:10">
      <c r="A169" s="276" t="s">
        <v>654</v>
      </c>
      <c r="B169" s="911"/>
      <c r="C169" s="911"/>
      <c r="D169" s="911"/>
      <c r="E169" s="911"/>
      <c r="F169" s="911"/>
      <c r="G169" s="911"/>
      <c r="H169" s="916"/>
    </row>
    <row r="170" spans="1:10">
      <c r="A170" s="262">
        <v>26</v>
      </c>
      <c r="B170" s="278" t="s">
        <v>1167</v>
      </c>
      <c r="C170" s="742">
        <f>SUM(C134:C169)</f>
        <v>-123590014</v>
      </c>
      <c r="D170" s="742">
        <f>SUM(D134:D169)</f>
        <v>-25166807.213750832</v>
      </c>
      <c r="E170" s="742">
        <f t="shared" ref="E170:F170" si="0">SUM(E134:E169)</f>
        <v>0</v>
      </c>
      <c r="F170" s="742">
        <f t="shared" si="0"/>
        <v>-3710882.2494803462</v>
      </c>
      <c r="G170" s="742">
        <f>SUM(G131:G169)</f>
        <v>-94712324.536768824</v>
      </c>
      <c r="H170" s="725"/>
      <c r="J170" s="505"/>
    </row>
    <row r="171" spans="1:10">
      <c r="A171" s="262">
        <v>27</v>
      </c>
      <c r="B171" s="278" t="s">
        <v>602</v>
      </c>
      <c r="C171" s="940">
        <v>13103366.300800003</v>
      </c>
      <c r="D171" s="940">
        <v>-1767338.7999999998</v>
      </c>
      <c r="E171" s="940">
        <v>0</v>
      </c>
      <c r="F171" s="940">
        <v>1886644.8</v>
      </c>
      <c r="G171" s="940">
        <v>12984060.300800001</v>
      </c>
      <c r="H171" s="943"/>
    </row>
    <row r="172" spans="1:10">
      <c r="A172" s="262">
        <v>28</v>
      </c>
      <c r="B172" s="278" t="s">
        <v>603</v>
      </c>
      <c r="C172" s="940"/>
      <c r="D172" s="944"/>
      <c r="E172" s="944"/>
      <c r="F172" s="944"/>
      <c r="G172" s="944"/>
      <c r="H172" s="943"/>
    </row>
    <row r="173" spans="1:10">
      <c r="A173" s="276">
        <v>29</v>
      </c>
      <c r="B173" s="278" t="s">
        <v>13</v>
      </c>
      <c r="C173" s="742">
        <f>C170-C171-C172</f>
        <v>-136693380.3008</v>
      </c>
      <c r="D173" s="742">
        <f>+D170-D171-D172</f>
        <v>-23399468.413750831</v>
      </c>
      <c r="E173" s="742">
        <f>+E170-E171-E172</f>
        <v>0</v>
      </c>
      <c r="F173" s="742">
        <f>+F170-F171-F172</f>
        <v>-5597527.049480346</v>
      </c>
      <c r="G173" s="742">
        <f>+G170-G171-G172</f>
        <v>-107696384.83756882</v>
      </c>
      <c r="H173" s="725"/>
    </row>
    <row r="174" spans="1:10" ht="15" thickBot="1">
      <c r="A174" s="276"/>
      <c r="B174" s="299"/>
      <c r="C174" s="320"/>
      <c r="D174" s="320"/>
      <c r="E174" s="320"/>
      <c r="F174" s="320"/>
      <c r="G174" s="320"/>
      <c r="H174" s="726"/>
    </row>
    <row r="175" spans="1:10">
      <c r="A175" s="276">
        <v>30</v>
      </c>
      <c r="B175" s="305" t="s">
        <v>655</v>
      </c>
    </row>
    <row r="176" spans="1:10">
      <c r="A176" s="276">
        <v>31</v>
      </c>
      <c r="B176" s="289" t="s">
        <v>605</v>
      </c>
    </row>
    <row r="177" spans="1:3">
      <c r="A177" s="276">
        <v>32</v>
      </c>
      <c r="B177" s="289" t="s">
        <v>606</v>
      </c>
      <c r="C177" s="272"/>
    </row>
    <row r="178" spans="1:3">
      <c r="A178" s="276">
        <v>33</v>
      </c>
      <c r="B178" s="289" t="s">
        <v>607</v>
      </c>
    </row>
    <row r="179" spans="1:3">
      <c r="A179" s="276">
        <v>34</v>
      </c>
      <c r="B179" s="289" t="s">
        <v>608</v>
      </c>
    </row>
    <row r="180" spans="1:3">
      <c r="A180" s="276">
        <v>35</v>
      </c>
      <c r="B180" s="507" t="s">
        <v>609</v>
      </c>
    </row>
    <row r="181" spans="1:3">
      <c r="A181" s="276">
        <v>36</v>
      </c>
      <c r="B181" s="508" t="s">
        <v>610</v>
      </c>
    </row>
    <row r="182" spans="1:3">
      <c r="A182" s="276"/>
    </row>
  </sheetData>
  <sheetProtection algorithmName="SHA-512" hashValue="XxNcdbLLopuhNsWvWL+HQCiVfK25Jbb5D1Fyx+MRxVfHmJ6LbbD+WLpk+Z60mWAMt1Z5SjO4TCEwhq4cE61zcg==" saltValue="bq2/VT8dTttHvJRB0ZQrUw==" spinCount="100000" sheet="1" objects="1" scenarios="1"/>
  <mergeCells count="4">
    <mergeCell ref="B1:H1"/>
    <mergeCell ref="B86:H86"/>
    <mergeCell ref="B122:H122"/>
    <mergeCell ref="B2:H2"/>
  </mergeCells>
  <pageMargins left="0.7" right="0.7" top="0.75" bottom="0.75" header="0.3" footer="0.3"/>
  <pageSetup scale="43" fitToHeight="0" orientation="landscape" r:id="rId1"/>
  <rowBreaks count="2" manualBreakCount="2">
    <brk id="85" max="16383" man="1"/>
    <brk id="12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2.xml><?xml version="1.0" encoding="utf-8"?>
<ds:datastoreItem xmlns:ds="http://schemas.openxmlformats.org/officeDocument/2006/customXml" ds:itemID="{988DBC8E-E135-4F5E-ADEE-BD14D77AAFE6}">
  <ds:schemaRefs>
    <ds:schemaRef ds:uri="http://schemas.microsoft.com/office/2006/documentManagement/types"/>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14</vt:i4>
      </vt:variant>
    </vt:vector>
  </HeadingPairs>
  <TitlesOfParts>
    <vt:vector size="31" baseType="lpstr">
      <vt:lpstr>Title</vt:lpstr>
      <vt:lpstr>Attachment H-7</vt:lpstr>
      <vt:lpstr>1-Project Rev Req</vt:lpstr>
      <vt:lpstr>2-Incentive ROE</vt:lpstr>
      <vt:lpstr>3-Project True-up</vt:lpstr>
      <vt:lpstr>4- Rate Base</vt:lpstr>
      <vt:lpstr>4A - ADIT Summary</vt:lpstr>
      <vt:lpstr>4B - ADIT BOY</vt:lpstr>
      <vt:lpstr>4C - ADIT EOY</vt:lpstr>
      <vt:lpstr>4D - Intangible Pnt</vt:lpstr>
      <vt:lpstr>4E COA</vt:lpstr>
      <vt:lpstr>5-P3 Support</vt:lpstr>
      <vt:lpstr>5A - Revenue Credits</vt:lpstr>
      <vt:lpstr>5B - A&amp;G</vt:lpstr>
      <vt:lpstr>6-True-Up Interest</vt:lpstr>
      <vt:lpstr>7 - PBOP</vt:lpstr>
      <vt:lpstr>8 - Depreciation Rates</vt:lpstr>
      <vt:lpstr>'1-Project Rev Req'!Print_Area</vt:lpstr>
      <vt:lpstr>'2-Incentive ROE'!Print_Area</vt:lpstr>
      <vt:lpstr>'4- Rate Base'!Print_Area</vt:lpstr>
      <vt:lpstr>'4A - ADIT Summary'!Print_Area</vt:lpstr>
      <vt:lpstr>'4B - ADIT BOY'!Print_Area</vt:lpstr>
      <vt:lpstr>'4D - Intangible Pnt'!Print_Area</vt:lpstr>
      <vt:lpstr>'5A - Revenue Credits'!Print_Area</vt:lpstr>
      <vt:lpstr>'5B - A&amp;G'!Print_Area</vt:lpstr>
      <vt:lpstr>'5-P3 Support'!Print_Area</vt:lpstr>
      <vt:lpstr>'6-True-Up Interest'!Print_Area</vt:lpstr>
      <vt:lpstr>'7 - PBOP'!Print_Area</vt:lpstr>
      <vt:lpstr>'8 - Depreciation Rates'!Print_Area</vt:lpstr>
      <vt:lpstr>'Attachment H-7'!Print_Area</vt:lpstr>
      <vt:lpstr>Title!Print_Area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Trzaska, Michael J:(PECO)</dc:creator>
  <cp:lastModifiedBy>Yin, Benjamin S:(PECO)</cp:lastModifiedBy>
  <cp:lastPrinted>2017-04-26T16:43:23Z</cp:lastPrinted>
  <dcterms:created xsi:type="dcterms:W3CDTF">2019-04-12T14:10:52Z</dcterms:created>
  <dcterms:modified xsi:type="dcterms:W3CDTF">2019-05-03T13:04:38Z</dcterms:modified>
</cp:coreProperties>
</file>