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bookViews>
    <workbookView xWindow="-110" yWindow="-110" windowWidth="19420" windowHeight="10420" tabRatio="793" activeTab="1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K" hidden="1">#REF!</definedName>
    <definedName name="_2K" hidden="1">#REF!</definedName>
    <definedName name="_2S" hidden="1">#REF!</definedName>
    <definedName name="_4S" hidden="1">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_xlnm.Print_Area" localSheetId="0">Title!$A$1:$H$22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fullCalcOnLoad="1"/>
  <extLst/>
</workbook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<sst xmlns="http://schemas.openxmlformats.org/spreadsheetml/2006/main" count="104" uniqueCount="70">
  <si>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</si>
  <si>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</si>
  <si>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</si>
  <si>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</si>
  <si>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</si>
  <si>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</si>
  <si>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</si>
  <si>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</si>
  <si>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</si>
  <si>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</si>
  <si>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</si>
  <si>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</si>
  <si>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</si>
  <si>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</si>
  <si>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</si>
  <si>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</si>
  <si>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</si>
  <si>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</si>
  <si>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</si>
  <si>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</si>
  <si>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</si>
  <si>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</si>
  <si>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</si>
  <si>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</si>
  <si>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</si>
  <si>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</si>
  <si>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</si>
  <si>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</si>
  <si>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</si>
  <si>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</si>
  <si>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</si>
  <si>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</si>
  <si>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</si>
  <si>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</si>
  <si>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</si>
  <si>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</si>
  <si>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</si>
  <si>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</si>
  <si>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</si>
  <si>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</si>
  <si>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</si>
  <si>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</si>
  <si>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</si>
  <si>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</si>
  <si>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</si>
  <si>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</si>
  <si>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</si>
  <si>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</si>
  <si>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</si>
  <si>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</si>
  <si>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</si>
  <si>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</si>
  <si>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</si>
  <si>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</si>
  <si>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</si>
  <si>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</si>
  <si>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</si>
  <si>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</si>
  <si>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</si>
  <si>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</si>
  <si>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</si>
  <si>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</si>
  <si>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</si>
  <si>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</si>
  <si>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</si>
  <si>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</si>
  <si>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</si>
  <si>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</si>
  <si>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2017 through December 31, 2018</t>
  </si>
  <si>
    <t>For  the 12 months ended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</si>
</sst>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9" fontId="2" fillId="0" borderId="0" applyProtection="0">
      <alignment/>
    </xf>
    <xf numFmtId="169" fontId="2" fillId="0" borderId="0" applyProtection="0">
      <alignment/>
    </xf>
    <xf numFmtId="0" fontId="13" fillId="0" borderId="0">
      <alignment/>
      <protection/>
    </xf>
    <xf numFmtId="169" fontId="2" fillId="0" borderId="0" applyProtection="0">
      <alignment/>
    </xf>
  </cellStyleXfs>
  <cellXfs count="69">
    <xf numFmtId="0" fontId="0" fillId="0" borderId="0" xfId="0"/>
    <xf numFmtId="0" fontId="3" fillId="0" borderId="0" xfId="0" applyFont="1"/>
    <xf numFmtId="169" fontId="4" fillId="0" borderId="0" xfId="21" applyFont="1" applyAlignment="1">
      <alignment vertical="center"/>
    </xf>
    <xf numFmtId="169" fontId="3" fillId="0" borderId="0" xfId="21" applyFont="1" applyAlignment="1">
      <alignment/>
    </xf>
    <xf numFmtId="0" fontId="5" fillId="0" borderId="0" xfId="0" applyFont="1"/>
    <xf numFmtId="10" fontId="5" fillId="0" borderId="0" xfId="15" applyNumberFormat="1" applyFont="1"/>
    <xf numFmtId="0" fontId="5" fillId="0" borderId="0" xfId="0" applyFont="1" quotePrefix="1"/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/>
    <xf numFmtId="164" fontId="5" fillId="0" borderId="0" xfId="18" applyNumberFormat="1" applyFont="1"/>
    <xf numFmtId="164" fontId="5" fillId="0" borderId="1" xfId="18" applyNumberFormat="1" applyFont="1" applyBorder="1"/>
    <xf numFmtId="0" fontId="7" fillId="0" borderId="0" xfId="0" applyFont="1"/>
    <xf numFmtId="164" fontId="5" fillId="0" borderId="0" xfId="18" applyNumberFormat="1" applyFont="1" applyBorder="1"/>
    <xf numFmtId="0" fontId="7" fillId="0" borderId="2" xfId="0" applyFont="1" applyFill="1" applyBorder="1"/>
    <xf numFmtId="10" fontId="5" fillId="2" borderId="3" xfId="15" applyNumberFormat="1" applyFont="1" applyFill="1" applyBorder="1"/>
    <xf numFmtId="0" fontId="7" fillId="0" borderId="4" xfId="0" applyFont="1" applyFill="1" applyBorder="1"/>
    <xf numFmtId="165" fontId="7" fillId="0" borderId="0" xfId="15" applyNumberFormat="1" applyFont="1" applyFill="1" applyBorder="1"/>
    <xf numFmtId="0" fontId="7" fillId="0" borderId="0" xfId="0" applyFont="1" applyFill="1" applyBorder="1"/>
    <xf numFmtId="0" fontId="8" fillId="0" borderId="0" xfId="0" applyFont="1"/>
    <xf numFmtId="164" fontId="5" fillId="0" borderId="0" xfId="0" applyNumberFormat="1" applyFont="1"/>
    <xf numFmtId="164" fontId="5" fillId="0" borderId="1" xfId="0" applyNumberFormat="1" applyFont="1" applyBorder="1"/>
    <xf numFmtId="164" fontId="6" fillId="0" borderId="0" xfId="0" applyNumberFormat="1" applyFont="1"/>
    <xf numFmtId="166" fontId="5" fillId="0" borderId="0" xfId="18" applyNumberFormat="1" applyFont="1"/>
    <xf numFmtId="0" fontId="9" fillId="0" borderId="0" xfId="0" applyFont="1"/>
    <xf numFmtId="168" fontId="5" fillId="0" borderId="0" xfId="15" applyNumberFormat="1" applyFont="1"/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67" fontId="5" fillId="0" borderId="0" xfId="16" applyNumberFormat="1" applyFont="1"/>
    <xf numFmtId="167" fontId="5" fillId="0" borderId="0" xfId="0" applyNumberFormat="1" applyFont="1"/>
    <xf numFmtId="167" fontId="10" fillId="0" borderId="0" xfId="16" applyNumberFormat="1" applyFont="1"/>
    <xf numFmtId="2" fontId="5" fillId="0" borderId="0" xfId="0" applyNumberFormat="1" applyFont="1"/>
    <xf numFmtId="0" fontId="5" fillId="0" borderId="0" xfId="0" applyFont="1" applyFill="1" quotePrefix="1"/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6" fontId="5" fillId="0" borderId="5" xfId="0" applyNumberFormat="1" applyFont="1" applyBorder="1" applyAlignment="1">
      <alignment wrapText="1"/>
    </xf>
    <xf numFmtId="171" fontId="5" fillId="0" borderId="5" xfId="0" applyNumberFormat="1" applyFont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22" applyNumberFormat="1" applyFont="1" applyFill="1" applyAlignment="1">
      <alignment horizontal="center"/>
    </xf>
    <xf numFmtId="0" fontId="3" fillId="0" borderId="0" xfId="23" applyNumberFormat="1" applyFont="1" applyFill="1" applyAlignment="1">
      <alignment horizontal="center"/>
      <protection/>
    </xf>
    <xf numFmtId="1" fontId="3" fillId="0" borderId="0" xfId="24" applyNumberFormat="1" applyFont="1" applyFill="1" applyAlignment="1">
      <alignment horizontal="left"/>
    </xf>
    <xf numFmtId="169" fontId="14" fillId="0" borderId="0" xfId="24" applyFont="1" applyFill="1" applyAlignment="1" quotePrefix="1">
      <alignment horizontal="left"/>
    </xf>
    <xf numFmtId="169" fontId="15" fillId="0" borderId="0" xfId="24" applyFont="1" applyFill="1" applyAlignment="1">
      <alignment/>
    </xf>
    <xf numFmtId="0" fontId="16" fillId="0" borderId="0" xfId="23" applyFont="1" applyFill="1" applyAlignment="1">
      <alignment horizontal="center" wrapText="1"/>
      <protection/>
    </xf>
    <xf numFmtId="169" fontId="3" fillId="0" borderId="0" xfId="24" applyFont="1" applyFill="1" applyAlignment="1">
      <alignment/>
    </xf>
    <xf numFmtId="43" fontId="3" fillId="0" borderId="0" xfId="18" applyFont="1" applyFill="1" applyAlignment="1">
      <alignment/>
    </xf>
    <xf numFmtId="170" fontId="17" fillId="3" borderId="0" xfId="18" applyNumberFormat="1" applyFont="1" applyFill="1"/>
    <xf numFmtId="169" fontId="3" fillId="0" borderId="0" xfId="24" applyFont="1" applyFill="1" applyAlignment="1">
      <alignment horizontal="left"/>
    </xf>
    <xf numFmtId="43" fontId="3" fillId="0" borderId="0" xfId="18" applyFont="1" applyFill="1" applyBorder="1" applyAlignment="1">
      <alignment/>
    </xf>
    <xf numFmtId="170" fontId="3" fillId="0" borderId="0" xfId="18" applyNumberFormat="1" applyFont="1" applyFill="1" applyAlignment="1">
      <alignment/>
    </xf>
    <xf numFmtId="0" fontId="16" fillId="0" borderId="0" xfId="23" applyFont="1" applyFill="1">
      <alignment/>
      <protection/>
    </xf>
    <xf numFmtId="164" fontId="17" fillId="3" borderId="0" xfId="18" applyNumberFormat="1" applyFont="1" applyFill="1"/>
    <xf numFmtId="14" fontId="0" fillId="2" borderId="0" xfId="0" applyNumberFormat="1" applyFill="1"/>
    <xf numFmtId="164" fontId="0" fillId="2" borderId="0" xfId="18" applyNumberFormat="1" applyFont="1" applyFill="1"/>
    <xf numFmtId="164" fontId="0" fillId="2" borderId="1" xfId="18" applyNumberFormat="1" applyFont="1" applyFill="1" applyBorder="1"/>
    <xf numFmtId="164" fontId="0" fillId="0" borderId="0" xfId="18" applyNumberFormat="1" applyFont="1"/>
    <xf numFmtId="0" fontId="18" fillId="0" borderId="0" xfId="0" applyFont="1"/>
    <xf numFmtId="168" fontId="0" fillId="2" borderId="0" xfId="15" applyNumberFormat="1" applyFont="1" applyFill="1"/>
    <xf numFmtId="169" fontId="3" fillId="0" borderId="0" xfId="21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5" fontId="7" fillId="0" borderId="9" xfId="15" applyNumberFormat="1" applyFont="1" applyFill="1" applyBorder="1" applyAlignment="1">
      <alignment horizontal="left" wrapText="1"/>
    </xf>
    <xf numFmtId="165" fontId="7" fillId="0" borderId="0" xfId="15" applyNumberFormat="1" applyFont="1" applyFill="1" applyBorder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Attachment Os for 2002 True-up" xfId="22"/>
    <cellStyle name="Normal_interest calc Book1" xfId="23"/>
    <cellStyle name="Normal 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 /><Relationship Id="rId5" Type="http://schemas.openxmlformats.org/officeDocument/2006/relationships/worksheet" Target="worksheets/sheet5.xml" /><Relationship Id="rId7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2" Type="http://schemas.openxmlformats.org/officeDocument/2006/relationships/worksheet" Target="worksheets/sheet2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" Type="http://schemas.openxmlformats.org/officeDocument/2006/relationships/worksheet" Target="worksheets/sheet1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8" Type="http://schemas.openxmlformats.org/officeDocument/2006/relationships/theme" Target="theme/theme1.xml" /><Relationship Id="rId13" Type="http://schemas.openxmlformats.org/officeDocument/2006/relationships/externalLink" Target="externalLinks/externalLink5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dat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v_Req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ATES\Revenue%20Policy\Transmission%20Formula%20Annual%20Updates\2018\Formula%20Updates%20for%20Annual%20Filing\Final%20Formulas%20with%20Source%20Links%20051118\2018%20Annual%20Update%20Formula%20Rate%20Populated%20-%20Final%20with%20Source%20Links%200511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RATES\Revenue%20Policy\Transmission%20Formula%20Annual%20Updates\2019%20with%20Final%20Settlement\2019%20Proje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nd qtr 2000"/>
      <sheetName val="Summary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Oct-00"/>
      <sheetName val="CONSOLIDATING W ADJUSTMENTS"/>
      <sheetName val="mktprice"/>
      <sheetName val="Assumptions"/>
      <sheetName val="State ETR Calc"/>
      <sheetName val="LineItem Data"/>
      <sheetName val="SETUP-Revie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_Re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H-7"/>
      <sheetName val="1-Project Rev Req"/>
      <sheetName val="2-Incentive ROE"/>
      <sheetName val="3-Project True-up"/>
      <sheetName val="4- Rate Base"/>
      <sheetName val="4A - ADIT Summary"/>
      <sheetName val="4B - ADIT BOY"/>
      <sheetName val="4C - ADIT EOY"/>
      <sheetName val="4D - Intangible Pnt"/>
      <sheetName val="4E COA"/>
      <sheetName val="5-P3 Support"/>
      <sheetName val="5A - Revenue Credits"/>
      <sheetName val="5B - A&amp;G"/>
      <sheetName val="6-True-Up Interest"/>
      <sheetName val="7 - PBOP"/>
      <sheetName val="8 - Depreciation Ra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Attachment H-7"/>
      <sheetName val="1-Project Rev Req"/>
      <sheetName val="2-Incentive ROE"/>
      <sheetName val="3-Project True-up"/>
      <sheetName val="4- Rate Base"/>
      <sheetName val="4A - ADIT Summary"/>
      <sheetName val="4B - ADIT BOY"/>
      <sheetName val="4C - ADIT EOY"/>
      <sheetName val="4D - Intangible Pnt"/>
      <sheetName val="4E COA"/>
      <sheetName val="5-P3 Support"/>
      <sheetName val="5A - Revenue Credits"/>
      <sheetName val="5B - A&amp;G"/>
      <sheetName val="5C - Other Taxes"/>
      <sheetName val="6-True-Up Interest"/>
      <sheetName val="7 - PBOP"/>
      <sheetName val="8 - Depreciation Rates"/>
      <sheetName val="9 - EDIT"/>
      <sheetName val="10 - Pension Asset Discount"/>
      <sheetName val="11 - Cost of Capi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view="pageBreakPreview" zoomScaleSheetLayoutView="100" workbookViewId="0" topLeftCell="A1"/>
  </sheetViews>
  <sheetFormatPr defaultColWidth="8.81640625" defaultRowHeight="15.5"/>
  <cols>
    <col min="1" max="16384" width="8.81818181818182" style="3"/>
  </cols>
  <sheetData>
    <row r="1" ht="20">
      <c r="A1" s="2"/>
    </row>
    <row r="2" ht="20">
      <c r="A2" s="2"/>
    </row>
    <row r="4" spans="1:8" ht="15.5">
      <c r="A4" s="61" t="s">
        <v>30</v>
      </c>
      <c r="B4" s="61"/>
      <c r="C4" s="61"/>
      <c r="D4" s="61"/>
      <c r="E4" s="61"/>
      <c r="F4" s="61"/>
      <c r="G4" s="61"/>
      <c r="H4" s="61"/>
    </row>
    <row r="5" spans="1:8" ht="15.5">
      <c r="A5" s="61" t="s">
        <v>32</v>
      </c>
      <c r="B5" s="61"/>
      <c r="C5" s="61"/>
      <c r="D5" s="61"/>
      <c r="E5" s="61"/>
      <c r="F5" s="61"/>
      <c r="G5" s="61"/>
      <c r="H5" s="61"/>
    </row>
  </sheetData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5:D9"/>
  <sheetViews>
    <sheetView tabSelected="1" workbookViewId="0" topLeftCell="A1">
      <selection pane="topLeft" activeCell="A1" sqref="A1"/>
    </sheetView>
  </sheetViews>
  <sheetFormatPr defaultColWidth="9.1796875" defaultRowHeight="14"/>
  <cols>
    <col min="1" max="1" width="5.27272727272727" style="34" customWidth="1"/>
    <col min="2" max="2" width="29" style="34" customWidth="1"/>
    <col min="3" max="3" width="30.8181818181818" style="34" customWidth="1"/>
    <col min="4" max="4" width="20.8181818181818" style="34" customWidth="1"/>
    <col min="5" max="16384" width="9.18181818181818" style="34"/>
  </cols>
  <sheetData>
    <row r="4" ht="2.25" customHeight="1"/>
    <row r="5" spans="1:4" ht="28.5" customHeight="1">
      <c r="A5" s="62" t="s">
        <v>35</v>
      </c>
      <c r="B5" s="63"/>
      <c r="C5" s="63"/>
      <c r="D5" s="64"/>
    </row>
    <row r="6" spans="1:4" ht="28">
      <c r="A6" s="35">
        <v>1</v>
      </c>
      <c r="B6" s="36" t="s">
        <v>36</v>
      </c>
      <c r="C6" s="36" t="s">
        <v>66</v>
      </c>
      <c r="D6" s="37">
        <f>'1 - Revenue Requirement'!D10</f>
        <v>880220.93052972294</v>
      </c>
    </row>
    <row r="7" spans="1:4" ht="14">
      <c r="A7" s="35">
        <v>2</v>
      </c>
      <c r="B7" s="36" t="s">
        <v>37</v>
      </c>
      <c r="C7" s="36" t="s">
        <v>67</v>
      </c>
      <c r="D7" s="37">
        <f>'2 - True-Up'!H35</f>
        <v>0</v>
      </c>
    </row>
    <row r="8" spans="1:4" ht="42">
      <c r="A8" s="35">
        <v>3</v>
      </c>
      <c r="B8" s="36" t="s">
        <v>38</v>
      </c>
      <c r="C8" s="36" t="s">
        <v>39</v>
      </c>
      <c r="D8" s="37">
        <f>D6+D7</f>
        <v>880220.93052972294</v>
      </c>
    </row>
    <row r="9" spans="1:4" ht="42">
      <c r="A9" s="35">
        <v>4</v>
      </c>
      <c r="B9" s="36" t="s">
        <v>40</v>
      </c>
      <c r="C9" s="36" t="s">
        <v>65</v>
      </c>
      <c r="D9" s="38">
        <f>D8/12</f>
        <v>73351.74421081024</v>
      </c>
    </row>
  </sheetData>
  <mergeCells count="1">
    <mergeCell ref="A5:D5"/>
  </mergeCells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workbookViewId="0" topLeftCell="A1">
      <selection pane="topLeft" activeCell="A1" sqref="A1"/>
    </sheetView>
  </sheetViews>
  <sheetFormatPr defaultColWidth="8.81640625" defaultRowHeight="14"/>
  <cols>
    <col min="1" max="1" width="3" style="8" customWidth="1"/>
    <col min="2" max="2" width="1.72727272727273" style="4" customWidth="1"/>
    <col min="3" max="3" width="72.5454545454545" style="4" bestFit="1" customWidth="1"/>
    <col min="4" max="4" width="15.2727272727273" style="4" bestFit="1" customWidth="1"/>
    <col min="5" max="16384" width="8.81818181818182" style="4"/>
  </cols>
  <sheetData>
    <row r="2" ht="14">
      <c r="G2" s="6"/>
    </row>
    <row r="3" spans="1:12" ht="14">
      <c r="A3" s="65" t="s">
        <v>31</v>
      </c>
      <c r="B3" s="65"/>
      <c r="C3" s="65"/>
      <c r="D3" s="65"/>
      <c r="E3" s="65"/>
      <c r="F3" s="65"/>
      <c r="G3" s="65"/>
      <c r="H3" s="65"/>
      <c r="I3" s="7"/>
      <c r="J3" s="7"/>
      <c r="K3" s="7"/>
      <c r="L3" s="7"/>
    </row>
    <row r="4" spans="1:11" ht="14">
      <c r="A4" s="65" t="s">
        <v>19</v>
      </c>
      <c r="B4" s="65"/>
      <c r="C4" s="65"/>
      <c r="D4" s="65"/>
      <c r="E4" s="65"/>
      <c r="F4" s="65"/>
      <c r="G4" s="65"/>
      <c r="H4" s="65"/>
      <c r="I4" s="7"/>
      <c r="J4" s="7"/>
      <c r="K4" s="7"/>
    </row>
    <row r="5" spans="1:11" ht="14">
      <c r="A5" s="66" t="s">
        <v>69</v>
      </c>
      <c r="B5" s="66"/>
      <c r="C5" s="66"/>
      <c r="D5" s="66"/>
      <c r="E5" s="66"/>
      <c r="F5" s="66"/>
      <c r="G5" s="66"/>
      <c r="H5" s="66"/>
      <c r="I5" s="7"/>
      <c r="J5" s="7"/>
      <c r="K5" s="7"/>
    </row>
    <row r="6" spans="2:11" ht="14">
      <c r="B6" s="8"/>
      <c r="C6" s="8"/>
      <c r="D6" s="8"/>
      <c r="E6" s="8"/>
      <c r="F6" s="8"/>
      <c r="G6" s="8"/>
      <c r="H6" s="8"/>
      <c r="I6" s="7"/>
      <c r="J6" s="7"/>
      <c r="K6" s="7"/>
    </row>
    <row r="7" spans="4:11" ht="14">
      <c r="D7" s="26"/>
      <c r="E7" s="27"/>
      <c r="F7" s="27"/>
      <c r="I7" s="7"/>
      <c r="J7" s="7"/>
      <c r="K7" s="7"/>
    </row>
    <row r="8" spans="1:4" ht="14">
      <c r="A8" s="8">
        <v>1</v>
      </c>
      <c r="C8" s="4" t="s">
        <v>26</v>
      </c>
      <c r="D8" s="28">
        <f>-SUM('3 - Support'!D59:D62)*'3 - Support'!C78</f>
        <v>1013755.9305297229</v>
      </c>
    </row>
    <row r="9" spans="1:6" ht="14">
      <c r="A9" s="8">
        <v>2</v>
      </c>
      <c r="C9" s="4" t="s">
        <v>33</v>
      </c>
      <c r="D9" s="28">
        <f>-'3 - Support'!D69</f>
        <v>-133535</v>
      </c>
      <c r="E9" s="29"/>
      <c r="F9" s="29"/>
    </row>
    <row r="10" spans="1:6" ht="14">
      <c r="A10" s="8">
        <v>3</v>
      </c>
      <c r="C10" s="9" t="s">
        <v>11</v>
      </c>
      <c r="D10" s="28">
        <f>D8+D9</f>
        <v>880220.93052972294</v>
      </c>
      <c r="E10" s="29"/>
      <c r="F10" s="29"/>
    </row>
    <row r="11" spans="3:4" ht="14">
      <c r="C11" s="9"/>
      <c r="D11" s="29"/>
    </row>
    <row r="12" ht="14">
      <c r="D12" s="29"/>
    </row>
    <row r="13" ht="14">
      <c r="D13" s="28"/>
    </row>
    <row r="14" spans="4:5" ht="15.5">
      <c r="D14" s="30"/>
      <c r="E14" s="29"/>
    </row>
    <row r="15" ht="14">
      <c r="D15" s="28"/>
    </row>
    <row r="16" ht="14">
      <c r="D16" s="28"/>
    </row>
    <row r="17" ht="14">
      <c r="D17" s="31"/>
    </row>
    <row r="19" ht="14">
      <c r="D19" s="29"/>
    </row>
    <row r="21" ht="14">
      <c r="C21" s="32" t="s">
        <v>34</v>
      </c>
    </row>
    <row r="22" ht="14">
      <c r="C22" s="32" t="s">
        <v>27</v>
      </c>
    </row>
    <row r="23" ht="14">
      <c r="C23" s="32" t="s">
        <v>28</v>
      </c>
    </row>
    <row r="24" ht="14">
      <c r="C24" s="32" t="s">
        <v>29</v>
      </c>
    </row>
    <row r="26" ht="14">
      <c r="C26" s="33"/>
    </row>
  </sheetData>
  <mergeCells count="3">
    <mergeCell ref="A3:H3"/>
    <mergeCell ref="A4:H4"/>
    <mergeCell ref="A5:H5"/>
  </mergeCells>
  <pageMargins left="0.7" right="0.7" top="0.75" bottom="0.75" header="0.3" footer="0.3"/>
  <pageSetup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I35"/>
  <sheetViews>
    <sheetView zoomScale="80" zoomScaleNormal="80" workbookViewId="0" topLeftCell="A1">
      <selection pane="topLeft" activeCell="A1" sqref="A1"/>
    </sheetView>
  </sheetViews>
  <sheetFormatPr defaultColWidth="8.81640625" defaultRowHeight="14"/>
  <cols>
    <col min="1" max="4" width="8.81818181818182" style="4"/>
    <col min="5" max="5" width="10.2727272727273" style="4" customWidth="1"/>
    <col min="6" max="7" width="8.81818181818182" style="4"/>
    <col min="8" max="8" width="11.4545454545455" style="4" bestFit="1" customWidth="1"/>
    <col min="9" max="16384" width="8.81818181818182" style="4"/>
  </cols>
  <sheetData>
    <row r="2" spans="1:9" ht="14">
      <c r="A2" s="39"/>
      <c r="B2" s="39"/>
      <c r="C2" s="39"/>
      <c r="D2" s="39"/>
      <c r="E2" s="40" t="s">
        <v>41</v>
      </c>
      <c r="F2" s="39"/>
      <c r="G2" s="39"/>
      <c r="H2" s="39"/>
      <c r="I2" s="39"/>
    </row>
    <row r="3" spans="1:9" ht="14">
      <c r="A3" s="39"/>
      <c r="B3" s="39"/>
      <c r="C3" s="39"/>
      <c r="D3" s="39"/>
      <c r="E3" s="41" t="s">
        <v>31</v>
      </c>
      <c r="F3" s="39"/>
      <c r="G3" s="39"/>
      <c r="H3" s="39"/>
      <c r="I3" s="39"/>
    </row>
    <row r="5" spans="1:8" ht="15.5">
      <c r="A5" s="39"/>
      <c r="B5" s="39"/>
      <c r="F5" s="39"/>
      <c r="G5" s="39"/>
      <c r="H5" s="42"/>
    </row>
    <row r="6" spans="1:8" ht="39.5">
      <c r="A6" s="43"/>
      <c r="B6" s="44"/>
      <c r="F6" s="45" t="s">
        <v>42</v>
      </c>
      <c r="G6" s="45"/>
      <c r="H6" s="46" t="s">
        <v>43</v>
      </c>
    </row>
    <row r="7" spans="1:8" ht="15.5">
      <c r="A7" s="43">
        <v>1</v>
      </c>
      <c r="B7" s="47"/>
      <c r="F7" s="39" t="s">
        <v>44</v>
      </c>
      <c r="G7" s="48"/>
      <c r="H7" s="49">
        <v>0.0030000000000000001</v>
      </c>
    </row>
    <row r="8" spans="1:8" ht="15.5">
      <c r="A8" s="43">
        <v>2</v>
      </c>
      <c r="B8" s="47"/>
      <c r="F8" s="39" t="s">
        <v>45</v>
      </c>
      <c r="G8" s="48"/>
      <c r="H8" s="49">
        <v>0.0027000000000000001</v>
      </c>
    </row>
    <row r="9" spans="1:8" ht="15.5">
      <c r="A9" s="43">
        <v>3</v>
      </c>
      <c r="B9" s="47"/>
      <c r="F9" s="39" t="s">
        <v>46</v>
      </c>
      <c r="G9" s="48"/>
      <c r="H9" s="49">
        <v>0.0030000000000000001</v>
      </c>
    </row>
    <row r="10" spans="1:8" ht="15.5">
      <c r="A10" s="43">
        <v>4</v>
      </c>
      <c r="B10" s="47"/>
      <c r="F10" s="39" t="s">
        <v>47</v>
      </c>
      <c r="G10" s="48"/>
      <c r="H10" s="49">
        <v>0.0030000000000000001</v>
      </c>
    </row>
    <row r="11" spans="1:8" ht="15.5">
      <c r="A11" s="43">
        <v>5</v>
      </c>
      <c r="B11" s="47"/>
      <c r="F11" s="39" t="s">
        <v>48</v>
      </c>
      <c r="G11" s="48"/>
      <c r="H11" s="49">
        <v>0.0032000000000000002</v>
      </c>
    </row>
    <row r="12" spans="1:8" ht="15.5">
      <c r="A12" s="43">
        <v>6</v>
      </c>
      <c r="B12" s="47"/>
      <c r="F12" s="39" t="s">
        <v>49</v>
      </c>
      <c r="G12" s="48"/>
      <c r="H12" s="49">
        <v>0.0030000000000000001</v>
      </c>
    </row>
    <row r="13" spans="1:8" ht="15.5">
      <c r="A13" s="43">
        <v>7</v>
      </c>
      <c r="B13" s="47"/>
      <c r="F13" s="39" t="s">
        <v>50</v>
      </c>
      <c r="G13" s="48"/>
      <c r="H13" s="49">
        <v>0.0033999999999999998</v>
      </c>
    </row>
    <row r="14" spans="1:8" ht="15.5">
      <c r="A14" s="43">
        <v>8</v>
      </c>
      <c r="B14" s="47"/>
      <c r="F14" s="39" t="s">
        <v>51</v>
      </c>
      <c r="G14" s="48"/>
      <c r="H14" s="49">
        <v>0.0033999999999999998</v>
      </c>
    </row>
    <row r="15" spans="1:8" ht="15.5">
      <c r="A15" s="43">
        <v>9</v>
      </c>
      <c r="B15" s="47"/>
      <c r="F15" s="39" t="s">
        <v>52</v>
      </c>
      <c r="G15" s="48"/>
      <c r="H15" s="49">
        <v>0.0033</v>
      </c>
    </row>
    <row r="16" spans="1:8" ht="15.5">
      <c r="A16" s="43">
        <v>10</v>
      </c>
      <c r="B16" s="47"/>
      <c r="F16" s="39" t="s">
        <v>53</v>
      </c>
      <c r="G16" s="48"/>
      <c r="H16" s="49">
        <v>0.0035999999999999999</v>
      </c>
    </row>
    <row r="17" spans="1:8" ht="15.5">
      <c r="A17" s="43">
        <v>11</v>
      </c>
      <c r="B17" s="47"/>
      <c r="F17" s="39" t="s">
        <v>54</v>
      </c>
      <c r="G17" s="48"/>
      <c r="H17" s="49">
        <v>0.0035000000000000001</v>
      </c>
    </row>
    <row r="18" spans="1:8" ht="15.5">
      <c r="A18" s="43">
        <v>12</v>
      </c>
      <c r="B18" s="47"/>
      <c r="F18" s="39" t="s">
        <v>55</v>
      </c>
      <c r="G18" s="48"/>
      <c r="H18" s="49">
        <v>0.0035999999999999999</v>
      </c>
    </row>
    <row r="19" spans="1:8" ht="15.5">
      <c r="A19" s="43">
        <v>13</v>
      </c>
      <c r="B19" s="47"/>
      <c r="F19" s="39" t="s">
        <v>44</v>
      </c>
      <c r="G19" s="48"/>
      <c r="H19" s="49">
        <v>0.0035999999999999999</v>
      </c>
    </row>
    <row r="20" spans="1:8" ht="15.5">
      <c r="A20" s="43">
        <v>14</v>
      </c>
      <c r="B20" s="47"/>
      <c r="F20" s="39" t="s">
        <v>45</v>
      </c>
      <c r="G20" s="48"/>
      <c r="H20" s="49">
        <v>0.0033</v>
      </c>
    </row>
    <row r="21" spans="1:8" ht="15.5">
      <c r="A21" s="43">
        <v>15</v>
      </c>
      <c r="B21" s="47"/>
      <c r="F21" s="39" t="s">
        <v>46</v>
      </c>
      <c r="G21" s="48"/>
      <c r="H21" s="49">
        <v>0.0035999999999999999</v>
      </c>
    </row>
    <row r="22" spans="1:8" ht="15.5">
      <c r="A22" s="43">
        <v>16</v>
      </c>
      <c r="B22" s="47"/>
      <c r="F22" s="39" t="s">
        <v>47</v>
      </c>
      <c r="G22" s="48"/>
      <c r="H22" s="49">
        <v>0.0037000000000000002</v>
      </c>
    </row>
    <row r="23" spans="1:8" ht="15.5">
      <c r="A23" s="43">
        <v>17</v>
      </c>
      <c r="B23" s="47"/>
      <c r="F23" s="39" t="s">
        <v>48</v>
      </c>
      <c r="G23" s="48"/>
      <c r="H23" s="49">
        <v>0.0038</v>
      </c>
    </row>
    <row r="24" spans="1:8" ht="15.5">
      <c r="A24" s="43">
        <v>18</v>
      </c>
      <c r="B24" s="50" t="s">
        <v>56</v>
      </c>
      <c r="G24" s="51"/>
      <c r="H24" s="52">
        <f>AVERAGE(H7:H23)</f>
        <v>0.0033352941176470587</v>
      </c>
    </row>
    <row r="26" spans="1:2" ht="15.5">
      <c r="A26" s="47" t="s">
        <v>34</v>
      </c>
      <c r="B26" s="47"/>
    </row>
    <row r="27" spans="1:2" ht="14">
      <c r="A27" s="53" t="s">
        <v>57</v>
      </c>
      <c r="B27" s="53" t="s">
        <v>58</v>
      </c>
    </row>
    <row r="29" spans="1:8" ht="15.5">
      <c r="A29" s="43">
        <v>19</v>
      </c>
      <c r="B29" s="4" t="s">
        <v>59</v>
      </c>
      <c r="H29" s="54">
        <v>0</v>
      </c>
    </row>
    <row r="30" spans="1:8" ht="15.5">
      <c r="A30" s="43">
        <v>20</v>
      </c>
      <c r="B30" s="4" t="s">
        <v>60</v>
      </c>
      <c r="H30" s="54">
        <v>0</v>
      </c>
    </row>
    <row r="31" spans="1:8" ht="15.5">
      <c r="A31" s="43">
        <v>21</v>
      </c>
      <c r="B31" s="4" t="s">
        <v>61</v>
      </c>
      <c r="H31" s="10">
        <f>-H30+H29</f>
        <v>0</v>
      </c>
    </row>
    <row r="32" spans="1:8" ht="15.5">
      <c r="A32" s="43">
        <v>22</v>
      </c>
      <c r="B32" s="4" t="s">
        <v>62</v>
      </c>
      <c r="H32" s="10">
        <v>17</v>
      </c>
    </row>
    <row r="33" spans="1:8" ht="15.5">
      <c r="A33" s="43">
        <v>23</v>
      </c>
      <c r="B33" s="4" t="s">
        <v>63</v>
      </c>
      <c r="H33" s="10">
        <f>H31*H24*H32</f>
        <v>0</v>
      </c>
    </row>
    <row r="34" ht="14">
      <c r="H34" s="10"/>
    </row>
    <row r="35" spans="1:8" ht="15.5">
      <c r="A35" s="43">
        <v>24</v>
      </c>
      <c r="B35" s="4" t="s">
        <v>64</v>
      </c>
      <c r="H35" s="10">
        <f>H31+H33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zoomScale="80" zoomScaleNormal="80" workbookViewId="0" topLeftCell="A1">
      <selection pane="topLeft" activeCell="A1" sqref="A1"/>
    </sheetView>
  </sheetViews>
  <sheetFormatPr defaultColWidth="8.81640625" defaultRowHeight="14"/>
  <cols>
    <col min="1" max="1" width="11.5454545454545" style="4" customWidth="1"/>
    <col min="2" max="2" width="46.2727272727273" style="4" customWidth="1"/>
    <col min="3" max="5" width="22.8181818181818" style="4" customWidth="1"/>
    <col min="6" max="16384" width="8.81818181818182" style="4"/>
  </cols>
  <sheetData>
    <row r="5" spans="1:4" ht="15.5">
      <c r="A5" s="5"/>
      <c r="D5" s="1"/>
    </row>
    <row r="8" ht="14">
      <c r="E8" s="6"/>
    </row>
    <row r="9" spans="2:19" ht="14">
      <c r="B9" s="65" t="s">
        <v>31</v>
      </c>
      <c r="C9" s="65"/>
      <c r="D9" s="65"/>
      <c r="E9" s="65"/>
      <c r="F9" s="65"/>
      <c r="G9" s="65"/>
      <c r="H9" s="65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8" ht="14">
      <c r="B10" s="65" t="s">
        <v>18</v>
      </c>
      <c r="C10" s="65"/>
      <c r="D10" s="65"/>
      <c r="E10" s="65"/>
      <c r="F10" s="65"/>
      <c r="G10" s="65"/>
      <c r="H10" s="65"/>
    </row>
    <row r="11" spans="2:8" ht="14">
      <c r="B11" s="66" t="s">
        <v>68</v>
      </c>
      <c r="C11" s="66"/>
      <c r="D11" s="66"/>
      <c r="E11" s="66"/>
      <c r="F11" s="66"/>
      <c r="G11" s="66"/>
      <c r="H11" s="66"/>
    </row>
    <row r="12" spans="2:8" ht="14">
      <c r="B12" s="8"/>
      <c r="C12" s="8"/>
      <c r="D12" s="8"/>
      <c r="E12" s="8"/>
      <c r="F12" s="8"/>
      <c r="G12" s="8"/>
      <c r="H12" s="8"/>
    </row>
    <row r="13" spans="3:5" ht="14.5">
      <c r="C13" s="55">
        <v>43100</v>
      </c>
      <c r="D13" s="8" t="s">
        <v>9</v>
      </c>
      <c r="E13" s="55">
        <v>43465</v>
      </c>
    </row>
    <row r="14" spans="2:5" ht="14.5">
      <c r="B14" s="9" t="s">
        <v>0</v>
      </c>
      <c r="C14"/>
      <c r="E14"/>
    </row>
    <row r="15" spans="2:5" ht="14.5">
      <c r="B15" s="4" t="s">
        <v>2</v>
      </c>
      <c r="C15" s="56">
        <v>7851141</v>
      </c>
      <c r="D15" s="10">
        <f t="shared" si="0" ref="D15">E15-C15</f>
        <v>-223847</v>
      </c>
      <c r="E15" s="56">
        <v>7627294</v>
      </c>
    </row>
    <row r="16" spans="2:5" ht="14.5">
      <c r="B16" s="4" t="s">
        <v>20</v>
      </c>
      <c r="C16" s="56">
        <v>22131867</v>
      </c>
      <c r="D16" s="10">
        <f t="shared" si="1" ref="D16">E16-C16</f>
        <v>-355606</v>
      </c>
      <c r="E16" s="56">
        <v>21776261</v>
      </c>
    </row>
    <row r="17" spans="2:5" ht="14.5">
      <c r="B17" s="4" t="s">
        <v>3</v>
      </c>
      <c r="C17" s="56">
        <v>17136824</v>
      </c>
      <c r="D17" s="10">
        <f t="shared" si="2" ref="D17">E17-C17</f>
        <v>-79570</v>
      </c>
      <c r="E17" s="56">
        <v>17057254</v>
      </c>
    </row>
    <row r="18" spans="2:5" ht="14.5">
      <c r="B18" s="4" t="s">
        <v>4</v>
      </c>
      <c r="C18" s="57">
        <v>411760</v>
      </c>
      <c r="D18" s="11">
        <f t="shared" si="3" ref="D18">E18-C18</f>
        <v>-18542</v>
      </c>
      <c r="E18" s="57">
        <v>393218</v>
      </c>
    </row>
    <row r="19" spans="2:5" ht="14.5">
      <c r="B19" s="12" t="s">
        <v>1</v>
      </c>
      <c r="C19" s="58">
        <f>SUM(C15:C18)</f>
        <v>47531592</v>
      </c>
      <c r="D19" s="10">
        <f>SUM(D15:D18)</f>
        <v>-677565</v>
      </c>
      <c r="E19" s="58">
        <f>SUM(E15:E18)</f>
        <v>46854027</v>
      </c>
    </row>
    <row r="20" spans="3:5" ht="14.5">
      <c r="C20" s="58"/>
      <c r="E20"/>
    </row>
    <row r="21" spans="2:5" ht="14.5">
      <c r="B21" s="9" t="s">
        <v>5</v>
      </c>
      <c r="C21" s="58"/>
      <c r="D21" s="9"/>
      <c r="E21" s="59"/>
    </row>
    <row r="22" spans="2:5" ht="14.5">
      <c r="B22" s="4" t="s">
        <v>2</v>
      </c>
      <c r="C22" s="56">
        <v>0</v>
      </c>
      <c r="D22" s="10">
        <f t="shared" si="4" ref="D22">E22-C22</f>
        <v>0</v>
      </c>
      <c r="E22" s="56">
        <v>0</v>
      </c>
    </row>
    <row r="23" spans="2:5" ht="14.5">
      <c r="B23" s="4" t="s">
        <v>20</v>
      </c>
      <c r="C23" s="56">
        <v>7654873</v>
      </c>
      <c r="D23" s="10">
        <f t="shared" si="5" ref="D23">E23-C23</f>
        <v>-152604</v>
      </c>
      <c r="E23" s="56">
        <v>7502269</v>
      </c>
    </row>
    <row r="24" spans="2:5" ht="14.5">
      <c r="B24" s="4" t="s">
        <v>3</v>
      </c>
      <c r="C24" s="56">
        <v>2817856</v>
      </c>
      <c r="D24" s="10">
        <f t="shared" si="6" ref="D24">E24-C24</f>
        <v>-28747</v>
      </c>
      <c r="E24" s="56">
        <v>2789109</v>
      </c>
    </row>
    <row r="25" spans="2:5" ht="14.5">
      <c r="B25" s="4" t="s">
        <v>4</v>
      </c>
      <c r="C25" s="57">
        <v>1564184</v>
      </c>
      <c r="D25" s="11">
        <f t="shared" si="7" ref="D25">E25-C25</f>
        <v>-213902</v>
      </c>
      <c r="E25" s="57">
        <v>1350282</v>
      </c>
    </row>
    <row r="26" spans="2:5" ht="14.5">
      <c r="B26" s="12" t="s">
        <v>1</v>
      </c>
      <c r="C26" s="58">
        <f>SUM(C22:C25)</f>
        <v>12036913</v>
      </c>
      <c r="D26" s="10">
        <f>SUM(D22:D25)</f>
        <v>-395253</v>
      </c>
      <c r="E26" s="58">
        <f>SUM(E22:E25)</f>
        <v>11641660</v>
      </c>
    </row>
    <row r="27" spans="3:5" ht="14">
      <c r="C27" s="10"/>
      <c r="D27" s="13"/>
      <c r="E27" s="13"/>
    </row>
    <row r="28" ht="14.5" thickBot="1">
      <c r="C28" s="10"/>
    </row>
    <row r="29" spans="2:8" ht="35.5" customHeight="1" thickBot="1">
      <c r="B29" s="14" t="s">
        <v>6</v>
      </c>
      <c r="C29" s="15">
        <v>0.077147891971118529</v>
      </c>
      <c r="D29" s="67" t="s">
        <v>25</v>
      </c>
      <c r="E29" s="68"/>
      <c r="F29" s="68"/>
      <c r="G29" s="68"/>
      <c r="H29" s="68"/>
    </row>
    <row r="30" spans="2:5" ht="14">
      <c r="B30" s="4" t="s">
        <v>2</v>
      </c>
      <c r="C30" s="10">
        <f>C22*$C$29</f>
        <v>0</v>
      </c>
      <c r="D30" s="10">
        <f t="shared" si="8" ref="D30">E30-C30</f>
        <v>0</v>
      </c>
      <c r="E30" s="10">
        <f>E22*$C$29</f>
        <v>0</v>
      </c>
    </row>
    <row r="31" spans="2:5" ht="14">
      <c r="B31" s="4" t="s">
        <v>20</v>
      </c>
      <c r="C31" s="10">
        <f>C23*$C$29</f>
        <v>590557.31525663205</v>
      </c>
      <c r="D31" s="10">
        <f t="shared" si="9" ref="D31">E31-C31</f>
        <v>-11773.076906360569</v>
      </c>
      <c r="E31" s="10">
        <f>E23*$C$29</f>
        <v>578784.23835027148</v>
      </c>
    </row>
    <row r="32" spans="2:5" ht="14">
      <c r="B32" s="4" t="s">
        <v>3</v>
      </c>
      <c r="C32" s="10">
        <f>C24*$C$29</f>
        <v>217391.65027816818</v>
      </c>
      <c r="D32" s="10">
        <f t="shared" si="10" ref="D32">E32-C32</f>
        <v>-2217.7704504937574</v>
      </c>
      <c r="E32" s="10">
        <f>E24*$C$29</f>
        <v>215173.87982767442</v>
      </c>
    </row>
    <row r="33" spans="2:5" ht="14">
      <c r="B33" s="4" t="s">
        <v>4</v>
      </c>
      <c r="C33" s="11">
        <f>C25*$C$29</f>
        <v>120673.49825495207</v>
      </c>
      <c r="D33" s="11">
        <f t="shared" si="11" ref="D33">E33-C33</f>
        <v>-16502.088388406191</v>
      </c>
      <c r="E33" s="11">
        <f>E25*$C$29</f>
        <v>104171.40986654587</v>
      </c>
    </row>
    <row r="34" spans="2:5" ht="14">
      <c r="B34" s="12" t="s">
        <v>1</v>
      </c>
      <c r="C34" s="13">
        <f>SUM(C30:C33)</f>
        <v>928622.46378975222</v>
      </c>
      <c r="D34" s="13">
        <f t="shared" si="12" ref="D34">E34-C34</f>
        <v>-30492.935745260445</v>
      </c>
      <c r="E34" s="13">
        <f>SUM(E30:E33)</f>
        <v>898129.52804449177</v>
      </c>
    </row>
    <row r="35" ht="14">
      <c r="C35" s="10"/>
    </row>
    <row r="36" ht="14">
      <c r="C36" s="10"/>
    </row>
    <row r="37" ht="14">
      <c r="C37" s="10"/>
    </row>
    <row r="38" spans="2:5" ht="14">
      <c r="B38" s="9" t="s">
        <v>7</v>
      </c>
      <c r="C38" s="10"/>
      <c r="D38" s="9"/>
      <c r="E38" s="9"/>
    </row>
    <row r="39" spans="2:5" ht="14.5">
      <c r="B39" s="4" t="s">
        <v>2</v>
      </c>
      <c r="C39" s="56">
        <v>10143</v>
      </c>
      <c r="D39" s="10">
        <f t="shared" si="13" ref="D39">E39-C39</f>
        <v>-788</v>
      </c>
      <c r="E39" s="56">
        <v>9355</v>
      </c>
    </row>
    <row r="40" spans="2:5" ht="14.5">
      <c r="B40" s="4" t="s">
        <v>20</v>
      </c>
      <c r="C40" s="56">
        <v>972815</v>
      </c>
      <c r="D40" s="10">
        <f t="shared" si="14" ref="D40">E40-C40</f>
        <v>-124237</v>
      </c>
      <c r="E40" s="56">
        <v>848578</v>
      </c>
    </row>
    <row r="41" spans="2:5" ht="14.5">
      <c r="B41" s="4" t="s">
        <v>3</v>
      </c>
      <c r="C41" s="56">
        <v>149788</v>
      </c>
      <c r="D41" s="10">
        <f t="shared" si="15" ref="D41">E41-C41</f>
        <v>-3840</v>
      </c>
      <c r="E41" s="56">
        <v>145948</v>
      </c>
    </row>
    <row r="42" spans="2:5" ht="14.5">
      <c r="B42" s="4" t="s">
        <v>4</v>
      </c>
      <c r="C42" s="57">
        <v>3289</v>
      </c>
      <c r="D42" s="11">
        <f t="shared" si="16" ref="D42">E42-C42</f>
        <v>-708</v>
      </c>
      <c r="E42" s="57">
        <v>2581</v>
      </c>
    </row>
    <row r="43" spans="2:5" ht="14">
      <c r="B43" s="12" t="s">
        <v>1</v>
      </c>
      <c r="C43" s="10">
        <f>SUM(C39:C42)</f>
        <v>1136035</v>
      </c>
      <c r="D43" s="10">
        <f>SUM(D39:D42)</f>
        <v>-129573</v>
      </c>
      <c r="E43" s="10">
        <f>SUM(E39:E42)</f>
        <v>1006462</v>
      </c>
    </row>
    <row r="44" ht="14">
      <c r="C44" s="10"/>
    </row>
    <row r="45" ht="14">
      <c r="C45" s="10"/>
    </row>
    <row r="46" ht="14">
      <c r="C46" s="10"/>
    </row>
    <row r="47" ht="14.5" thickBot="1">
      <c r="C47" s="10"/>
    </row>
    <row r="48" spans="2:7" ht="14.5" thickBot="1">
      <c r="B48" s="16" t="s">
        <v>6</v>
      </c>
      <c r="C48" s="15">
        <v>0.09880621410235467</v>
      </c>
      <c r="D48" s="17" t="s">
        <v>17</v>
      </c>
      <c r="E48" s="18"/>
      <c r="G48" s="18"/>
    </row>
    <row r="49" spans="2:5" ht="14">
      <c r="B49" s="4" t="s">
        <v>2</v>
      </c>
      <c r="C49" s="10">
        <f>C39*$C$48</f>
        <v>1002.1914296401834</v>
      </c>
      <c r="D49" s="10">
        <f t="shared" si="17" ref="D49">E49-C49</f>
        <v>-77.859296712655464</v>
      </c>
      <c r="E49" s="10">
        <f>E39*$C$48</f>
        <v>924.33213292752794</v>
      </c>
    </row>
    <row r="50" spans="2:5" ht="14">
      <c r="B50" s="4" t="s">
        <v>20</v>
      </c>
      <c r="C50" s="10">
        <f>C40*$C$48</f>
        <v>96120.167171982161</v>
      </c>
      <c r="D50" s="10">
        <f t="shared" si="18" ref="D50">E50-C50</f>
        <v>-12275.387621434245</v>
      </c>
      <c r="E50" s="10">
        <f>E40*$C$48</f>
        <v>83844.779550547915</v>
      </c>
    </row>
    <row r="51" spans="2:5" ht="14">
      <c r="B51" s="4" t="s">
        <v>3</v>
      </c>
      <c r="C51" s="10">
        <f>C41*$C$48</f>
        <v>14799.985197963501</v>
      </c>
      <c r="D51" s="10">
        <f t="shared" si="19" ref="D51">E51-C51</f>
        <v>-379.41586215304051</v>
      </c>
      <c r="E51" s="10">
        <f>E41*$C$48</f>
        <v>14420.56933581046</v>
      </c>
    </row>
    <row r="52" spans="2:5" ht="14">
      <c r="B52" s="4" t="s">
        <v>4</v>
      </c>
      <c r="C52" s="11">
        <f>C42*$C$48</f>
        <v>324.97363818264449</v>
      </c>
      <c r="D52" s="11">
        <f t="shared" si="20" ref="D52">E52-C52</f>
        <v>-69.954799584467082</v>
      </c>
      <c r="E52" s="11">
        <f>E42*$C$48</f>
        <v>255.01883859817741</v>
      </c>
    </row>
    <row r="53" spans="2:5" ht="14">
      <c r="B53" s="12" t="s">
        <v>1</v>
      </c>
      <c r="C53" s="13">
        <f>SUM(C49:C52)</f>
        <v>112247.31743776849</v>
      </c>
      <c r="D53" s="13">
        <f t="shared" si="21" ref="D53">E53-C53</f>
        <v>-12802.617579884405</v>
      </c>
      <c r="E53" s="13">
        <f>SUM(E49:E52)</f>
        <v>99444.699857884087</v>
      </c>
    </row>
    <row r="54" ht="14">
      <c r="C54" s="10"/>
    </row>
    <row r="58" spans="2:4" ht="14">
      <c r="B58" s="19" t="s">
        <v>8</v>
      </c>
      <c r="D58" s="19"/>
    </row>
    <row r="59" spans="2:5" ht="14">
      <c r="B59" s="4" t="s">
        <v>2</v>
      </c>
      <c r="C59" s="20">
        <f t="shared" si="22" ref="C59:E62">C15+C30+C49</f>
        <v>7852143.1914296402</v>
      </c>
      <c r="D59" s="20">
        <f t="shared" si="22"/>
        <v>-223924.85929671265</v>
      </c>
      <c r="E59" s="20">
        <f t="shared" si="22"/>
        <v>7628218.3321329271</v>
      </c>
    </row>
    <row r="60" spans="2:5" ht="14">
      <c r="B60" s="4" t="s">
        <v>20</v>
      </c>
      <c r="C60" s="20">
        <f t="shared" si="22"/>
        <v>22818544.482428614</v>
      </c>
      <c r="D60" s="20">
        <f t="shared" si="22"/>
        <v>-379654.4645277948</v>
      </c>
      <c r="E60" s="20">
        <f t="shared" si="22"/>
        <v>22438890.017900821</v>
      </c>
    </row>
    <row r="61" spans="2:5" ht="14">
      <c r="B61" s="4" t="s">
        <v>3</v>
      </c>
      <c r="C61" s="20">
        <f t="shared" si="22"/>
        <v>17369015.635476135</v>
      </c>
      <c r="D61" s="20">
        <f t="shared" si="22"/>
        <v>-82167.186312646794</v>
      </c>
      <c r="E61" s="20">
        <f t="shared" si="22"/>
        <v>17286848.449163485</v>
      </c>
    </row>
    <row r="62" spans="2:5" ht="14">
      <c r="B62" s="4" t="s">
        <v>4</v>
      </c>
      <c r="C62" s="21">
        <f t="shared" si="22"/>
        <v>532758.47189313464</v>
      </c>
      <c r="D62" s="21">
        <f t="shared" si="22"/>
        <v>-35114.043187990661</v>
      </c>
      <c r="E62" s="21">
        <f t="shared" si="22"/>
        <v>497644.42870514403</v>
      </c>
    </row>
    <row r="63" spans="2:5" ht="14">
      <c r="B63" s="9" t="s">
        <v>1</v>
      </c>
      <c r="C63" s="22">
        <f>SUM(C59:C62)</f>
        <v>48572461.781227522</v>
      </c>
      <c r="D63" s="22">
        <f>SUM(D59:D62)</f>
        <v>-720860.55332514492</v>
      </c>
      <c r="E63" s="22">
        <f>SUM(E59:E62)</f>
        <v>47851601.227902375</v>
      </c>
    </row>
    <row r="65" spans="1:5" ht="14">
      <c r="A65" s="4" t="s">
        <v>10</v>
      </c>
      <c r="B65" s="4" t="s">
        <v>23</v>
      </c>
      <c r="C65" s="10">
        <f>C63*$C$78</f>
        <v>68308108.917894527</v>
      </c>
      <c r="D65" s="10">
        <f>D63*$C$78</f>
        <v>-1013755.9305297229</v>
      </c>
      <c r="E65" s="10">
        <f>E63*$C$78</f>
        <v>67294352.987364799</v>
      </c>
    </row>
    <row r="68" spans="2:5" ht="14">
      <c r="B68" s="4" t="s">
        <v>21</v>
      </c>
      <c r="C68" s="10">
        <f>C69/$C$78</f>
        <v>-261123.85253800001</v>
      </c>
      <c r="D68" s="10">
        <f>D69/$C$78</f>
        <v>94953.934265000004</v>
      </c>
      <c r="E68" s="10">
        <f>E69/$C$78</f>
        <v>-166169.91827300002</v>
      </c>
    </row>
    <row r="69" spans="2:5" ht="14.5">
      <c r="B69" s="4" t="s">
        <v>22</v>
      </c>
      <c r="C69" s="56">
        <v>-367222</v>
      </c>
      <c r="D69" s="56">
        <v>133535</v>
      </c>
      <c r="E69" s="10">
        <f>SUM(C69:D69)</f>
        <v>-233687</v>
      </c>
    </row>
    <row r="71" spans="2:5" ht="14">
      <c r="B71" s="4" t="s">
        <v>24</v>
      </c>
      <c r="C71" s="20">
        <f t="shared" si="23" ref="C71:E71">C65+C69</f>
        <v>67940886.917894527</v>
      </c>
      <c r="D71" s="20">
        <f t="shared" si="23"/>
        <v>-880220.93052972294</v>
      </c>
      <c r="E71" s="20">
        <f t="shared" si="23"/>
        <v>67060665.987364799</v>
      </c>
    </row>
    <row r="73" spans="1:2" ht="14">
      <c r="A73" s="23"/>
      <c r="B73" s="23"/>
    </row>
    <row r="74" ht="14">
      <c r="B74" s="24" t="s">
        <v>12</v>
      </c>
    </row>
    <row r="75" spans="2:3" ht="14.5">
      <c r="B75" s="4" t="s">
        <v>13</v>
      </c>
      <c r="C75" s="60">
        <v>0.21</v>
      </c>
    </row>
    <row r="76" spans="2:3" ht="14.5">
      <c r="B76" s="4" t="s">
        <v>14</v>
      </c>
      <c r="C76" s="60">
        <v>0.099900000000000003</v>
      </c>
    </row>
    <row r="77" spans="2:3" ht="14">
      <c r="B77" s="4" t="s">
        <v>15</v>
      </c>
      <c r="C77" s="25">
        <f>C75+C76*(1-C75)</f>
        <v>0.28892099999999998</v>
      </c>
    </row>
    <row r="78" spans="2:3" ht="14">
      <c r="B78" s="4" t="s">
        <v>16</v>
      </c>
      <c r="C78" s="25">
        <f>1/(1-C77)</f>
        <v>1.4063135038441579</v>
      </c>
    </row>
    <row r="81" spans="3:5" ht="14">
      <c r="C81" s="20"/>
      <c r="D81" s="20"/>
      <c r="E81" s="20"/>
    </row>
    <row r="82" spans="3:5" ht="14">
      <c r="C82" s="20"/>
      <c r="D82" s="20"/>
      <c r="E82" s="20"/>
    </row>
    <row r="83" spans="3:5" ht="14">
      <c r="C83" s="20"/>
      <c r="D83" s="20"/>
      <c r="E83" s="20"/>
    </row>
    <row r="86" ht="14">
      <c r="B86" s="6"/>
    </row>
    <row r="88" ht="14">
      <c r="B88" s="6"/>
    </row>
    <row r="89" ht="14">
      <c r="B89" s="6"/>
    </row>
    <row r="91" ht="14">
      <c r="B91" s="6"/>
    </row>
  </sheetData>
  <mergeCells count="4">
    <mergeCell ref="D29:H29"/>
    <mergeCell ref="B10:H10"/>
    <mergeCell ref="B11:H11"/>
    <mergeCell ref="B9:H9"/>
  </mergeCells>
  <pageMargins left="0.7" right="0.7" top="0.75" bottom="0.75" header="0.3" footer="0.3"/>
  <pageSetup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