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bookViews>
    <workbookView xWindow="-110" yWindow="-110" windowWidth="19420" windowHeight="10420" tabRatio="855" firstSheet="1" activeTab="1"/>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10 - Pension Asset Discount" sheetId="55" r:id="rId20"/>
    <sheet name="11 - Cost of Capital" sheetId="56" r:id="rId21"/>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1K" hidden="1">#REF!</definedName>
    <definedName name="_2K" hidden="1">#REF!</definedName>
    <definedName name="_2S" hidden="1">#REF!</definedName>
    <definedName name="_4S" hidden="1">#REF!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_xlnm.Print_Area" localSheetId="2">'1-Project Rev Req'!$A$1:$T$119</definedName>
    <definedName name="_xlnm.Print_Area" localSheetId="3">'2-Incentive ROE'!$A$1:$K$48</definedName>
    <definedName name="_xlnm.Print_Area" localSheetId="5">'4- Rate Base'!$A$1:$L$114</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Credits'!$A$1:$H$92</definedName>
    <definedName name="_xlnm.Print_Area" localSheetId="13">'5B - A&amp;G'!$A$1:$J$31</definedName>
    <definedName name="_xlnm.Print_Area" localSheetId="11">'5-P3 Support'!$A$1:$M$56</definedName>
    <definedName name="_xlnm.Print_Area" localSheetId="15">'6-True-Up Interest'!$A$1:$I$70</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Title!$A$1:$H$22</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fullCalcOnLoad="1"/>
  <customWorkbookViews>
    <customWorkbookView name="Allegheny Energy - Personal View" guid="{931da938-c92d-4dfc-bcc1-9349a5dc9bd4}" activeSheetId="19" xWindow="240" yWindow="120" windowWidth="1239" windowHeight="637" mergeInterval="0" personalView="1" maximized="1" tabRatio="918"/>
    <customWorkbookView name="Chrystina Steffy - Personal View" guid="{f04a2b9a-c6fe-4feb-ad1e-2cf9ac309be4}" activeSheetId="5" xWindow="240" yWindow="120" windowWidth="1276" windowHeight="799" mergeInterval="0" personalView="1" maximized="1" tabRatio="918"/>
  </customWorkbookViews>
  <extLst/>
</workbook>
</file>

<file path=xl/sharedStrings.xml><?xml version="1.0" encoding="utf-8"?>
<sst xmlns="http://schemas.openxmlformats.org/spreadsheetml/2006/main" count="3354" uniqueCount="1623">
  <si>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</si>
  <si>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</si>
  <si>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</si>
  <si>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</si>
  <si>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</si>
  <si>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</si>
  <si>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</si>
  <si>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</si>
  <si>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</si>
  <si>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</si>
  <si>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</si>
  <si>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</si>
  <si>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</si>
  <si>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</si>
  <si>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</si>
  <si>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</si>
  <si>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</si>
  <si>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</si>
  <si>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</si>
  <si>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</si>
  <si>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</si>
  <si>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</si>
  <si>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</si>
  <si>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</si>
  <si>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</si>
  <si>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</si>
  <si>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</si>
  <si>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</si>
  <si>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</si>
  <si>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</si>
  <si>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</si>
  <si>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</si>
  <si>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</si>
  <si>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</si>
  <si>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</si>
  <si>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</si>
  <si>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</si>
  <si>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</si>
  <si>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</si>
  <si>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</si>
  <si>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</si>
  <si>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</si>
  <si>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</si>
  <si>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</si>
  <si>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</si>
  <si>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</si>
  <si>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</si>
  <si>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</si>
  <si>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</si>
  <si>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</si>
  <si>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</si>
  <si>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</si>
  <si>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</si>
  <si>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</si>
  <si>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</si>
  <si>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</si>
  <si>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</si>
  <si>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</si>
  <si>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</si>
  <si>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</si>
  <si>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</si>
  <si>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</si>
  <si>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</si>
  <si>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</si>
  <si>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</si>
  <si>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</si>
  <si>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</si>
  <si>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</si>
  <si>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</si>
  <si>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</si>
  <si>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</si>
  <si>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</si>
  <si>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</si>
  <si>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</si>
  <si>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</si>
  <si>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</si>
  <si>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</si>
  <si>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</si>
  <si>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</si>
  <si>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</si>
  <si>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</si>
  <si>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</si>
  <si>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</si>
  <si>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</si>
  <si>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</si>
  <si>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</si>
  <si>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</si>
  <si>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</si>
  <si>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</si>
  <si>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</si>
  <si>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</si>
  <si>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</si>
  <si>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</si>
  <si>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</si>
  <si>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</si>
  <si>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</si>
  <si>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</si>
  <si>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</si>
  <si>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</si>
  <si>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</si>
  <si>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</si>
  <si>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</si>
  <si>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</si>
  <si>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</si>
  <si>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</si>
  <si>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</si>
  <si>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</si>
  <si>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</si>
  <si>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</si>
  <si>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</si>
  <si>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</si>
  <si>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</si>
  <si>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</si>
  <si>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</si>
  <si>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</si>
  <si>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</si>
  <si>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</si>
  <si>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</si>
  <si>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</si>
  <si>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</si>
  <si>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</si>
  <si>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</si>
  <si>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</si>
  <si>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</si>
  <si>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</si>
  <si>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</si>
  <si>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</si>
  <si>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</si>
  <si>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</si>
  <si>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</si>
  <si>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</si>
  <si>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</si>
  <si>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</si>
  <si>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</si>
  <si>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</si>
  <si>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</si>
  <si>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</si>
  <si>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</si>
  <si>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</si>
  <si>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</si>
  <si>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</si>
  <si>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</si>
  <si>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</si>
  <si>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</si>
  <si>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</si>
  <si>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</si>
  <si>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</si>
  <si>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</si>
  <si>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</si>
  <si>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</si>
  <si>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</si>
  <si>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</si>
  <si>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</si>
  <si>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</si>
  <si>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</si>
  <si>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</si>
  <si>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</si>
  <si>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</si>
  <si>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</si>
  <si>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</si>
  <si>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</si>
  <si>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</si>
  <si>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</si>
  <si>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</si>
  <si>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</si>
  <si>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</si>
  <si>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</si>
  <si>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</si>
  <si>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</si>
  <si>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</si>
  <si>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</si>
  <si>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</si>
  <si>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</si>
  <si>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</si>
  <si>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</si>
  <si>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</si>
  <si>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</si>
  <si>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</si>
  <si>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</si>
  <si>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</si>
  <si>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</si>
  <si>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</si>
  <si>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</si>
  <si>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</si>
  <si>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</si>
  <si>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</si>
  <si>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</si>
  <si>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</si>
  <si>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</si>
  <si>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</si>
  <si>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</si>
  <si>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</si>
  <si>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</si>
  <si>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</si>
  <si>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</si>
  <si>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</si>
  <si>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</si>
  <si>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</si>
  <si>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</si>
  <si>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</si>
  <si>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</si>
  <si>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</si>
  <si>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</si>
  <si>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</si>
  <si>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</si>
  <si>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</si>
  <si>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</si>
  <si>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</si>
  <si>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</si>
  <si>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</si>
  <si>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</si>
  <si>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</si>
  <si>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</si>
  <si>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</si>
  <si>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</si>
  <si>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</si>
  <si>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</si>
  <si>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</si>
  <si>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</si>
  <si>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</si>
  <si>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</si>
  <si>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</si>
  <si>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</si>
  <si>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</si>
  <si>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</si>
  <si>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</si>
  <si>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</si>
  <si>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</si>
  <si>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</si>
  <si>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</si>
  <si>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</si>
  <si>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</si>
  <si>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</si>
  <si>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</si>
  <si>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</si>
  <si>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</si>
  <si>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</si>
  <si>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</si>
  <si>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</si>
  <si>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</si>
  <si>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</si>
  <si>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</si>
  <si>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</si>
  <si>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</si>
  <si>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</si>
  <si>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</si>
  <si>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</si>
  <si>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</si>
  <si>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</si>
  <si>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</si>
  <si>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</si>
  <si>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</si>
  <si>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</si>
  <si>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</si>
  <si>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</si>
  <si>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</si>
  <si>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</si>
  <si>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</si>
  <si>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</si>
  <si>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</si>
  <si>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</si>
  <si>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</si>
  <si>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</si>
  <si>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</si>
  <si>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</si>
  <si>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</si>
  <si>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</si>
  <si>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</si>
  <si>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</si>
  <si>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</si>
  <si>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</si>
  <si>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</si>
  <si>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</si>
  <si>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</si>
  <si>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</si>
  <si>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</si>
  <si>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</si>
  <si>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</si>
  <si>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</si>
  <si>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</si>
  <si>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</si>
  <si>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</si>
  <si>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</si>
  <si>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</si>
  <si>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</si>
  <si>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</si>
  <si>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</si>
  <si>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</si>
  <si>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</si>
  <si>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</si>
  <si>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</si>
  <si>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</si>
  <si>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</si>
  <si>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</si>
  <si>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</si>
  <si>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</si>
  <si>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</si>
  <si>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</si>
  <si>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</si>
  <si>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</si>
  <si>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</si>
  <si>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</si>
  <si>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</si>
  <si>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</si>
  <si>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</si>
  <si>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</si>
  <si>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</si>
  <si>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</si>
  <si>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</si>
  <si>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</si>
  <si>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</si>
  <si>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</si>
  <si>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</si>
  <si>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</si>
  <si>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</si>
  <si>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</si>
  <si>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</si>
  <si>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</si>
  <si>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</si>
  <si>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</si>
  <si>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</si>
  <si>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</si>
  <si>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</si>
  <si>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</si>
  <si>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</si>
  <si>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</si>
  <si>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</si>
  <si>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</si>
  <si>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</si>
  <si>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</si>
  <si>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</si>
  <si>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</si>
  <si>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</si>
  <si>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</si>
  <si>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</si>
  <si>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</si>
  <si>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</si>
  <si>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</si>
  <si>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</si>
  <si>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</si>
  <si>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</si>
  <si>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</si>
  <si>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</si>
  <si>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</si>
  <si>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</si>
  <si>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</si>
  <si>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</si>
  <si>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</si>
  <si>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</si>
  <si>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</si>
  <si>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</si>
  <si>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</si>
  <si>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</si>
  <si>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</si>
  <si>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</si>
  <si>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</si>
  <si>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</si>
  <si>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</si>
  <si>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</si>
  <si>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</si>
  <si>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</si>
  <si>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</si>
  <si>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</si>
  <si>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</si>
  <si>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</si>
  <si>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</si>
  <si>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</si>
  <si>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</si>
  <si>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</si>
  <si>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</si>
  <si>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</si>
  <si>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</si>
  <si>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</si>
  <si>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</si>
  <si>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</si>
  <si>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</si>
  <si>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</si>
  <si>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</si>
  <si>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</si>
  <si>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</si>
  <si>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</si>
  <si>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</si>
  <si>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</si>
  <si>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</si>
  <si>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</si>
  <si>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</si>
  <si>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</si>
  <si>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</si>
  <si>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</si>
  <si>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</si>
  <si>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</si>
  <si>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</si>
  <si>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</si>
  <si>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</si>
  <si>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</si>
  <si>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</si>
  <si>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</si>
  <si>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</si>
  <si>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</si>
  <si>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</si>
  <si>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</si>
  <si>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</si>
  <si>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</si>
  <si>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</si>
  <si>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</si>
  <si>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</si>
  <si>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</si>
  <si>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</si>
  <si>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</si>
  <si>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</si>
  <si>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</si>
  <si>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</si>
  <si>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</si>
  <si>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</si>
  <si>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</si>
  <si>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</si>
  <si>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</si>
  <si>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</si>
  <si>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</si>
  <si>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</si>
  <si>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</si>
  <si>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</si>
  <si>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</si>
  <si>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</si>
  <si>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</si>
  <si>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</si>
  <si>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</si>
  <si>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</si>
  <si>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</si>
  <si>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</si>
  <si>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</si>
  <si>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</si>
  <si>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</si>
  <si>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</si>
  <si>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</si>
  <si>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</si>
  <si>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</si>
  <si>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</si>
  <si>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</si>
  <si>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</si>
  <si>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</si>
  <si>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</si>
  <si>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</si>
  <si>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</si>
  <si>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</si>
  <si>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</si>
  <si>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</si>
  <si>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</si>
  <si>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</si>
  <si>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</si>
  <si>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</si>
  <si>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</si>
  <si>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</si>
  <si>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</si>
  <si>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</si>
  <si>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</si>
  <si>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</si>
  <si>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</si>
  <si>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</si>
  <si>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</si>
  <si>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</si>
  <si>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</si>
  <si>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</si>
  <si>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</si>
  <si>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</si>
  <si>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</si>
  <si>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</si>
  <si>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</si>
  <si>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</si>
  <si>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</si>
  <si>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</si>
  <si>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</si>
  <si>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</si>
  <si>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</si>
  <si>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</si>
  <si>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</si>
  <si>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</si>
  <si>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</si>
  <si>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</si>
  <si>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</si>
  <si>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</si>
  <si>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</si>
  <si>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</si>
  <si>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</si>
  <si>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</si>
  <si>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</si>
  <si>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</si>
  <si>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</si>
  <si>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</si>
  <si>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</si>
  <si>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</si>
  <si>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</si>
  <si>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</si>
  <si>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</si>
  <si>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</si>
  <si>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</si>
  <si>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</si>
  <si>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</si>
  <si>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</si>
  <si>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</si>
  <si>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</si>
  <si>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</si>
  <si>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</si>
  <si>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</si>
  <si>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</si>
  <si>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</si>
  <si>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</si>
  <si>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</si>
  <si>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</si>
  <si>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</si>
  <si>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</si>
  <si>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</si>
  <si>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</si>
  <si>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</si>
  <si>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</si>
  <si>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</si>
  <si>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</si>
  <si>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</si>
  <si>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</si>
  <si>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</si>
  <si>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</si>
  <si>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</si>
  <si>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</si>
  <si>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</si>
  <si>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</si>
  <si>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</si>
  <si>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</si>
  <si>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</si>
  <si>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</si>
  <si>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</si>
  <si>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</si>
  <si>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</si>
  <si>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</si>
  <si>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</si>
  <si>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</si>
  <si>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</si>
  <si>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</si>
  <si>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</si>
  <si>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</si>
  <si>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</si>
  <si>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</si>
  <si>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</si>
  <si>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</si>
  <si>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</si>
  <si>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</si>
  <si>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</si>
  <si>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</si>
  <si>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</si>
  <si>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</si>
  <si>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</si>
  <si>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</si>
  <si>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</si>
  <si>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</si>
  <si>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</si>
  <si>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</si>
  <si>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</si>
  <si>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</si>
  <si>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</si>
  <si>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</si>
  <si>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</si>
  <si>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</si>
  <si>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</si>
  <si>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</si>
  <si>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</si>
  <si>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</si>
  <si>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</si>
  <si>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</si>
  <si>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</si>
  <si>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</si>
  <si>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</si>
  <si>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</si>
  <si>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</si>
  <si>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</si>
  <si>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</si>
  <si>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</si>
  <si>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</si>
  <si>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</si>
  <si>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</si>
  <si>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</si>
  <si>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</si>
  <si>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</si>
  <si>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</si>
  <si>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</si>
  <si>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</si>
  <si>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</si>
  <si>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</si>
  <si>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</si>
  <si>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</si>
  <si>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</si>
  <si>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</si>
  <si>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</si>
  <si>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</si>
  <si>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</si>
  <si>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</si>
  <si>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</si>
  <si>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</si>
  <si>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</si>
  <si>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</si>
  <si>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</si>
  <si>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</si>
  <si>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</si>
  <si>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</si>
  <si>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</si>
  <si>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</si>
  <si>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</si>
  <si>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</si>
  <si>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</si>
  <si>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</si>
  <si>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</si>
  <si>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</si>
  <si>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</si>
  <si>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</si>
  <si>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</si>
  <si>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</si>
  <si>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</si>
  <si>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</si>
  <si>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</si>
  <si>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</si>
  <si>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</si>
  <si>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</si>
  <si>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</si>
  <si>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</si>
  <si>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</si>
  <si>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</si>
  <si>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</si>
  <si>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</si>
  <si>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</si>
  <si>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</si>
  <si>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</si>
  <si>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</si>
  <si>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</si>
  <si>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</si>
  <si>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</si>
  <si>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</si>
  <si>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</si>
  <si>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</si>
  <si>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</si>
  <si>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</si>
  <si>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</si>
  <si>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</si>
  <si>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</si>
  <si>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</si>
  <si>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</si>
  <si>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</si>
  <si>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</si>
  <si>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</si>
  <si>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</si>
  <si>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</si>
  <si>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</si>
  <si>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</si>
  <si>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</si>
  <si>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</si>
  <si>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</si>
  <si>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</si>
  <si>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</si>
  <si>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</si>
  <si>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</si>
  <si>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</si>
  <si>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</si>
  <si>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</si>
  <si>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</si>
  <si>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</si>
  <si>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</si>
  <si>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</si>
  <si>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</si>
  <si>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</si>
  <si>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</si>
  <si>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</si>
  <si>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</si>
  <si>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</si>
  <si>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</si>
  <si>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</si>
  <si>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</si>
  <si>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</si>
  <si>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</si>
  <si>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</si>
  <si>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</si>
  <si>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</si>
  <si>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</si>
  <si>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</si>
  <si>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</si>
  <si>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</si>
  <si>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</si>
  <si>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</si>
  <si>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</si>
  <si>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</si>
  <si>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</si>
  <si>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</si>
  <si>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</si>
  <si>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</si>
  <si>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</si>
  <si>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</si>
  <si>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</si>
  <si>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</si>
  <si>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</si>
  <si>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</si>
  <si>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</si>
  <si>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</si>
  <si>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</si>
  <si>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</si>
  <si>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</si>
  <si>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</si>
  <si>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</si>
  <si>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</si>
  <si>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</si>
  <si>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</si>
  <si>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</si>
  <si>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</si>
  <si>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</si>
  <si>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</si>
  <si>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</si>
  <si>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</si>
  <si>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</si>
  <si>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</si>
  <si>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</si>
  <si>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</si>
  <si>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</si>
  <si>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</si>
  <si>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</si>
  <si>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</si>
  <si>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</si>
  <si>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</si>
  <si>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</si>
  <si>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</si>
  <si>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</si>
  <si>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</si>
  <si>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</si>
  <si>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</si>
  <si>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</si>
  <si>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</si>
  <si>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</si>
  <si>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</si>
  <si>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</si>
  <si>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</si>
  <si>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</si>
  <si>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</si>
  <si>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</si>
  <si>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</si>
  <si>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</si>
  <si>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</si>
  <si>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</si>
  <si>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</si>
  <si>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</si>
  <si>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</si>
  <si>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</si>
  <si>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</si>
  <si>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</si>
  <si>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</si>
  <si>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</si>
  <si>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</si>
  <si>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</si>
  <si>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</si>
  <si>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</si>
  <si>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</si>
  <si>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</si>
  <si>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</si>
  <si>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</si>
  <si>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</si>
  <si>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</si>
  <si>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</si>
  <si>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</si>
  <si>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</si>
  <si>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</si>
  <si>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</si>
  <si>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</si>
  <si>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</si>
  <si>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</si>
  <si>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</si>
  <si>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</si>
  <si>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</si>
  <si>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</si>
  <si>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</si>
  <si>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</si>
  <si>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</si>
  <si>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</si>
  <si>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</si>
  <si>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</si>
  <si>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</si>
  <si>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</si>
  <si>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</si>
  <si>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</si>
  <si>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</si>
  <si>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</si>
  <si>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</si>
  <si>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</si>
  <si>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</si>
  <si>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</si>
  <si>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</si>
  <si>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</si>
  <si>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</si>
  <si>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</si>
  <si>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</si>
  <si>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</si>
  <si>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</si>
  <si>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</si>
  <si>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</si>
  <si>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</si>
  <si>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</si>
  <si>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</si>
  <si>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</si>
  <si>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</si>
  <si>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</si>
  <si>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</si>
  <si>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</si>
  <si>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</si>
  <si>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</si>
  <si>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</si>
  <si>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</si>
  <si>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</si>
  <si>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</si>
  <si>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</si>
  <si>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</si>
  <si>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</si>
  <si>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</si>
  <si>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</si>
  <si>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</si>
  <si>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</si>
  <si>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</si>
  <si>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</si>
  <si>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</si>
  <si>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</si>
  <si>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</si>
  <si>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</si>
  <si>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</si>
  <si>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</si>
  <si>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</si>
  <si>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</si>
  <si>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</si>
  <si>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</si>
  <si>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</si>
  <si>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</si>
  <si>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</si>
  <si>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</si>
  <si>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</si>
  <si>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</si>
  <si>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</si>
  <si>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</si>
  <si>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</si>
  <si>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</si>
  <si>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</si>
  <si>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</si>
  <si>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3z</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</si>
  <si>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</si>
  <si>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</si>
  <si>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</si>
  <si>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</si>
  <si>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</si>
  <si>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</si>
  <si>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</si>
  <si>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</si>
  <si>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</si>
  <si>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</si>
  <si>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</si>
  <si>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</si>
  <si>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</si>
  <si>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</si>
  <si>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</si>
  <si>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</si>
  <si>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</si>
  <si>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</si>
  <si>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</si>
  <si>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</si>
  <si>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</si>
  <si>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</si>
  <si>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</si>
  <si>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</si>
  <si>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</si>
  <si>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</si>
  <si>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</si>
  <si>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</si>
  <si>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</si>
  <si>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</si>
  <si>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</si>
  <si>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</si>
  <si>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</si>
  <si>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</si>
  <si>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</si>
  <si>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</si>
  <si>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</si>
  <si>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</si>
  <si>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</si>
  <si>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</si>
  <si>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</si>
  <si>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</si>
  <si>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</si>
  <si>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</si>
  <si>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</si>
  <si>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</si>
  <si>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</si>
  <si>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</si>
  <si>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</si>
  <si>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</si>
  <si>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</si>
  <si>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</si>
  <si>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</si>
  <si>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</si>
  <si>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</si>
  <si>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</si>
  <si>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</si>
  <si>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</si>
  <si>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</si>
  <si>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</si>
  <si>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</si>
  <si>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</si>
  <si>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</si>
  <si>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</si>
  <si>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</si>
  <si>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</si>
  <si>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</si>
  <si>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</si>
  <si>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</si>
  <si>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</si>
  <si>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</si>
  <si>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</si>
  <si>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</si>
  <si>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</si>
  <si>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</si>
  <si>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</si>
  <si>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</si>
  <si>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</si>
  <si>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</si>
  <si>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</si>
  <si>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</si>
  <si>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</si>
  <si>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214.17,d, 214.20,d and 214.22,d for end of year, records for other months</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</si>
  <si>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</si>
  <si>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</si>
  <si>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</si>
  <si>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</si>
  <si>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</si>
  <si>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</si>
  <si>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</si>
  <si>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</si>
  <si>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</si>
  <si>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</si>
  <si>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</si>
  <si>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</si>
  <si>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</si>
  <si>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</si>
  <si>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</si>
  <si>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</si>
  <si>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</si>
  <si>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</si>
  <si>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</si>
  <si>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</si>
  <si>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</si>
  <si>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</si>
  <si>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</si>
  <si>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</si>
  <si>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</si>
  <si>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</si>
  <si>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</si>
  <si>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</si>
  <si>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</si>
  <si>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</si>
  <si>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</si>
  <si>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</si>
  <si>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</si>
  <si>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</si>
  <si>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</si>
  <si>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</si>
  <si>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</si>
  <si>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</si>
  <si>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</si>
  <si>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</si>
  <si>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</si>
  <si>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</si>
  <si>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</si>
  <si>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</si>
  <si>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</si>
  <si>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</si>
  <si>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</si>
  <si>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</si>
  <si>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</si>
  <si>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</si>
  <si>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</si>
  <si>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</si>
  <si>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</si>
  <si>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</si>
  <si>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</si>
  <si>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</si>
  <si>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</si>
  <si>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</si>
  <si>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</si>
  <si>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</si>
  <si>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</si>
  <si>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</si>
  <si>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</si>
  <si>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</si>
  <si>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</si>
  <si>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</si>
  <si>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</si>
  <si>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</si>
  <si>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</si>
  <si>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</si>
  <si>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</si>
  <si>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</si>
  <si>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</si>
  <si>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</si>
  <si>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</si>
  <si>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</si>
  <si>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</si>
  <si>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</si>
  <si>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</si>
  <si>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</si>
  <si>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</si>
  <si>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</si>
  <si>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</si>
  <si>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</si>
  <si>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</si>
  <si>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</si>
  <si>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</si>
  <si>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</si>
  <si>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</si>
  <si>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</si>
  <si>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</si>
  <si>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</si>
  <si>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</si>
  <si>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</si>
  <si>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</si>
  <si>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</si>
  <si>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</si>
  <si>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</si>
  <si>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</si>
  <si>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</si>
  <si>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</si>
  <si>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</si>
  <si>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</si>
  <si>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</si>
  <si>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</si>
  <si>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</si>
  <si>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</si>
  <si>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</si>
  <si>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</si>
  <si>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</si>
  <si>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</si>
  <si>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</si>
  <si>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</si>
  <si>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</si>
  <si>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</si>
  <si>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</si>
  <si>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</si>
  <si>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</si>
  <si>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</si>
  <si>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</si>
  <si>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</si>
  <si>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</si>
  <si>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</si>
  <si>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</si>
  <si>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</si>
  <si>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</si>
  <si>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B0264</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</si>
  <si>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</si>
  <si>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</si>
  <si>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</si>
  <si>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</si>
  <si>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</si>
  <si>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</si>
  <si>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</si>
  <si>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</si>
  <si>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</si>
  <si>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</si>
  <si>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</si>
  <si>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</si>
  <si>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</si>
  <si>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</si>
  <si>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</si>
  <si>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</si>
  <si>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</si>
  <si>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</si>
  <si>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</si>
  <si>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</si>
  <si>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</si>
  <si>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</si>
  <si>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</si>
  <si>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</si>
  <si>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</si>
  <si>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</si>
  <si>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</si>
  <si>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</si>
  <si>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</si>
  <si>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</si>
  <si>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</si>
  <si>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</si>
  <si>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</si>
  <si>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</si>
  <si>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</si>
  <si>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</si>
  <si>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</si>
  <si>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</si>
  <si>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</si>
  <si>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</si>
  <si>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</si>
  <si>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</si>
  <si>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</si>
  <si>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</si>
  <si>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</si>
  <si>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</si>
  <si>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</si>
  <si>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</si>
  <si>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</si>
  <si>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</si>
  <si>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</si>
  <si>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</si>
  <si>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</si>
  <si>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</si>
  <si>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</si>
  <si>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</si>
  <si>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</si>
  <si>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</si>
  <si>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</si>
  <si>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</si>
  <si>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</si>
  <si>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</si>
  <si>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</si>
  <si>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</si>
  <si>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</si>
  <si>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</si>
  <si>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</si>
  <si>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</si>
  <si>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</si>
  <si>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</si>
  <si>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</si>
  <si>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</si>
  <si>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</si>
  <si>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</si>
  <si>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</si>
  <si>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</si>
  <si>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</si>
  <si>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</si>
  <si>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</si>
  <si>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</si>
  <si>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</si>
  <si>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</si>
  <si>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</si>
  <si>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</si>
  <si>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</si>
  <si>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</si>
  <si>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</si>
  <si>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</si>
  <si>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</si>
  <si>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</si>
  <si>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</si>
  <si>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</si>
  <si>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</si>
  <si>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</si>
  <si>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</si>
  <si>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</si>
  <si>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</si>
  <si>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</si>
  <si>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</si>
  <si>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</si>
  <si>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</si>
  <si>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</si>
  <si>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</si>
  <si>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</si>
  <si>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</si>
  <si>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</si>
  <si>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</si>
  <si>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</si>
  <si>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</si>
  <si>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</si>
  <si>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</si>
  <si>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</si>
  <si>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</si>
  <si>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</si>
  <si>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</si>
  <si>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</si>
  <si>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</si>
  <si>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</si>
  <si>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</si>
  <si>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</si>
  <si>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</si>
  <si>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</si>
  <si>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</si>
  <si>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</si>
  <si>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</si>
  <si>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</si>
  <si>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</si>
  <si>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</si>
  <si>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</si>
  <si>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</si>
  <si>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</si>
  <si>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</si>
  <si>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</si>
  <si>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</si>
  <si>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</si>
  <si>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</si>
  <si>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</si>
  <si>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</si>
  <si>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</si>
  <si>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</si>
  <si>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</si>
  <si>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</si>
  <si>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</si>
  <si>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</si>
  <si>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</si>
  <si>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</si>
  <si>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</si>
  <si>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</si>
  <si>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</si>
  <si>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</si>
  <si>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</si>
  <si>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</si>
  <si>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</si>
  <si>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</si>
  <si>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</si>
  <si>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</si>
  <si>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</si>
  <si>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</si>
  <si>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</si>
  <si>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</si>
  <si>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</si>
  <si>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</si>
  <si>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</si>
  <si>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</si>
  <si>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</si>
  <si>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</si>
  <si>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</si>
  <si>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</si>
  <si>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</si>
  <si>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</si>
  <si>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</si>
  <si>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</si>
  <si>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</si>
  <si>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</si>
  <si>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</si>
  <si>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</si>
  <si>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</si>
  <si>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</si>
  <si>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</si>
  <si>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</si>
  <si>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</si>
  <si>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</si>
  <si>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</si>
  <si>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</si>
  <si>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</si>
  <si>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</si>
  <si>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</si>
  <si>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 xml:space="preserve">b1398.8 </t>
  </si>
  <si>
    <t>Elroy 500 kV Dynamic Reactive Device</t>
  </si>
  <si>
    <t>Heaton 230 kV Capacitor Bank Addition</t>
  </si>
  <si>
    <t>Environmental Liab - Superfund</t>
  </si>
  <si>
    <t xml:space="preserve">Accrued Severance Plans </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</si>
  <si>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</si>
  <si>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</si>
  <si>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</si>
  <si>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</si>
  <si>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</si>
  <si>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</si>
  <si>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CAP SHOPPING REG ASSET - CURRENT</t>
  </si>
  <si>
    <t>CAP FORGIVENESS REG ASSET - CURRENT</t>
  </si>
  <si>
    <t>ELEC RATE CASE EXP - REG ASSET - CURRENT</t>
  </si>
  <si>
    <t>RATE CHANGE REG ASSET</t>
  </si>
  <si>
    <t>Gross up related to non-property tax rate change/TCJA</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</si>
  <si>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</si>
  <si>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</si>
  <si>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</si>
  <si>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</si>
  <si>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</si>
  <si>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</si>
  <si>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</si>
  <si>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</si>
  <si>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</si>
  <si>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</si>
  <si>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</si>
  <si>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</si>
  <si>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</si>
  <si>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</si>
  <si>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</si>
  <si>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</si>
  <si>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</si>
  <si>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</si>
  <si>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</si>
  <si>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</si>
  <si>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</si>
  <si>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</si>
  <si>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</si>
  <si>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</si>
  <si>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</si>
  <si>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</si>
  <si>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</si>
  <si>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</si>
  <si>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</si>
  <si>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</si>
  <si>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</si>
  <si>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</si>
  <si>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</si>
  <si>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</si>
  <si>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</si>
  <si>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</si>
  <si>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</si>
  <si>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</si>
  <si>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</si>
  <si>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</si>
  <si>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</si>
  <si>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</si>
  <si>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</si>
  <si>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</si>
  <si>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</si>
  <si>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</si>
  <si>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</si>
  <si>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</si>
  <si>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</si>
  <si>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</si>
  <si>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</si>
  <si>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</si>
  <si>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</si>
  <si>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</si>
  <si>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</si>
  <si>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</si>
  <si>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</si>
  <si>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</si>
  <si>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</si>
  <si>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</si>
  <si>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</si>
  <si>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</si>
  <si>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</si>
  <si>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</si>
  <si>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</si>
  <si>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</si>
  <si>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</si>
  <si>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</si>
  <si>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</si>
  <si>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</si>
  <si>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</si>
  <si>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</si>
  <si>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</si>
  <si>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</si>
  <si>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</si>
  <si>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</si>
  <si>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</si>
  <si>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</si>
  <si>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</si>
  <si>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</si>
  <si>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</si>
  <si>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</si>
  <si>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</si>
  <si>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</si>
  <si>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Market Research</t>
  </si>
  <si>
    <t xml:space="preserve">Facilities </t>
  </si>
  <si>
    <t>Land Leasing</t>
  </si>
  <si>
    <t>Fleet Activity</t>
  </si>
  <si>
    <t>IT Service Contracts</t>
  </si>
  <si>
    <t>Membership dues</t>
  </si>
  <si>
    <t>Postage</t>
  </si>
  <si>
    <t>Prepaid Rent - T</t>
  </si>
  <si>
    <t>Prepaid Rent - D</t>
  </si>
  <si>
    <t>Prepaid Rent - G</t>
  </si>
  <si>
    <t>Prepaid property tax</t>
  </si>
  <si>
    <t>PUC Assessment</t>
  </si>
  <si>
    <t>Retention Incentive</t>
  </si>
  <si>
    <t>VEBA</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</si>
  <si>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</si>
  <si>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</si>
  <si>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</si>
  <si>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</si>
  <si>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</si>
  <si>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</si>
  <si>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</si>
  <si>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</si>
  <si>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</si>
  <si>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</si>
  <si>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</si>
  <si>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</si>
  <si>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</si>
  <si>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</si>
  <si>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</si>
  <si>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</si>
  <si>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</si>
  <si>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</si>
  <si>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</si>
  <si>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</si>
  <si>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</si>
  <si>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</si>
  <si>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</si>
  <si>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</si>
  <si>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</si>
  <si>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</si>
  <si>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</si>
  <si>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</si>
  <si>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</si>
  <si>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</si>
  <si>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</si>
  <si>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</si>
  <si>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</si>
  <si>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</si>
  <si>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</si>
  <si>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</si>
  <si>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</si>
  <si>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</si>
  <si>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</si>
  <si>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</si>
  <si>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</si>
  <si>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</si>
  <si>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</si>
  <si>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</si>
  <si>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</si>
  <si>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</si>
  <si>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</si>
  <si>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</si>
  <si>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</si>
  <si>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</si>
  <si>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</si>
  <si>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Book accrues and capitalizes anticipated Pension costs based on actuarial analysis.  Tax deducts or capitalizes retirement benefits only when the amounts are paid.  Retail related.</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</si>
  <si>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</si>
  <si>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</si>
  <si>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</si>
  <si>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</si>
  <si>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</si>
  <si>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</si>
  <si>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</si>
  <si>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</si>
  <si>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</si>
  <si>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</si>
  <si>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</si>
  <si>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</si>
  <si>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</si>
  <si>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</si>
  <si>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</si>
  <si>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</si>
  <si>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</si>
  <si>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</si>
  <si>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</si>
  <si>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Property Tax Payable</t>
  </si>
  <si>
    <t>Federal Unemployment</t>
  </si>
  <si>
    <t>Social Security</t>
  </si>
  <si>
    <t>PA Unemployment</t>
  </si>
  <si>
    <t>State Use Taxes</t>
  </si>
  <si>
    <t>Miscellaneous Taxes</t>
  </si>
  <si>
    <t>PA Gross Receipts Tax - and prior</t>
  </si>
  <si>
    <t>Sales Tax Payable</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</si>
  <si>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</si>
  <si>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</si>
  <si>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</si>
  <si>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</si>
  <si>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</si>
  <si>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</si>
  <si>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</si>
  <si>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</si>
  <si>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</si>
  <si>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</si>
  <si>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</si>
  <si>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</si>
  <si>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</si>
  <si>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</si>
  <si>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</si>
  <si>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</si>
  <si>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</si>
  <si>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</si>
  <si>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</si>
  <si>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</si>
  <si>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</si>
  <si>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</si>
  <si>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</si>
  <si>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</si>
  <si>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</si>
  <si>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</si>
  <si>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</si>
  <si>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</si>
  <si>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</si>
  <si>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</si>
  <si>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</si>
  <si>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</si>
  <si>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</si>
  <si>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</si>
  <si>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</si>
  <si>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</si>
  <si>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</si>
  <si>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</si>
  <si>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</si>
  <si>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</si>
  <si>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</si>
  <si>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</si>
  <si>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</si>
  <si>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</si>
  <si>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</si>
  <si>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</si>
  <si>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</si>
  <si>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</si>
  <si>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</si>
  <si>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</si>
  <si>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</si>
  <si>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</si>
  <si>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</si>
  <si>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</si>
  <si>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</si>
  <si>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</si>
  <si>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</si>
  <si>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</si>
  <si>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</si>
  <si>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</si>
  <si>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</si>
  <si>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</si>
  <si>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</si>
  <si>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</si>
  <si>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</si>
  <si>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</si>
  <si>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</si>
  <si>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</si>
  <si>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</si>
  <si>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</si>
  <si>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</si>
  <si>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</si>
  <si>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</si>
  <si>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</si>
  <si>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</si>
  <si>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</si>
  <si>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</si>
  <si>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</si>
  <si>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</si>
  <si>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</si>
  <si>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</si>
  <si>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</si>
  <si>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</si>
  <si>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</si>
  <si>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</si>
  <si>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</si>
  <si>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</si>
  <si>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</si>
  <si>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</si>
  <si>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</si>
  <si>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</si>
  <si>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</si>
  <si>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</si>
  <si>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</si>
  <si>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</si>
  <si>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</si>
  <si>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</si>
  <si>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</si>
  <si>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</si>
  <si>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</si>
  <si>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</si>
  <si>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</si>
  <si>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</si>
  <si>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</si>
  <si>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</si>
  <si>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</si>
  <si>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</si>
  <si>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</si>
  <si>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</si>
  <si>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</si>
  <si>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</si>
  <si>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</si>
  <si>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</si>
  <si>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</si>
  <si>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</si>
  <si>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</si>
  <si>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</si>
  <si>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</si>
  <si>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</si>
  <si>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</si>
  <si>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</si>
  <si>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</si>
  <si>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</si>
  <si>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</si>
  <si>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</si>
  <si>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</si>
  <si>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</si>
  <si>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</si>
  <si>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</si>
  <si>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</si>
  <si>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</si>
  <si>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</si>
  <si>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</si>
  <si>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</si>
  <si>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</si>
  <si>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</si>
  <si>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</si>
  <si>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As of 12/31/2018</t>
  </si>
  <si>
    <t>FY 2018</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</si>
  <si>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</si>
  <si>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</si>
  <si>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</si>
  <si>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</si>
  <si>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</si>
  <si>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</si>
  <si>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</si>
  <si>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</si>
  <si>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</si>
  <si>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</si>
  <si>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</si>
  <si>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</si>
  <si>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</si>
  <si>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</si>
  <si>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</si>
  <si>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</si>
  <si>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</si>
  <si>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</si>
  <si>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</si>
  <si>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</si>
  <si>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</si>
  <si>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</si>
  <si>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</si>
  <si>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17aa</t>
  </si>
  <si>
    <t>Intercompany Billings - Transmission</t>
  </si>
  <si>
    <t>Intercompany Billings - Labor Related</t>
  </si>
  <si>
    <t>Intercompany Billings - Other</t>
  </si>
  <si>
    <t>Severance - long term</t>
  </si>
  <si>
    <t xml:space="preserve">AIP </t>
  </si>
  <si>
    <t xml:space="preserve">401 K Match </t>
  </si>
  <si>
    <t xml:space="preserve">Long-term Incentive Plans </t>
  </si>
  <si>
    <t xml:space="preserve">Mgmt. Retention Incentive Plan </t>
  </si>
  <si>
    <t xml:space="preserve">Stock Comp </t>
  </si>
  <si>
    <t>30l</t>
  </si>
  <si>
    <t>30m</t>
  </si>
  <si>
    <t>30k</t>
  </si>
  <si>
    <t>Equipment Maintenance</t>
  </si>
  <si>
    <t>PA Real Estate Tax - 2018</t>
  </si>
  <si>
    <t>PA Gross Receipts Tax - 2018</t>
  </si>
  <si>
    <t>IT CIMS - Distribution only portion</t>
  </si>
  <si>
    <t>ARO- Reg Asset</t>
  </si>
  <si>
    <t>True-Up for the 12 months ended 12/31/2018</t>
  </si>
  <si>
    <t>Projection for the 12 months ended 12/31/2019</t>
  </si>
  <si>
    <t>17ab</t>
  </si>
  <si>
    <t>Peach Bottom 500-230 kV Transformer Rating Increase</t>
  </si>
  <si>
    <t>b2694</t>
  </si>
  <si>
    <t>For  the 12 months ended 12/31/2019</t>
  </si>
  <si>
    <t>Prepaid gross receipts tax</t>
  </si>
  <si>
    <t>Marketing</t>
  </si>
  <si>
    <t>New Business</t>
  </si>
  <si>
    <t>Constellation Merger</t>
  </si>
  <si>
    <t>PHI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</si>
</sst>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14">
    <font>
      <sz val="12"/>
      <name val="Arial MT"/>
      <family val="2"/>
    </font>
    <font>
      <sz val="10"/>
      <name val="Arial"/>
      <family val="2"/>
    </font>
    <font>
      <sz val="11"/>
      <color theme="1"/>
      <name val="Calibri"/>
      <family val="2"/>
      <scheme val="minor"/>
    </font>
    <font>
      <sz val="11"/>
      <color indexed="8"/>
      <name val="Calibri"/>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b/>
      <sz val="10"/>
      <color indexed="12"/>
      <name val="Arial"/>
      <family val="2"/>
    </font>
    <font>
      <sz val="11"/>
      <name val="Times New Roman"/>
      <family val="1"/>
    </font>
    <font>
      <b/>
      <i/>
      <sz val="12"/>
      <name val="Times New Roman"/>
      <family val="1"/>
    </font>
    <font>
      <sz val="10"/>
      <name val="C Helvetica Condensed"/>
      <family val="2"/>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amily val="2"/>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amily val="2"/>
    </font>
    <font>
      <sz val="10"/>
      <color indexed="42"/>
      <name val="Arial"/>
      <family val="2"/>
    </font>
    <font>
      <sz val="10"/>
      <color indexed="46"/>
      <name val="Arial"/>
      <family val="2"/>
    </font>
    <font>
      <b/>
      <sz val="10"/>
      <color indexed="22"/>
      <name val="Arial"/>
      <family val="2"/>
    </font>
    <font>
      <u val="single"/>
      <sz val="10"/>
      <color indexed="12"/>
      <name val="Arial"/>
      <family val="2"/>
    </font>
    <font>
      <sz val="10"/>
      <color indexed="12"/>
      <name val="Book Antiqua"/>
      <family val="1"/>
    </font>
    <font>
      <i/>
      <sz val="16"/>
      <name val="Times New Roman"/>
      <family val="1"/>
    </font>
    <font>
      <sz val="7"/>
      <name val="Small Fonts"/>
      <family val="2"/>
    </font>
    <font>
      <u val="single"/>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val="single"/>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9"/>
      <name val="Helv"/>
      <family val="2"/>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val="single"/>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9"/>
      <name val="Times New Roman"/>
      <family val="1"/>
    </font>
    <font>
      <sz val="12"/>
      <color theme="1" tint="0.3499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val="single"/>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s>
  <fills count="19">
    <fill>
      <patternFill/>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theme="0" tint="-0.04998"/>
        <bgColor indexed="64"/>
      </patternFill>
    </fill>
  </fills>
  <borders count="32">
    <border>
      <left/>
      <right/>
      <top/>
      <bottom/>
      <diagonal/>
    </border>
    <border>
      <left/>
      <right/>
      <top/>
      <bottom style="thin">
        <color auto="1"/>
      </bottom>
    </border>
    <border>
      <left/>
      <right/>
      <top style="double">
        <color auto="1"/>
      </top>
      <bottom/>
    </border>
    <border>
      <left/>
      <right/>
      <top style="thin">
        <color auto="1"/>
      </top>
      <bottom/>
    </border>
    <border>
      <left style="medium">
        <color auto="1"/>
      </left>
      <right style="medium">
        <color auto="1"/>
      </right>
      <top style="medium">
        <color auto="1"/>
      </top>
      <bottom style="medium">
        <color auto="1"/>
      </bottom>
    </border>
    <border>
      <left/>
      <right/>
      <top/>
      <bottom style="hair">
        <color auto="1"/>
      </bottom>
    </border>
    <border>
      <left/>
      <right/>
      <top style="medium">
        <color auto="1"/>
      </top>
      <bottom style="medium">
        <color auto="1"/>
      </bottom>
    </border>
    <border>
      <left/>
      <right/>
      <top style="thin">
        <color auto="1"/>
      </top>
      <bottom style="thin">
        <color auto="1"/>
      </bottom>
    </border>
    <border>
      <left/>
      <right/>
      <top/>
      <bottom style="medium">
        <color auto="1"/>
      </bottom>
    </border>
    <border>
      <left style="thin">
        <color auto="1"/>
      </left>
      <right style="thin">
        <color auto="1"/>
      </right>
      <top style="thin">
        <color auto="1"/>
      </top>
      <bottom style="thin">
        <color auto="1"/>
      </bottom>
    </border>
    <border>
      <left style="thin">
        <color auto="1"/>
      </left>
      <right/>
      <top/>
      <bottom/>
    </border>
    <border>
      <left style="thin">
        <color auto="1"/>
      </left>
      <right style="thin">
        <color auto="1"/>
      </right>
      <top/>
      <bottom/>
    </border>
    <border>
      <left/>
      <right style="thin">
        <color auto="1"/>
      </right>
      <top/>
      <bottom/>
    </border>
    <border>
      <left/>
      <right/>
      <top/>
      <bottom style="hair">
        <color indexed="20"/>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top/>
      <bottom style="thin">
        <color auto="1"/>
      </bottom>
    </border>
    <border>
      <left style="thin">
        <color auto="1"/>
      </left>
      <right style="thin">
        <color auto="1"/>
      </right>
      <top style="thin">
        <color auto="1"/>
      </top>
      <bottom/>
    </border>
    <border>
      <left style="thin">
        <color auto="1"/>
      </left>
      <right/>
      <top style="thin">
        <color auto="1"/>
      </top>
      <bottom/>
    </border>
    <border>
      <left/>
      <right style="thin">
        <color auto="1"/>
      </right>
      <top/>
      <bottom style="thin">
        <color auto="1"/>
      </bottom>
    </border>
    <border>
      <left/>
      <right/>
      <top/>
      <bottom style="double">
        <color auto="1"/>
      </bottom>
    </border>
    <border>
      <left/>
      <right/>
      <top style="thin">
        <color auto="1"/>
      </top>
      <bottom style="double">
        <color auto="1"/>
      </bottom>
    </border>
    <border>
      <left/>
      <right style="thin">
        <color auto="1"/>
      </right>
      <top style="thin">
        <color auto="1"/>
      </top>
      <bottom/>
    </border>
    <border>
      <left/>
      <right style="thin">
        <color auto="1"/>
      </right>
      <top style="thin">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s>
  <cellStyleXfs count="1147">
    <xf numFmtId="172"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lignment/>
      <protection/>
    </xf>
    <xf numFmtId="183" fontId="39" fillId="0" borderId="0" applyFont="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186" fontId="39"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0" fontId="13" fillId="0" borderId="0">
      <alignment/>
      <protection/>
    </xf>
    <xf numFmtId="0" fontId="1" fillId="2" borderId="0" applyNumberFormat="0" applyFill="0" applyBorder="0" applyProtection="0">
      <alignment/>
    </xf>
    <xf numFmtId="0" fontId="34" fillId="0" borderId="0" applyNumberFormat="0" applyFill="0" applyBorder="0" applyAlignment="0" applyProtection="0"/>
    <xf numFmtId="0" fontId="1" fillId="0" borderId="1" applyNumberFormat="0" applyFont="0" applyFill="0" applyAlignment="0" applyProtection="0"/>
    <xf numFmtId="190" fontId="32" fillId="0" borderId="0" applyFont="0" applyFill="0" applyBorder="0" applyAlignment="0" applyProtection="0"/>
    <xf numFmtId="191" fontId="39" fillId="0" borderId="0" applyFont="0" applyFill="0" applyBorder="0" applyProtection="0">
      <alignment horizontal="left"/>
    </xf>
    <xf numFmtId="192" fontId="39" fillId="0" borderId="0" applyFont="0" applyFill="0" applyBorder="0" applyProtection="0">
      <alignment horizontal="left"/>
    </xf>
    <xf numFmtId="193" fontId="39" fillId="0" borderId="0" applyFont="0" applyFill="0" applyBorder="0" applyProtection="0">
      <alignment horizontal="left"/>
    </xf>
    <xf numFmtId="37" fontId="40" fillId="0" borderId="0" applyFont="0" applyFill="0" applyBorder="0">
      <alignment/>
      <protection locked="0"/>
    </xf>
    <xf numFmtId="194" fontId="41" fillId="0" borderId="0" applyFont="0" applyFill="0" applyBorder="0" applyAlignment="0" applyProtection="0"/>
    <xf numFmtId="0" fontId="42" fillId="0" borderId="0">
      <alignment/>
      <protection/>
    </xf>
    <xf numFmtId="0" fontId="42" fillId="0" borderId="0">
      <alignment/>
      <protection/>
    </xf>
    <xf numFmtId="172" fontId="4" fillId="0" borderId="0" applyFill="0">
      <alignment/>
      <protection/>
    </xf>
    <xf numFmtId="172" fontId="4" fillId="0" borderId="0">
      <alignment horizontal="center"/>
      <protection/>
    </xf>
    <xf numFmtId="0" fontId="4" fillId="0" borderId="0" applyFill="0">
      <alignment horizontal="center"/>
      <protection/>
    </xf>
    <xf numFmtId="172" fontId="5" fillId="0" borderId="2" applyFill="0">
      <alignment/>
      <protection/>
    </xf>
    <xf numFmtId="0" fontId="1" fillId="0" borderId="0" applyFont="0" applyAlignment="0">
      <protection/>
    </xf>
    <xf numFmtId="0" fontId="6" fillId="0" borderId="0" applyFill="0">
      <alignment vertical="top"/>
      <protection/>
    </xf>
    <xf numFmtId="0" fontId="5" fillId="0" borderId="0" applyFill="0">
      <alignment horizontal="left" vertical="top"/>
      <protection/>
    </xf>
    <xf numFmtId="172" fontId="7" fillId="0" borderId="3" applyFill="0">
      <alignment/>
      <protection/>
    </xf>
    <xf numFmtId="0" fontId="1" fillId="0" borderId="0" applyNumberFormat="0" applyFont="0" applyAlignment="0">
      <protection/>
    </xf>
    <xf numFmtId="0" fontId="6" fillId="0" borderId="0" applyFill="0">
      <alignment wrapText="1"/>
      <protection/>
    </xf>
    <xf numFmtId="0" fontId="5" fillId="0" borderId="0" applyFill="0">
      <alignment horizontal="left" vertical="top" wrapText="1"/>
      <protection/>
    </xf>
    <xf numFmtId="172"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2" fontId="1"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2"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1" fillId="0" borderId="0" applyFill="0">
      <alignment horizontal="center" vertical="center" wrapText="1"/>
      <protection/>
    </xf>
    <xf numFmtId="0" fontId="1" fillId="0" borderId="0" applyFill="0">
      <alignment horizontal="center" vertical="center" wrapText="1"/>
      <protection/>
    </xf>
    <xf numFmtId="172"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2"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178" fontId="43" fillId="0" borderId="0" applyFont="0" applyFill="0" applyBorder="0" applyAlignment="0">
      <protection locked="0"/>
    </xf>
    <xf numFmtId="195" fontId="43" fillId="0" borderId="0" applyFont="0" applyFill="0" applyBorder="0" applyAlignment="0">
      <protection locked="0"/>
    </xf>
    <xf numFmtId="39" fontId="1" fillId="0" borderId="0" applyFont="0" applyFill="0" applyBorder="0" applyAlignment="0" applyProtection="0"/>
    <xf numFmtId="196" fontId="44" fillId="0" borderId="0" applyFont="0" applyFill="0" applyBorder="0" applyAlignment="0" applyProtection="0"/>
    <xf numFmtId="181" fontId="41" fillId="0" borderId="0" applyFont="0" applyFill="0" applyBorder="0" applyAlignment="0" applyProtection="0"/>
    <xf numFmtId="0" fontId="1" fillId="0" borderId="1" applyNumberFormat="0" applyFont="0" applyFill="0" applyBorder="0" applyProtection="0">
      <alignment horizontal="centerContinuous" vertical="center"/>
    </xf>
    <xf numFmtId="0" fontId="26" fillId="0" borderId="0" applyFill="0" applyBorder="0">
      <alignment horizontal="center"/>
      <protection locked="0"/>
    </xf>
    <xf numFmtId="0" fontId="1"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41" fontId="1"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200" fontId="37" fillId="0" borderId="0" applyFont="0" applyFill="0" applyBorder="0" applyAlignment="0" applyProtection="0"/>
    <xf numFmtId="201" fontId="46" fillId="0" borderId="0" applyFont="0" applyFill="0" applyBorder="0" applyAlignment="0" applyProtection="0"/>
    <xf numFmtId="202" fontId="46" fillId="0" borderId="0" applyFont="0" applyFill="0" applyBorder="0" applyAlignment="0" applyProtection="0"/>
    <xf numFmtId="203" fontId="8" fillId="0" borderId="0" applyFont="0" applyFill="0" applyBorder="0" applyAlignment="0">
      <protection locked="0"/>
    </xf>
    <xf numFmtId="43" fontId="3"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37" fontId="47" fillId="0" borderId="0" applyFill="0" applyBorder="0" applyAlignment="0" applyProtection="0"/>
    <xf numFmtId="3" fontId="1" fillId="0" borderId="0" applyFont="0" applyFill="0" applyBorder="0" applyAlignment="0" applyProtection="0"/>
    <xf numFmtId="0" fontId="5" fillId="0" borderId="0" applyFill="0" applyBorder="0" applyAlignment="0">
      <protection locked="0"/>
    </xf>
    <xf numFmtId="0" fontId="1" fillId="0" borderId="4">
      <alignment/>
      <protection/>
    </xf>
    <xf numFmtId="204"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7" fontId="46" fillId="0" borderId="0" applyFont="0" applyFill="0" applyBorder="0" applyAlignment="0" applyProtection="0"/>
    <xf numFmtId="208" fontId="46" fillId="0" borderId="0" applyFont="0" applyFill="0" applyBorder="0" applyAlignment="0" applyProtection="0"/>
    <xf numFmtId="209" fontId="46" fillId="0" borderId="0" applyFont="0" applyFill="0" applyBorder="0" applyAlignment="0" applyProtection="0"/>
    <xf numFmtId="210" fontId="8" fillId="0" borderId="0" applyFont="0" applyFill="0" applyBorder="0" applyAlignment="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47" fillId="0" borderId="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11" fontId="41" fillId="0" borderId="0" applyFont="0" applyFill="0" applyBorder="0" applyAlignment="0" applyProtection="0"/>
    <xf numFmtId="180" fontId="1" fillId="0" borderId="0" applyFont="0" applyFill="0" applyBorder="0" applyAlignment="0" applyProtection="0"/>
    <xf numFmtId="212" fontId="43" fillId="0" borderId="0" applyFont="0" applyFill="0" applyBorder="0" applyAlignment="0">
      <protection locked="0"/>
    </xf>
    <xf numFmtId="7" fontId="4" fillId="0" borderId="0" applyFont="0" applyFill="0" applyBorder="0" applyAlignment="0" applyProtection="0"/>
    <xf numFmtId="213" fontId="44" fillId="0" borderId="0" applyFont="0" applyFill="0" applyBorder="0" applyAlignment="0" applyProtection="0"/>
    <xf numFmtId="179" fontId="48" fillId="0" borderId="0" applyFont="0" applyFill="0" applyBorder="0" applyAlignment="0" applyProtection="0"/>
    <xf numFmtId="0" fontId="49" fillId="3" borderId="5" applyNumberFormat="0" applyFont="0" applyFill="0" applyProtection="0">
      <alignment/>
    </xf>
    <xf numFmtId="14" fontId="1" fillId="0" borderId="0" applyFont="0" applyFill="0" applyBorder="0" applyAlignment="0" applyProtection="0"/>
    <xf numFmtId="214" fontId="39" fillId="0" borderId="0" applyFont="0" applyFill="0" applyBorder="0" applyProtection="0">
      <alignment/>
    </xf>
    <xf numFmtId="215" fontId="39" fillId="0" borderId="0" applyFont="0" applyFill="0" applyBorder="0" applyProtection="0">
      <alignment/>
    </xf>
    <xf numFmtId="216" fontId="39" fillId="0" borderId="0" applyFon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50" fillId="0" borderId="0" applyFont="0" applyFill="0" applyBorder="0" applyAlignment="0" applyProtection="0"/>
    <xf numFmtId="5" fontId="51" fillId="0" borderId="0" applyBorder="0">
      <alignment/>
      <protection/>
    </xf>
    <xf numFmtId="180" fontId="51" fillId="0" borderId="0" applyBorder="0">
      <alignment/>
      <protection/>
    </xf>
    <xf numFmtId="7" fontId="51" fillId="0" borderId="0" applyBorder="0">
      <alignment/>
      <protection/>
    </xf>
    <xf numFmtId="37" fontId="51" fillId="0" borderId="0" applyBorder="0">
      <alignment/>
      <protection/>
    </xf>
    <xf numFmtId="178" fontId="51" fillId="0" borderId="0" applyBorder="0">
      <alignment/>
      <protection/>
    </xf>
    <xf numFmtId="220" fontId="51" fillId="0" borderId="0" applyBorder="0">
      <alignment/>
      <protection/>
    </xf>
    <xf numFmtId="39" fontId="51" fillId="0" borderId="0" applyBorder="0">
      <alignment/>
      <protection/>
    </xf>
    <xf numFmtId="221" fontId="51" fillId="0" borderId="0" applyBorder="0">
      <alignment/>
      <protection/>
    </xf>
    <xf numFmtId="7" fontId="1" fillId="0" borderId="0" applyFont="0" applyFill="0" applyBorder="0" applyAlignment="0" applyProtection="0"/>
    <xf numFmtId="222" fontId="41" fillId="0" borderId="0" applyFont="0" applyFill="0" applyBorder="0" applyAlignment="0" applyProtection="0"/>
    <xf numFmtId="223" fontId="41" fillId="0" borderId="0" applyFont="0" applyFill="0" applyAlignment="0" applyProtection="0"/>
    <xf numFmtId="222" fontId="41" fillId="0" borderId="0" applyFont="0" applyFill="0" applyBorder="0" applyAlignment="0" applyProtection="0"/>
    <xf numFmtId="224" fontId="4" fillId="0" borderId="0" applyFont="0" applyFill="0" applyBorder="0" applyAlignment="0" applyProtection="0"/>
    <xf numFmtId="2" fontId="1" fillId="0" borderId="0" applyFont="0" applyFill="0" applyBorder="0" applyAlignment="0" applyProtection="0"/>
    <xf numFmtId="0" fontId="52" fillId="0" borderId="0">
      <alignment/>
      <protection/>
    </xf>
    <xf numFmtId="0" fontId="53" fillId="0" borderId="0" applyNumberFormat="0" applyFill="0" applyBorder="0" applyAlignment="0" applyProtection="0"/>
    <xf numFmtId="0" fontId="4" fillId="0" borderId="0" applyFont="0" applyFill="0" applyBorder="0" applyAlignment="0" applyProtection="0"/>
    <xf numFmtId="0" fontId="39" fillId="0" borderId="0" applyFont="0" applyFill="0" applyBorder="0" applyProtection="0">
      <alignment horizontal="center" wrapText="1"/>
    </xf>
    <xf numFmtId="225" fontId="39" fillId="0" borderId="0" applyFont="0" applyFill="0" applyBorder="0" applyProtection="0">
      <alignment horizontal="right"/>
    </xf>
    <xf numFmtId="0" fontId="53" fillId="0" borderId="0" applyNumberFormat="0" applyFill="0" applyBorder="0" applyAlignment="0" applyProtection="0"/>
    <xf numFmtId="0" fontId="54" fillId="4" borderId="0" applyNumberFormat="0" applyFill="0" applyBorder="0" applyAlignment="0" applyProtection="0"/>
    <xf numFmtId="0" fontId="7" fillId="0" borderId="6" applyNumberFormat="0" applyProtection="0">
      <alignment/>
    </xf>
    <xf numFmtId="0" fontId="7" fillId="0" borderId="7">
      <alignment horizontal="left" vertical="center"/>
      <protection/>
    </xf>
    <xf numFmtId="14" fontId="27" fillId="5" borderId="8">
      <alignment horizontal="center" vertical="center" wrapText="1"/>
      <protection/>
    </xf>
    <xf numFmtId="0" fontId="2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6" fillId="0" borderId="0" applyFill="0" applyAlignment="0">
      <protection locked="0"/>
    </xf>
    <xf numFmtId="0" fontId="26" fillId="0" borderId="1" applyFill="0" applyAlignment="0">
      <protection locked="0"/>
    </xf>
    <xf numFmtId="0" fontId="21" fillId="0" borderId="8">
      <alignment/>
      <protection/>
    </xf>
    <xf numFmtId="0" fontId="22" fillId="0" borderId="0">
      <alignment/>
      <protection/>
    </xf>
    <xf numFmtId="0" fontId="55" fillId="0" borderId="1" applyNumberFormat="0" applyFill="0" applyAlignment="0" applyProtection="0"/>
    <xf numFmtId="0" fontId="50" fillId="6" borderId="0" applyNumberFormat="0" applyFont="0" applyBorder="0" applyAlignment="0" applyProtection="0"/>
    <xf numFmtId="0" fontId="56" fillId="0" borderId="0" applyNumberFormat="0" applyFill="0" applyBorder="0">
      <alignment/>
      <protection locked="0"/>
    </xf>
    <xf numFmtId="0" fontId="36" fillId="7" borderId="9" applyNumberFormat="0" applyAlignment="0" applyProtection="0"/>
    <xf numFmtId="226" fontId="39" fillId="0" borderId="0" applyFont="0" applyFill="0" applyBorder="0" applyProtection="0">
      <alignment horizontal="left"/>
    </xf>
    <xf numFmtId="227" fontId="39" fillId="0" borderId="0" applyFont="0" applyFill="0" applyBorder="0" applyProtection="0">
      <alignment horizontal="left"/>
    </xf>
    <xf numFmtId="228" fontId="39" fillId="0" borderId="0" applyFont="0" applyFill="0" applyBorder="0" applyProtection="0">
      <alignment horizontal="left"/>
    </xf>
    <xf numFmtId="229" fontId="39" fillId="0" borderId="0" applyFont="0" applyFill="0" applyBorder="0" applyProtection="0">
      <alignment horizontal="left"/>
    </xf>
    <xf numFmtId="0" fontId="4" fillId="8" borderId="9" applyNumberFormat="0" applyBorder="0" applyAlignment="0" applyProtection="0"/>
    <xf numFmtId="5" fontId="57" fillId="0" borderId="0" applyBorder="0">
      <alignment/>
      <protection/>
    </xf>
    <xf numFmtId="180" fontId="57" fillId="0" borderId="0" applyBorder="0">
      <alignment/>
      <protection/>
    </xf>
    <xf numFmtId="7" fontId="57" fillId="0" borderId="0" applyBorder="0">
      <alignment/>
      <protection/>
    </xf>
    <xf numFmtId="37" fontId="57" fillId="0" borderId="0" applyBorder="0">
      <alignment/>
      <protection/>
    </xf>
    <xf numFmtId="178" fontId="57" fillId="0" borderId="0" applyBorder="0">
      <alignment/>
      <protection/>
    </xf>
    <xf numFmtId="220" fontId="57" fillId="0" borderId="0" applyBorder="0">
      <alignment/>
      <protection/>
    </xf>
    <xf numFmtId="39" fontId="57" fillId="0" borderId="0" applyBorder="0">
      <alignment/>
      <protection/>
    </xf>
    <xf numFmtId="221" fontId="57" fillId="0" borderId="0" applyBorder="0">
      <alignment/>
      <protection/>
    </xf>
    <xf numFmtId="0" fontId="50" fillId="0" borderId="10" applyNumberFormat="0" applyFont="0" applyFill="0" applyAlignment="0" applyProtection="0"/>
    <xf numFmtId="0" fontId="58" fillId="0" borderId="0">
      <alignment/>
      <protection/>
    </xf>
    <xf numFmtId="0" fontId="4" fillId="9" borderId="0">
      <alignment/>
      <protection/>
    </xf>
    <xf numFmtId="230" fontId="1" fillId="0" borderId="0" applyFont="0" applyFill="0" applyBorder="0" applyAlignment="0" applyProtection="0"/>
    <xf numFmtId="231" fontId="1" fillId="0" borderId="0" applyFont="0" applyFill="0" applyBorder="0" applyAlignment="0" applyProtection="0"/>
    <xf numFmtId="232" fontId="1" fillId="0" borderId="0" applyFont="0" applyFill="0" applyBorder="0" applyAlignment="0" applyProtection="0"/>
    <xf numFmtId="233" fontId="1" fillId="0" borderId="0" applyFont="0" applyFill="0" applyBorder="0" applyAlignment="0" applyProtection="0"/>
    <xf numFmtId="0" fontId="1" fillId="0" borderId="0" applyFont="0" applyFill="0" applyBorder="0" applyProtection="0">
      <alignment/>
    </xf>
    <xf numFmtId="234" fontId="1" fillId="0" borderId="0" applyFont="0" applyFill="0" applyBorder="0" applyAlignment="0" applyProtection="0"/>
    <xf numFmtId="37" fontId="59" fillId="0" borderId="0">
      <alignment/>
      <protection/>
    </xf>
    <xf numFmtId="0" fontId="41" fillId="0" borderId="0">
      <alignment/>
      <protection/>
    </xf>
    <xf numFmtId="0" fontId="2" fillId="0" borderId="0">
      <alignment/>
      <protection/>
    </xf>
    <xf numFmtId="7" fontId="78" fillId="0" borderId="0">
      <alignment/>
      <protection/>
    </xf>
    <xf numFmtId="0" fontId="1" fillId="0" borderId="0">
      <alignment/>
      <protection/>
    </xf>
    <xf numFmtId="0" fontId="3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2" fontId="0" fillId="0" borderId="0" applyProtection="0">
      <alignment/>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pplyProtection="0">
      <alignment/>
    </xf>
    <xf numFmtId="172" fontId="0" fillId="0" borderId="0" applyProtection="0">
      <alignment/>
    </xf>
    <xf numFmtId="172" fontId="0" fillId="0" borderId="0" applyProtection="0">
      <alignment/>
    </xf>
    <xf numFmtId="172" fontId="0" fillId="0" borderId="0" applyProtection="0">
      <alignment/>
    </xf>
    <xf numFmtId="0" fontId="1" fillId="0" borderId="0">
      <alignment/>
      <protection/>
    </xf>
    <xf numFmtId="172" fontId="0" fillId="0" borderId="0" applyProtection="0">
      <alignment/>
    </xf>
    <xf numFmtId="0" fontId="1" fillId="0" borderId="0">
      <alignment/>
      <protection/>
    </xf>
    <xf numFmtId="0" fontId="32" fillId="10" borderId="0" applyNumberFormat="0" applyFont="0" applyBorder="0" applyAlignment="0">
      <protection/>
    </xf>
    <xf numFmtId="235" fontId="1" fillId="0" borderId="0" applyFont="0" applyFill="0" applyBorder="0" applyAlignment="0" applyProtection="0"/>
    <xf numFmtId="236" fontId="60" fillId="0" borderId="0">
      <alignment/>
      <protection/>
    </xf>
    <xf numFmtId="235" fontId="1"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237" fontId="1" fillId="0" borderId="0">
      <alignment/>
      <protection/>
    </xf>
    <xf numFmtId="238" fontId="41" fillId="0" borderId="0">
      <alignment/>
      <protection/>
    </xf>
    <xf numFmtId="238" fontId="41" fillId="0" borderId="0">
      <alignment/>
      <protection/>
    </xf>
    <xf numFmtId="236" fontId="60" fillId="0" borderId="0">
      <alignment/>
      <protection/>
    </xf>
    <xf numFmtId="0" fontId="41" fillId="0" borderId="0">
      <alignment/>
      <protection/>
    </xf>
    <xf numFmtId="236" fontId="47" fillId="0" borderId="0">
      <alignment/>
      <protection/>
    </xf>
    <xf numFmtId="237" fontId="1" fillId="0" borderId="0">
      <alignment/>
      <protection/>
    </xf>
    <xf numFmtId="238" fontId="41" fillId="0" borderId="0">
      <alignment/>
      <protection/>
    </xf>
    <xf numFmtId="238" fontId="41" fillId="0" borderId="0">
      <alignment/>
      <protection/>
    </xf>
    <xf numFmtId="0" fontId="41" fillId="0" borderId="0">
      <alignment/>
      <protection/>
    </xf>
    <xf numFmtId="0" fontId="41" fillId="0" borderId="0">
      <alignment/>
      <protection/>
    </xf>
    <xf numFmtId="239" fontId="41" fillId="0" borderId="0">
      <alignment/>
      <protection/>
    </xf>
    <xf numFmtId="169" fontId="41" fillId="0" borderId="0">
      <alignment/>
      <protection/>
    </xf>
    <xf numFmtId="240" fontId="41" fillId="0" borderId="0">
      <alignment/>
      <protection/>
    </xf>
    <xf numFmtId="239" fontId="41" fillId="0" borderId="0">
      <alignment/>
      <protection/>
    </xf>
    <xf numFmtId="169" fontId="41" fillId="0" borderId="0">
      <alignment/>
      <protection/>
    </xf>
    <xf numFmtId="241" fontId="41" fillId="0" borderId="0">
      <alignment/>
      <protection/>
    </xf>
    <xf numFmtId="241" fontId="41" fillId="0" borderId="0">
      <alignment/>
      <protection/>
    </xf>
    <xf numFmtId="176" fontId="41" fillId="0" borderId="0">
      <alignment/>
      <protection/>
    </xf>
    <xf numFmtId="240" fontId="41" fillId="0" borderId="0">
      <alignment/>
      <protection/>
    </xf>
    <xf numFmtId="168" fontId="41" fillId="0" borderId="0">
      <alignment/>
      <protection/>
    </xf>
    <xf numFmtId="176" fontId="41" fillId="0" borderId="0">
      <alignment/>
      <protection/>
    </xf>
    <xf numFmtId="176" fontId="41" fillId="0" borderId="0">
      <alignment/>
      <protection/>
    </xf>
    <xf numFmtId="0" fontId="41" fillId="0" borderId="0">
      <alignment/>
      <protection/>
    </xf>
    <xf numFmtId="235" fontId="1"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236" fontId="60" fillId="0" borderId="0">
      <alignment/>
      <protection/>
    </xf>
    <xf numFmtId="236" fontId="60" fillId="0" borderId="0">
      <alignment/>
      <protection/>
    </xf>
    <xf numFmtId="235" fontId="1" fillId="0" borderId="0" applyFont="0" applyFill="0" applyBorder="0" applyAlignment="0" applyProtection="0"/>
    <xf numFmtId="236" fontId="60" fillId="0" borderId="0">
      <alignment/>
      <protection/>
    </xf>
    <xf numFmtId="236" fontId="60" fillId="0" borderId="0">
      <alignment/>
      <protection/>
    </xf>
    <xf numFmtId="239" fontId="41" fillId="0" borderId="0">
      <alignment/>
      <protection/>
    </xf>
    <xf numFmtId="169" fontId="41" fillId="0" borderId="0">
      <alignment/>
      <protection/>
    </xf>
    <xf numFmtId="240" fontId="41" fillId="0" borderId="0">
      <alignment/>
      <protection/>
    </xf>
    <xf numFmtId="239" fontId="41" fillId="0" borderId="0">
      <alignment/>
      <protection/>
    </xf>
    <xf numFmtId="169" fontId="41" fillId="0" borderId="0">
      <alignment/>
      <protection/>
    </xf>
    <xf numFmtId="241" fontId="41" fillId="0" borderId="0">
      <alignment/>
      <protection/>
    </xf>
    <xf numFmtId="241" fontId="41" fillId="0" borderId="0">
      <alignment/>
      <protection/>
    </xf>
    <xf numFmtId="176" fontId="41" fillId="0" borderId="0">
      <alignment/>
      <protection/>
    </xf>
    <xf numFmtId="240" fontId="41" fillId="0" borderId="0">
      <alignment/>
      <protection/>
    </xf>
    <xf numFmtId="168" fontId="41" fillId="0" borderId="0">
      <alignment/>
      <protection/>
    </xf>
    <xf numFmtId="176" fontId="41" fillId="0" borderId="0">
      <alignment/>
      <protection/>
    </xf>
    <xf numFmtId="176" fontId="41" fillId="0" borderId="0">
      <alignment/>
      <protection/>
    </xf>
    <xf numFmtId="242" fontId="13" fillId="11" borderId="0" applyFont="0" applyFill="0" applyBorder="0" applyAlignment="0" applyProtection="0"/>
    <xf numFmtId="243" fontId="13" fillId="11" borderId="0" applyFont="0" applyFill="0" applyBorder="0" applyAlignment="0" applyProtection="0"/>
    <xf numFmtId="244" fontId="1" fillId="0" borderId="0" applyFont="0" applyFill="0" applyBorder="0" applyAlignment="0" applyProtection="0"/>
    <xf numFmtId="245" fontId="46" fillId="0" borderId="0" applyFont="0" applyFill="0" applyBorder="0" applyAlignment="0" applyProtection="0"/>
    <xf numFmtId="246" fontId="37" fillId="0" borderId="0" applyFont="0" applyFill="0" applyBorder="0" applyAlignment="0" applyProtection="0"/>
    <xf numFmtId="247" fontId="1" fillId="0" borderId="0" applyFont="0" applyFill="0" applyBorder="0" applyAlignment="0" applyProtection="0"/>
    <xf numFmtId="248" fontId="39" fillId="0" borderId="0" applyFont="0" applyFill="0" applyBorder="0" applyAlignment="0" applyProtection="0"/>
    <xf numFmtId="249" fontId="39" fillId="0" borderId="0" applyFont="0" applyFill="0" applyBorder="0" applyAlignment="0" applyProtection="0"/>
    <xf numFmtId="250" fontId="39" fillId="0" borderId="0" applyFont="0" applyFill="0" applyBorder="0" applyAlignment="0" applyProtection="0"/>
    <xf numFmtId="251" fontId="39" fillId="0" borderId="0" applyFont="0" applyFill="0" applyBorder="0" applyAlignment="0" applyProtection="0"/>
    <xf numFmtId="252" fontId="46" fillId="0" borderId="0" applyFont="0" applyFill="0" applyBorder="0" applyAlignment="0" applyProtection="0"/>
    <xf numFmtId="253" fontId="37" fillId="0" borderId="0" applyFont="0" applyFill="0" applyBorder="0" applyAlignment="0" applyProtection="0"/>
    <xf numFmtId="254" fontId="46" fillId="0" borderId="0" applyFont="0" applyFill="0" applyBorder="0" applyAlignment="0" applyProtection="0"/>
    <xf numFmtId="255" fontId="37" fillId="0" borderId="0" applyFont="0" applyFill="0" applyBorder="0" applyAlignment="0" applyProtection="0"/>
    <xf numFmtId="256" fontId="46" fillId="0" borderId="0" applyFont="0" applyFill="0" applyBorder="0" applyAlignment="0" applyProtection="0"/>
    <xf numFmtId="257" fontId="37" fillId="0" borderId="0" applyFont="0" applyFill="0" applyBorder="0" applyAlignment="0" applyProtection="0"/>
    <xf numFmtId="258" fontId="8" fillId="0" borderId="0" applyFont="0" applyFill="0" applyBorder="0" applyAlignment="0">
      <protection locked="0"/>
    </xf>
    <xf numFmtId="25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89" fontId="47" fillId="0" borderId="0" applyFill="0" applyBorder="0" applyAlignment="0" applyProtection="0"/>
    <xf numFmtId="9" fontId="51" fillId="0" borderId="0" applyBorder="0">
      <alignment/>
      <protection/>
    </xf>
    <xf numFmtId="170" fontId="51" fillId="0" borderId="0" applyBorder="0">
      <alignment/>
      <protection/>
    </xf>
    <xf numFmtId="10" fontId="51" fillId="0" borderId="0" applyBorder="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1" fillId="0" borderId="0">
      <alignment horizontal="left" vertical="top"/>
      <protection/>
    </xf>
    <xf numFmtId="0" fontId="24" fillId="0" borderId="8">
      <alignment horizontal="center"/>
      <protection/>
    </xf>
    <xf numFmtId="3" fontId="23" fillId="0" borderId="0" applyFont="0" applyFill="0" applyBorder="0" applyAlignment="0" applyProtection="0"/>
    <xf numFmtId="0" fontId="23" fillId="12" borderId="0" applyNumberFormat="0" applyFont="0" applyBorder="0" applyAlignment="0" applyProtection="0"/>
    <xf numFmtId="3" fontId="1" fillId="0" borderId="0">
      <alignment horizontal="right" vertical="top"/>
      <protection/>
    </xf>
    <xf numFmtId="41" fontId="12" fillId="9" borderId="11" applyFill="0">
      <alignment/>
      <protection/>
    </xf>
    <xf numFmtId="0" fontId="25" fillId="0" borderId="0">
      <alignment horizontal="left" indent="7"/>
      <protection/>
    </xf>
    <xf numFmtId="41" fontId="12" fillId="0" borderId="11" applyFill="0">
      <alignment horizontal="left" indent="2"/>
      <protection/>
    </xf>
    <xf numFmtId="172" fontId="26" fillId="0" borderId="1" applyFill="0">
      <alignment horizontal="right"/>
      <protection/>
    </xf>
    <xf numFmtId="0" fontId="27" fillId="0" borderId="9" applyNumberFormat="0" applyFont="0" applyBorder="0">
      <alignment horizontal="right"/>
      <protection/>
    </xf>
    <xf numFmtId="0" fontId="28" fillId="0" borderId="0" applyFill="0">
      <alignment/>
      <protection/>
    </xf>
    <xf numFmtId="0" fontId="7" fillId="0" borderId="0" applyFill="0">
      <alignment/>
      <protection/>
    </xf>
    <xf numFmtId="4" fontId="26" fillId="0" borderId="1" applyFill="0">
      <alignment/>
      <protection/>
    </xf>
    <xf numFmtId="0" fontId="1"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1"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1"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1" fillId="0" borderId="0" applyNumberFormat="0" applyFont="0" applyBorder="0" applyAlignment="0">
      <protection/>
    </xf>
    <xf numFmtId="0" fontId="14" fillId="0" borderId="0">
      <alignment horizontal="left" indent="4"/>
      <protection/>
    </xf>
    <xf numFmtId="0" fontId="1" fillId="0" borderId="0" applyFill="0">
      <alignment horizontal="left" indent="4"/>
      <protection/>
    </xf>
    <xf numFmtId="0" fontId="1" fillId="0" borderId="0" applyFill="0">
      <alignment horizontal="left" indent="4"/>
      <protection/>
    </xf>
    <xf numFmtId="4" fontId="15" fillId="0" borderId="0" applyFill="0">
      <alignment/>
      <protection/>
    </xf>
    <xf numFmtId="0" fontId="1"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1"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50" fillId="0" borderId="12" applyNumberFormat="0" applyFont="0" applyFill="0" applyAlignment="0" applyProtection="0"/>
    <xf numFmtId="0" fontId="61" fillId="0" borderId="0" applyNumberFormat="0" applyFill="0" applyBorder="0" applyAlignment="0" applyProtection="0"/>
    <xf numFmtId="0" fontId="62" fillId="0" borderId="0">
      <alignment/>
      <protection/>
    </xf>
    <xf numFmtId="0" fontId="62" fillId="0" borderId="0">
      <alignment/>
      <protection/>
    </xf>
    <xf numFmtId="0" fontId="38" fillId="0" borderId="8">
      <alignment horizontal="right"/>
      <protection/>
    </xf>
    <xf numFmtId="0" fontId="5" fillId="13" borderId="0">
      <alignment/>
      <protection/>
    </xf>
    <xf numFmtId="260" fontId="48" fillId="0" borderId="0">
      <alignment horizontal="center"/>
      <protection/>
    </xf>
    <xf numFmtId="261" fontId="63" fillId="0" borderId="0">
      <alignment horizontal="center"/>
      <protection/>
    </xf>
    <xf numFmtId="0" fontId="64" fillId="0" borderId="0" applyNumberFormat="0" applyFill="0" applyBorder="0" applyAlignment="0" applyProtection="0"/>
    <xf numFmtId="0" fontId="65" fillId="0" borderId="0" applyNumberFormat="0" applyBorder="0" applyAlignment="0">
      <protection/>
    </xf>
    <xf numFmtId="0" fontId="35" fillId="0" borderId="0" applyNumberFormat="0" applyBorder="0" applyAlignment="0">
      <protection/>
    </xf>
    <xf numFmtId="0" fontId="1" fillId="9" borderId="4" applyNumberFormat="0" applyFont="0" applyAlignment="0">
      <protection/>
    </xf>
    <xf numFmtId="0" fontId="50" fillId="3" borderId="0" applyNumberFormat="0" applyFont="0" applyBorder="0" applyAlignment="0" applyProtection="0"/>
    <xf numFmtId="0" fontId="66" fillId="0" borderId="7" applyNumberFormat="0" applyFont="0" applyFill="0" applyAlignment="0" applyProtection="0"/>
    <xf numFmtId="0" fontId="33" fillId="0" borderId="0" applyFill="0" applyBorder="0" applyProtection="0">
      <alignment horizontal="left" vertical="top"/>
    </xf>
    <xf numFmtId="0" fontId="67" fillId="0" borderId="0">
      <alignment/>
      <protection/>
    </xf>
    <xf numFmtId="0" fontId="1" fillId="0" borderId="3" applyNumberFormat="0" applyFont="0" applyFill="0" applyAlignment="0" applyProtection="0"/>
    <xf numFmtId="0" fontId="1" fillId="0" borderId="0" applyFont="0" applyFill="0" applyBorder="0" applyAlignment="0" applyProtection="0"/>
    <xf numFmtId="0" fontId="68" fillId="0" borderId="0" applyNumberFormat="0" applyFill="0" applyBorder="0" applyAlignment="0" applyProtection="0"/>
    <xf numFmtId="262" fontId="37" fillId="0" borderId="0" applyFont="0" applyFill="0" applyBorder="0" applyAlignment="0" applyProtection="0"/>
    <xf numFmtId="263" fontId="37" fillId="0" borderId="0" applyFont="0" applyFill="0" applyBorder="0" applyAlignment="0" applyProtection="0"/>
    <xf numFmtId="264" fontId="37" fillId="0" borderId="0" applyFont="0" applyFill="0" applyBorder="0" applyAlignment="0" applyProtection="0"/>
    <xf numFmtId="265" fontId="37" fillId="0" borderId="0" applyFont="0" applyFill="0" applyBorder="0" applyAlignment="0" applyProtection="0"/>
    <xf numFmtId="266" fontId="37" fillId="0" borderId="0" applyFont="0" applyFill="0" applyBorder="0" applyAlignment="0" applyProtection="0"/>
    <xf numFmtId="267" fontId="37" fillId="0" borderId="0" applyFont="0" applyFill="0" applyBorder="0" applyAlignment="0" applyProtection="0"/>
    <xf numFmtId="268" fontId="37" fillId="0" borderId="0" applyFont="0" applyFill="0" applyBorder="0" applyAlignment="0" applyProtection="0"/>
    <xf numFmtId="269" fontId="37" fillId="0" borderId="0" applyFont="0" applyFill="0" applyBorder="0" applyAlignment="0" applyProtection="0"/>
    <xf numFmtId="270" fontId="69" fillId="3" borderId="13" applyFont="0" applyFill="0" applyBorder="0" applyAlignment="0" applyProtection="0"/>
    <xf numFmtId="270" fontId="41" fillId="0" borderId="0" applyFont="0" applyFill="0" applyBorder="0" applyAlignment="0" applyProtection="0"/>
    <xf numFmtId="271" fontId="44" fillId="0" borderId="0" applyFont="0" applyFill="0" applyBorder="0" applyAlignment="0" applyProtection="0"/>
    <xf numFmtId="272" fontId="48" fillId="0" borderId="7" applyFont="0" applyFill="0" applyBorder="0">
      <alignment/>
      <protection locked="0"/>
    </xf>
    <xf numFmtId="43" fontId="3" fillId="0" borderId="0" applyFont="0" applyFill="0" applyBorder="0" applyAlignment="0" applyProtection="0"/>
    <xf numFmtId="43" fontId="65"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81" fillId="0" borderId="0">
      <alignment/>
      <protection/>
    </xf>
    <xf numFmtId="0" fontId="2" fillId="0" borderId="0">
      <alignment/>
      <protection/>
    </xf>
    <xf numFmtId="43" fontId="2" fillId="0" borderId="0" applyFont="0" applyFill="0" applyBorder="0" applyAlignment="0" applyProtection="0"/>
    <xf numFmtId="0" fontId="1" fillId="0" borderId="0">
      <alignment/>
      <protection/>
    </xf>
    <xf numFmtId="172" fontId="0" fillId="0" borderId="0" applyProtection="0">
      <alignment/>
    </xf>
    <xf numFmtId="0" fontId="2" fillId="0" borderId="0">
      <alignment/>
      <protection/>
    </xf>
    <xf numFmtId="0" fontId="2" fillId="0" borderId="0">
      <alignment/>
      <protection/>
    </xf>
    <xf numFmtId="172" fontId="0" fillId="0" borderId="0" applyProtection="0">
      <alignment/>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43" fontId="1" fillId="0" borderId="0" applyFont="0" applyFill="0" applyBorder="0" applyAlignment="0" applyProtection="0"/>
    <xf numFmtId="0" fontId="1" fillId="0" borderId="0">
      <alignment/>
      <protection/>
    </xf>
    <xf numFmtId="0" fontId="82" fillId="0" borderId="0">
      <alignment/>
      <protection/>
    </xf>
    <xf numFmtId="0" fontId="2" fillId="0" borderId="0">
      <alignment/>
      <protection/>
    </xf>
    <xf numFmtId="0" fontId="2" fillId="0" borderId="0">
      <alignment/>
      <protection/>
    </xf>
    <xf numFmtId="9" fontId="3" fillId="0" borderId="0" applyFont="0" applyFill="0" applyBorder="0" applyAlignment="0" applyProtection="0"/>
    <xf numFmtId="43" fontId="3" fillId="0" borderId="0" applyFont="0" applyFill="0" applyBorder="0" applyAlignment="0" applyProtection="0"/>
    <xf numFmtId="0" fontId="2" fillId="0" borderId="0">
      <alignment/>
      <protection/>
    </xf>
    <xf numFmtId="43" fontId="3"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1" fillId="0" borderId="0" applyFont="0" applyFill="0" applyBorder="0" applyAlignment="0" applyProtection="0"/>
    <xf numFmtId="0" fontId="2" fillId="0" borderId="0">
      <alignment/>
      <protection/>
    </xf>
    <xf numFmtId="9" fontId="2" fillId="0" borderId="0" applyFont="0" applyFill="0" applyBorder="0" applyAlignment="0" applyProtection="0"/>
    <xf numFmtId="172" fontId="0" fillId="0" borderId="0" applyProtection="0">
      <alignment/>
    </xf>
    <xf numFmtId="43" fontId="1" fillId="0" borderId="0" applyFont="0" applyFill="0" applyBorder="0" applyAlignment="0" applyProtection="0"/>
    <xf numFmtId="44" fontId="1"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2" fontId="0" fillId="0" borderId="0" applyProtection="0">
      <alignment/>
    </xf>
    <xf numFmtId="9" fontId="1" fillId="0" borderId="0" applyFont="0" applyFill="0" applyBorder="0" applyAlignment="0" applyProtection="0"/>
    <xf numFmtId="0" fontId="1" fillId="0" borderId="0" applyFont="0" applyFill="0" applyBorder="0" applyAlignment="0" applyProtection="0"/>
    <xf numFmtId="9"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0" fillId="0" borderId="0" applyProtection="0">
      <alignment/>
    </xf>
    <xf numFmtId="9" fontId="1" fillId="0" borderId="0" applyFont="0" applyFill="0" applyBorder="0" applyAlignment="0" applyProtection="0"/>
    <xf numFmtId="172" fontId="0" fillId="0" borderId="0" applyProtection="0">
      <alignment/>
    </xf>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0" fillId="0" borderId="0" applyProtection="0">
      <alignment/>
    </xf>
    <xf numFmtId="44" fontId="1" fillId="0" borderId="0" applyFont="0" applyFill="0" applyBorder="0" applyAlignment="0" applyProtection="0"/>
    <xf numFmtId="44" fontId="1" fillId="0" borderId="0" applyFont="0" applyFill="0" applyBorder="0" applyAlignment="0" applyProtection="0"/>
    <xf numFmtId="172" fontId="0" fillId="0" borderId="0" applyProtection="0">
      <alignment/>
    </xf>
    <xf numFmtId="172" fontId="0" fillId="0" borderId="0" applyProtection="0">
      <alignment/>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72" fontId="0" fillId="0" borderId="0" applyProtection="0">
      <alignment/>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0" fillId="0" borderId="0" applyProtection="0">
      <alignment/>
    </xf>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2" fontId="0" fillId="0" borderId="0" applyProtection="0">
      <alignment/>
    </xf>
    <xf numFmtId="172" fontId="0" fillId="0" borderId="0" applyProtection="0">
      <alignment/>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23" fillId="0" borderId="0" applyNumberFormat="0" applyFont="0" applyFill="0" applyBorder="0" applyProtection="0">
      <alignment/>
    </xf>
    <xf numFmtId="43" fontId="3"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cellStyleXfs>
  <cellXfs count="1106">
    <xf numFmtId="172" fontId="0" fillId="0" borderId="0" xfId="0" applyAlignment="1">
      <alignment/>
    </xf>
    <xf numFmtId="0" fontId="48" fillId="0" borderId="0" xfId="223" applyFont="1" applyFill="1" applyBorder="1" applyAlignment="1">
      <alignment horizontal="center" wrapText="1"/>
    </xf>
    <xf numFmtId="0" fontId="41" fillId="0" borderId="0" xfId="218" applyNumberFormat="1" applyFont="1" applyFill="1" applyBorder="1" applyAlignment="1" applyProtection="1">
      <alignment/>
      <protection locked="0"/>
    </xf>
    <xf numFmtId="3" fontId="41" fillId="0" borderId="0" xfId="218" applyNumberFormat="1" applyFont="1" applyFill="1" applyBorder="1" applyAlignment="1">
      <alignment/>
    </xf>
    <xf numFmtId="3" fontId="41" fillId="0" borderId="0" xfId="218" applyNumberFormat="1" applyFont="1" applyFill="1" applyBorder="1" applyAlignment="1">
      <alignment horizontal="center"/>
    </xf>
    <xf numFmtId="0" fontId="41" fillId="0" borderId="0" xfId="218" applyNumberFormat="1" applyFont="1" applyFill="1" applyBorder="1" applyProtection="1">
      <alignment/>
      <protection locked="0"/>
    </xf>
    <xf numFmtId="0" fontId="41" fillId="0" borderId="0" xfId="218" applyNumberFormat="1" applyFont="1" applyFill="1" applyBorder="1">
      <alignment/>
    </xf>
    <xf numFmtId="172" fontId="41" fillId="0" borderId="0" xfId="228" applyFont="1" applyFill="1" applyAlignment="1">
      <alignment/>
    </xf>
    <xf numFmtId="3" fontId="41" fillId="0" borderId="0" xfId="228" applyNumberFormat="1" applyFont="1" applyFill="1" applyAlignment="1">
      <alignment/>
    </xf>
    <xf numFmtId="0" fontId="41" fillId="0" borderId="0" xfId="228" applyNumberFormat="1" applyFont="1" applyFill="1" applyAlignment="1">
      <alignment/>
    </xf>
    <xf numFmtId="164" fontId="41" fillId="0" borderId="0" xfId="228" applyNumberFormat="1" applyFont="1" applyFill="1" applyAlignment="1">
      <alignment horizontal="left"/>
    </xf>
    <xf numFmtId="10" fontId="41" fillId="0" borderId="0" xfId="228" applyNumberFormat="1" applyFont="1" applyFill="1" applyAlignment="1">
      <alignment horizontal="left"/>
    </xf>
    <xf numFmtId="164" fontId="41" fillId="0" borderId="0" xfId="228" applyNumberFormat="1" applyFont="1" applyFill="1" applyAlignment="1" applyProtection="1">
      <alignment horizontal="left"/>
      <protection locked="0"/>
    </xf>
    <xf numFmtId="172" fontId="41" fillId="0" borderId="1" xfId="218" applyFont="1" applyFill="1" applyBorder="1" applyAlignment="1">
      <alignment/>
    </xf>
    <xf numFmtId="172" fontId="41" fillId="0" borderId="14" xfId="218" applyFont="1" applyFill="1" applyBorder="1" applyAlignment="1">
      <alignment/>
    </xf>
    <xf numFmtId="43" fontId="41" fillId="0" borderId="0" xfId="18" applyFont="1" applyFill="1" applyBorder="1" applyAlignment="1">
      <alignment/>
    </xf>
    <xf numFmtId="172" fontId="72" fillId="0" borderId="0" xfId="218" applyFont="1" applyFill="1" applyBorder="1" applyAlignment="1">
      <alignment/>
    </xf>
    <xf numFmtId="172" fontId="41" fillId="0" borderId="0" xfId="218" applyFont="1" applyFill="1" applyBorder="1" applyAlignment="1">
      <alignment horizontal="right"/>
    </xf>
    <xf numFmtId="0" fontId="41" fillId="0" borderId="0" xfId="205" applyFont="1" applyFill="1">
      <alignment/>
      <protection/>
    </xf>
    <xf numFmtId="0" fontId="41" fillId="0" borderId="0" xfId="218" applyNumberFormat="1" applyFont="1" applyFill="1" applyAlignment="1">
      <alignment horizontal="right"/>
    </xf>
    <xf numFmtId="0" fontId="73" fillId="0" borderId="0" xfId="218" applyNumberFormat="1" applyFont="1" applyFill="1" applyBorder="1">
      <alignment/>
    </xf>
    <xf numFmtId="0" fontId="73" fillId="0" borderId="0" xfId="218" applyNumberFormat="1" applyFont="1" applyFill="1" applyBorder="1" applyAlignment="1">
      <alignment horizontal="center"/>
    </xf>
    <xf numFmtId="49" fontId="41" fillId="0" borderId="0" xfId="218" applyNumberFormat="1" applyFont="1" applyFill="1" applyBorder="1">
      <alignment/>
    </xf>
    <xf numFmtId="3" fontId="41" fillId="0" borderId="0" xfId="218" applyNumberFormat="1" applyFont="1" applyFill="1" applyBorder="1">
      <alignment/>
    </xf>
    <xf numFmtId="0" fontId="41" fillId="0" borderId="0" xfId="218" applyNumberFormat="1" applyFont="1" applyFill="1" applyBorder="1" applyAlignment="1">
      <alignment horizontal="center"/>
    </xf>
    <xf numFmtId="49" fontId="41" fillId="0" borderId="0" xfId="218" applyNumberFormat="1" applyFont="1" applyFill="1" applyBorder="1" applyAlignment="1">
      <alignment horizontal="center"/>
    </xf>
    <xf numFmtId="0" fontId="41" fillId="0" borderId="0" xfId="218" applyNumberFormat="1" applyFont="1" applyFill="1" applyBorder="1" applyAlignment="1">
      <alignment/>
    </xf>
    <xf numFmtId="3" fontId="48" fillId="0" borderId="0" xfId="218" applyNumberFormat="1" applyFont="1" applyFill="1" applyBorder="1" applyAlignment="1">
      <alignment horizontal="center"/>
    </xf>
    <xf numFmtId="172" fontId="48" fillId="0" borderId="0" xfId="218" applyFont="1" applyFill="1" applyBorder="1" applyAlignment="1">
      <alignment horizontal="center"/>
    </xf>
    <xf numFmtId="0" fontId="48" fillId="0" borderId="0" xfId="218" applyNumberFormat="1" applyFont="1" applyFill="1" applyBorder="1" applyAlignment="1" applyProtection="1">
      <alignment horizontal="center"/>
      <protection locked="0"/>
    </xf>
    <xf numFmtId="0" fontId="48" fillId="0" borderId="0" xfId="218" applyNumberFormat="1" applyFont="1" applyFill="1" applyBorder="1" applyAlignment="1">
      <alignment horizontal="center"/>
    </xf>
    <xf numFmtId="0" fontId="48" fillId="0" borderId="0" xfId="218" applyNumberFormat="1" applyFont="1" applyFill="1" applyBorder="1" applyAlignment="1">
      <alignment/>
    </xf>
    <xf numFmtId="0" fontId="74" fillId="0" borderId="0" xfId="218" applyNumberFormat="1" applyFont="1" applyFill="1" applyBorder="1" applyAlignment="1" applyProtection="1">
      <alignment horizontal="center"/>
      <protection locked="0"/>
    </xf>
    <xf numFmtId="3" fontId="41" fillId="0" borderId="0" xfId="218" applyNumberFormat="1" applyFont="1" applyFill="1" applyBorder="1" applyAlignment="1">
      <alignment horizontal="left"/>
    </xf>
    <xf numFmtId="10" fontId="48" fillId="0" borderId="0" xfId="218" applyNumberFormat="1" applyFont="1" applyFill="1" applyBorder="1" applyAlignment="1">
      <alignment/>
    </xf>
    <xf numFmtId="3" fontId="48" fillId="0" borderId="0" xfId="218" applyNumberFormat="1" applyFont="1" applyFill="1" applyBorder="1" applyAlignment="1">
      <alignment/>
    </xf>
    <xf numFmtId="165" fontId="48" fillId="0" borderId="0" xfId="218" applyNumberFormat="1" applyFont="1" applyFill="1" applyBorder="1" applyAlignment="1">
      <alignment/>
    </xf>
    <xf numFmtId="10" fontId="41" fillId="0" borderId="0" xfId="218" applyNumberFormat="1" applyFont="1" applyFill="1" applyBorder="1" applyAlignment="1">
      <alignment/>
    </xf>
    <xf numFmtId="43" fontId="41" fillId="0" borderId="0" xfId="18" applyFont="1" applyFill="1" applyBorder="1" applyAlignment="1">
      <alignment horizontal="center"/>
    </xf>
    <xf numFmtId="49" fontId="48" fillId="0" borderId="0" xfId="218" applyNumberFormat="1" applyFont="1" applyFill="1" applyBorder="1" applyAlignment="1">
      <alignment horizontal="center"/>
    </xf>
    <xf numFmtId="172" fontId="48" fillId="0" borderId="0" xfId="218" applyFont="1" applyFill="1" applyBorder="1" applyAlignment="1">
      <alignment/>
    </xf>
    <xf numFmtId="3" fontId="48" fillId="0" borderId="0" xfId="218" applyNumberFormat="1" applyFont="1" applyFill="1" applyBorder="1" applyAlignment="1">
      <alignment horizontal="left"/>
    </xf>
    <xf numFmtId="10" fontId="48" fillId="0" borderId="0" xfId="15" applyNumberFormat="1" applyFont="1" applyFill="1" applyBorder="1" applyAlignment="1">
      <alignment/>
    </xf>
    <xf numFmtId="0" fontId="41" fillId="0" borderId="0" xfId="218" applyNumberFormat="1" applyFont="1" applyFill="1" applyBorder="1" applyAlignment="1">
      <alignment horizontal="fill"/>
    </xf>
    <xf numFmtId="164" fontId="41" fillId="0" borderId="0" xfId="218" applyNumberFormat="1" applyFont="1" applyFill="1" applyBorder="1" applyAlignment="1">
      <alignment horizontal="left"/>
    </xf>
    <xf numFmtId="164" fontId="41" fillId="0" borderId="0" xfId="218" applyNumberFormat="1" applyFont="1" applyFill="1" applyBorder="1" applyAlignment="1">
      <alignment horizontal="center"/>
    </xf>
    <xf numFmtId="169" fontId="41" fillId="0" borderId="0" xfId="218" applyNumberFormat="1" applyFont="1" applyFill="1" applyBorder="1" applyAlignment="1">
      <alignment/>
    </xf>
    <xf numFmtId="49" fontId="41" fillId="0" borderId="0" xfId="218" applyNumberFormat="1" applyFont="1" applyFill="1" applyBorder="1" applyAlignment="1">
      <alignment horizontal="left"/>
    </xf>
    <xf numFmtId="0" fontId="41" fillId="0" borderId="0" xfId="218" applyNumberFormat="1" applyFont="1" applyFill="1" applyBorder="1" applyAlignment="1">
      <alignment horizontal="right"/>
    </xf>
    <xf numFmtId="175" fontId="48" fillId="0" borderId="0" xfId="218" applyNumberFormat="1" applyFont="1" applyFill="1" applyBorder="1" applyAlignment="1">
      <alignment horizontal="center"/>
    </xf>
    <xf numFmtId="172" fontId="48" fillId="0" borderId="15" xfId="218" applyFont="1" applyFill="1" applyBorder="1" applyAlignment="1">
      <alignment horizontal="center" wrapText="1"/>
    </xf>
    <xf numFmtId="172" fontId="48" fillId="0" borderId="7" xfId="218" applyFont="1" applyFill="1" applyBorder="1" applyAlignment="1">
      <alignment/>
    </xf>
    <xf numFmtId="172" fontId="48" fillId="0" borderId="7" xfId="218" applyFont="1" applyFill="1" applyBorder="1" applyAlignment="1">
      <alignment horizontal="center" wrapText="1"/>
    </xf>
    <xf numFmtId="0" fontId="48" fillId="0" borderId="7" xfId="218" applyNumberFormat="1" applyFont="1" applyFill="1" applyBorder="1" applyAlignment="1">
      <alignment horizontal="center" wrapText="1"/>
    </xf>
    <xf numFmtId="172" fontId="48" fillId="0" borderId="9" xfId="218" applyFont="1" applyFill="1" applyBorder="1" applyAlignment="1">
      <alignment horizontal="center" wrapText="1"/>
    </xf>
    <xf numFmtId="3" fontId="48" fillId="0" borderId="9" xfId="218" applyNumberFormat="1" applyFont="1" applyFill="1" applyBorder="1" applyAlignment="1">
      <alignment horizontal="center" wrapText="1"/>
    </xf>
    <xf numFmtId="0" fontId="41" fillId="0" borderId="15" xfId="218" applyNumberFormat="1" applyFont="1" applyFill="1" applyBorder="1">
      <alignment/>
    </xf>
    <xf numFmtId="0" fontId="41" fillId="0" borderId="7" xfId="218" applyNumberFormat="1" applyFont="1" applyFill="1" applyBorder="1">
      <alignment/>
    </xf>
    <xf numFmtId="0" fontId="41" fillId="0" borderId="7" xfId="218" applyNumberFormat="1" applyFont="1" applyFill="1" applyBorder="1" applyAlignment="1">
      <alignment horizontal="center"/>
    </xf>
    <xf numFmtId="0" fontId="41" fillId="0" borderId="9" xfId="218" applyNumberFormat="1" applyFont="1" applyFill="1" applyBorder="1" applyAlignment="1">
      <alignment horizontal="center"/>
    </xf>
    <xf numFmtId="3" fontId="41" fillId="0" borderId="9" xfId="218" applyNumberFormat="1" applyFont="1" applyFill="1" applyBorder="1" applyAlignment="1">
      <alignment horizontal="center" wrapText="1"/>
    </xf>
    <xf numFmtId="0" fontId="41" fillId="0" borderId="10" xfId="218" applyNumberFormat="1" applyFont="1" applyFill="1" applyBorder="1">
      <alignment/>
    </xf>
    <xf numFmtId="0" fontId="41" fillId="0" borderId="11" xfId="218" applyNumberFormat="1" applyFont="1" applyFill="1" applyBorder="1">
      <alignment/>
    </xf>
    <xf numFmtId="3" fontId="41" fillId="0" borderId="11" xfId="218" applyNumberFormat="1" applyFont="1" applyFill="1" applyBorder="1" applyAlignment="1">
      <alignment/>
    </xf>
    <xf numFmtId="172" fontId="41" fillId="0" borderId="10" xfId="226" applyFont="1" applyFill="1" applyBorder="1" applyAlignment="1">
      <alignment/>
    </xf>
    <xf numFmtId="172" fontId="41" fillId="0" borderId="0" xfId="226" applyFont="1" applyFill="1" applyBorder="1" applyAlignment="1">
      <alignment/>
    </xf>
    <xf numFmtId="43" fontId="41" fillId="0" borderId="11" xfId="18" applyFont="1" applyFill="1" applyBorder="1" applyAlignment="1">
      <alignment/>
    </xf>
    <xf numFmtId="172" fontId="41" fillId="0" borderId="10" xfId="218" applyFont="1" applyFill="1" applyBorder="1" applyAlignment="1">
      <alignment/>
    </xf>
    <xf numFmtId="172" fontId="41" fillId="0" borderId="16" xfId="218" applyFont="1" applyFill="1" applyBorder="1" applyAlignment="1">
      <alignment/>
    </xf>
    <xf numFmtId="173" fontId="41" fillId="0" borderId="0" xfId="18" applyNumberFormat="1" applyFont="1" applyFill="1" applyBorder="1" applyAlignment="1">
      <alignment horizontal="center"/>
    </xf>
    <xf numFmtId="1" fontId="41" fillId="0" borderId="0" xfId="18" applyNumberFormat="1" applyFont="1" applyFill="1" applyBorder="1" applyAlignment="1">
      <alignment horizontal="center"/>
    </xf>
    <xf numFmtId="172" fontId="41" fillId="0" borderId="8" xfId="218" applyFont="1" applyFill="1" applyBorder="1" applyAlignment="1">
      <alignment/>
    </xf>
    <xf numFmtId="172" fontId="41" fillId="0" borderId="0" xfId="218" applyFont="1" applyFill="1" applyBorder="1" applyAlignment="1">
      <alignment horizontal="center" vertical="top"/>
    </xf>
    <xf numFmtId="0" fontId="41" fillId="0" borderId="0" xfId="209" applyFont="1" applyFill="1" applyAlignment="1">
      <alignment horizontal="center"/>
      <protection/>
    </xf>
    <xf numFmtId="43" fontId="41" fillId="0" borderId="0" xfId="18" applyFont="1" applyFill="1"/>
    <xf numFmtId="0" fontId="41" fillId="0" borderId="0" xfId="209" applyFont="1" applyFill="1" applyAlignment="1">
      <alignment horizontal="center" vertical="center" wrapText="1"/>
      <protection/>
    </xf>
    <xf numFmtId="0" fontId="41" fillId="0" borderId="0" xfId="228" applyNumberFormat="1" applyFont="1" applyFill="1" applyAlignment="1" applyProtection="1">
      <alignment/>
      <protection locked="0"/>
    </xf>
    <xf numFmtId="0" fontId="41" fillId="0" borderId="0" xfId="228" applyNumberFormat="1" applyFont="1" applyFill="1">
      <alignment/>
    </xf>
    <xf numFmtId="43" fontId="41" fillId="0" borderId="0" xfId="18" applyFont="1" applyFill="1" applyAlignment="1">
      <alignment/>
    </xf>
    <xf numFmtId="3" fontId="41" fillId="0" borderId="0" xfId="228" applyNumberFormat="1" applyFont="1" applyFill="1" applyBorder="1">
      <alignment/>
    </xf>
    <xf numFmtId="0" fontId="41" fillId="0" borderId="0" xfId="228" applyNumberFormat="1" applyFont="1" applyFill="1" applyBorder="1">
      <alignment/>
    </xf>
    <xf numFmtId="0" fontId="41" fillId="0" borderId="0" xfId="228" applyNumberFormat="1" applyFont="1" applyFill="1" applyBorder="1" applyAlignment="1" applyProtection="1">
      <alignment horizontal="center"/>
      <protection locked="0"/>
    </xf>
    <xf numFmtId="172" fontId="41" fillId="0" borderId="0" xfId="228" applyFont="1" applyFill="1" applyBorder="1" applyAlignment="1">
      <alignment/>
    </xf>
    <xf numFmtId="0" fontId="41" fillId="0" borderId="0" xfId="228" applyNumberFormat="1" applyFont="1" applyFill="1" applyBorder="1" applyProtection="1">
      <alignment/>
      <protection locked="0"/>
    </xf>
    <xf numFmtId="0" fontId="41" fillId="0" borderId="0" xfId="228" applyNumberFormat="1" applyFont="1" applyFill="1" applyBorder="1" applyAlignment="1">
      <alignment/>
    </xf>
    <xf numFmtId="171" fontId="41" fillId="0" borderId="0" xfId="228" applyNumberFormat="1" applyFont="1" applyFill="1" applyBorder="1" applyProtection="1">
      <alignment/>
      <protection locked="0"/>
    </xf>
    <xf numFmtId="171" fontId="41" fillId="0" borderId="0" xfId="228" applyNumberFormat="1" applyFont="1" applyFill="1" applyProtection="1">
      <alignment/>
      <protection locked="0"/>
    </xf>
    <xf numFmtId="3" fontId="41" fillId="0" borderId="0" xfId="223" applyNumberFormat="1" applyFont="1" applyFill="1" applyBorder="1" applyAlignment="1">
      <alignment/>
    </xf>
    <xf numFmtId="0" fontId="41" fillId="0" borderId="0" xfId="223" applyFont="1" applyFill="1" applyBorder="1" applyAlignment="1">
      <alignment/>
    </xf>
    <xf numFmtId="3" fontId="41" fillId="0" borderId="0" xfId="223" applyNumberFormat="1" applyFont="1" applyFill="1" applyAlignment="1">
      <alignment/>
    </xf>
    <xf numFmtId="173" fontId="41" fillId="0" borderId="0" xfId="18" applyNumberFormat="1" applyFont="1" applyFill="1" applyAlignment="1">
      <alignment/>
    </xf>
    <xf numFmtId="3" fontId="41" fillId="0" borderId="0" xfId="205" applyNumberFormat="1" applyFont="1" applyFill="1" applyAlignment="1">
      <alignment/>
      <protection/>
    </xf>
    <xf numFmtId="0" fontId="41" fillId="0" borderId="0" xfId="223" applyNumberFormat="1" applyFont="1" applyFill="1" applyAlignment="1">
      <alignment/>
    </xf>
    <xf numFmtId="173" fontId="41" fillId="0" borderId="8" xfId="18" applyNumberFormat="1" applyFont="1" applyFill="1" applyBorder="1" applyAlignment="1">
      <alignment/>
    </xf>
    <xf numFmtId="173" fontId="41" fillId="0" borderId="0" xfId="18" applyNumberFormat="1" applyFont="1" applyFill="1" applyAlignment="1">
      <alignment horizontal="right"/>
    </xf>
    <xf numFmtId="3" fontId="41" fillId="0" borderId="0" xfId="205" applyNumberFormat="1" applyFont="1" applyFill="1" applyBorder="1" applyAlignment="1">
      <alignment/>
      <protection/>
    </xf>
    <xf numFmtId="0" fontId="41" fillId="0" borderId="8" xfId="228" applyNumberFormat="1" applyFont="1" applyFill="1" applyBorder="1" applyProtection="1">
      <alignment/>
      <protection locked="0"/>
    </xf>
    <xf numFmtId="0" fontId="41" fillId="0" borderId="8" xfId="228" applyNumberFormat="1" applyFont="1" applyFill="1" applyBorder="1">
      <alignment/>
    </xf>
    <xf numFmtId="3" fontId="41" fillId="0" borderId="0" xfId="228" applyNumberFormat="1" applyFont="1" applyFill="1" applyAlignment="1">
      <alignment horizontal="center"/>
    </xf>
    <xf numFmtId="49" fontId="41" fillId="0" borderId="0" xfId="228" applyNumberFormat="1" applyFont="1" applyFill="1">
      <alignment/>
    </xf>
    <xf numFmtId="49" fontId="41" fillId="0" borderId="0" xfId="228" applyNumberFormat="1" applyFont="1" applyFill="1" applyAlignment="1">
      <alignment/>
    </xf>
    <xf numFmtId="49" fontId="41" fillId="0" borderId="0" xfId="228" applyNumberFormat="1" applyFont="1" applyFill="1" applyAlignment="1">
      <alignment horizontal="center"/>
    </xf>
    <xf numFmtId="182" fontId="41" fillId="0" borderId="0" xfId="18" applyNumberFormat="1" applyFont="1" applyFill="1" applyAlignment="1">
      <alignment horizontal="right"/>
    </xf>
    <xf numFmtId="173" fontId="41" fillId="0" borderId="0" xfId="18" applyNumberFormat="1" applyFont="1" applyFill="1" applyAlignment="1">
      <alignment horizontal="center"/>
    </xf>
    <xf numFmtId="172" fontId="41" fillId="0" borderId="0" xfId="228" applyFont="1" applyFill="1" applyAlignment="1" applyProtection="1">
      <alignment/>
      <protection/>
    </xf>
    <xf numFmtId="3" fontId="41" fillId="0" borderId="0" xfId="228" applyNumberFormat="1" applyFont="1" applyFill="1" applyAlignment="1" applyProtection="1">
      <alignment/>
      <protection/>
    </xf>
    <xf numFmtId="169" fontId="41" fillId="0" borderId="0" xfId="228" applyNumberFormat="1" applyFont="1" applyFill="1" applyBorder="1" applyAlignment="1" applyProtection="1">
      <alignment/>
      <protection/>
    </xf>
    <xf numFmtId="175" fontId="48" fillId="0" borderId="0" xfId="218" applyNumberFormat="1" applyFont="1" applyFill="1" applyBorder="1" applyAlignment="1" quotePrefix="1">
      <alignment horizontal="center"/>
    </xf>
    <xf numFmtId="0" fontId="41" fillId="0" borderId="0" xfId="204" applyFont="1" applyFill="1" applyBorder="1" applyAlignment="1">
      <alignment horizontal="center"/>
      <protection/>
    </xf>
    <xf numFmtId="172" fontId="41" fillId="0" borderId="0" xfId="0" applyFont="1" applyFill="1" applyAlignment="1">
      <alignment/>
    </xf>
    <xf numFmtId="172" fontId="41" fillId="0" borderId="0" xfId="0" applyFont="1" applyFill="1"/>
    <xf numFmtId="172" fontId="41" fillId="0" borderId="0" xfId="0" applyFont="1" applyFill="1" applyBorder="1"/>
    <xf numFmtId="174" fontId="41" fillId="0" borderId="0" xfId="16" applyNumberFormat="1" applyFont="1" applyFill="1" applyBorder="1"/>
    <xf numFmtId="172" fontId="41" fillId="0" borderId="1" xfId="0" applyFont="1" applyFill="1" applyBorder="1"/>
    <xf numFmtId="0" fontId="41" fillId="0" borderId="0" xfId="229" applyFont="1" applyFill="1">
      <alignment/>
      <protection/>
    </xf>
    <xf numFmtId="0" fontId="41" fillId="0" borderId="17" xfId="218" applyNumberFormat="1" applyFont="1" applyFill="1" applyBorder="1">
      <alignment/>
    </xf>
    <xf numFmtId="0" fontId="41" fillId="0" borderId="7" xfId="218" applyNumberFormat="1" applyFont="1" applyFill="1" applyBorder="1" applyAlignment="1">
      <alignment horizontal="center" wrapText="1"/>
    </xf>
    <xf numFmtId="172" fontId="32" fillId="0" borderId="0" xfId="0" applyFont="1" applyAlignment="1">
      <alignment/>
    </xf>
    <xf numFmtId="43" fontId="32" fillId="0" borderId="0" xfId="18" applyFont="1" applyAlignment="1">
      <alignment/>
    </xf>
    <xf numFmtId="173" fontId="32" fillId="0" borderId="0" xfId="18" applyNumberFormat="1" applyFont="1" applyAlignment="1" applyProtection="1">
      <alignment horizontal="center"/>
      <protection locked="0"/>
    </xf>
    <xf numFmtId="0" fontId="32" fillId="0" borderId="0" xfId="228" applyNumberFormat="1" applyFont="1" applyAlignment="1" applyProtection="1">
      <alignment/>
      <protection locked="0"/>
    </xf>
    <xf numFmtId="3" fontId="32" fillId="0" borderId="0" xfId="228" applyNumberFormat="1" applyFont="1" applyAlignment="1">
      <alignment/>
    </xf>
    <xf numFmtId="3" fontId="32" fillId="0" borderId="8" xfId="228" applyNumberFormat="1" applyFont="1" applyBorder="1" applyAlignment="1">
      <alignment horizontal="center"/>
    </xf>
    <xf numFmtId="169" fontId="32" fillId="0" borderId="0" xfId="0" applyNumberFormat="1" applyFont="1" applyAlignment="1">
      <alignment/>
    </xf>
    <xf numFmtId="0" fontId="32" fillId="0" borderId="0" xfId="228" applyNumberFormat="1" applyFont="1" applyAlignment="1">
      <alignment/>
    </xf>
    <xf numFmtId="3" fontId="32" fillId="0" borderId="0" xfId="228" applyNumberFormat="1" applyFont="1" applyAlignment="1">
      <alignment horizontal="center"/>
    </xf>
    <xf numFmtId="0" fontId="32" fillId="0" borderId="8" xfId="228" applyNumberFormat="1" applyFont="1" applyBorder="1" applyAlignment="1" applyProtection="1">
      <alignment horizontal="center"/>
      <protection locked="0"/>
    </xf>
    <xf numFmtId="172" fontId="32" fillId="0" borderId="0" xfId="228" applyFont="1" applyFill="1" applyAlignment="1">
      <alignment/>
    </xf>
    <xf numFmtId="172" fontId="32" fillId="0" borderId="0" xfId="228" applyFont="1" applyAlignment="1">
      <alignment/>
    </xf>
    <xf numFmtId="43" fontId="32" fillId="0" borderId="0" xfId="18" applyFont="1" applyFill="1" applyAlignment="1">
      <alignment horizontal="center"/>
    </xf>
    <xf numFmtId="3" fontId="32" fillId="0" borderId="0" xfId="228" applyNumberFormat="1" applyFont="1" applyFill="1" applyAlignment="1">
      <alignment/>
    </xf>
    <xf numFmtId="166" fontId="32" fillId="0" borderId="0" xfId="228" applyNumberFormat="1" applyFont="1" applyAlignment="1">
      <alignment horizontal="center"/>
    </xf>
    <xf numFmtId="164" fontId="32" fillId="0" borderId="0" xfId="228" applyNumberFormat="1" applyFont="1" applyAlignment="1">
      <alignment horizontal="left"/>
    </xf>
    <xf numFmtId="0" fontId="32" fillId="0" borderId="0" xfId="228" applyNumberFormat="1" applyFont="1" applyFill="1" applyAlignment="1">
      <alignment/>
    </xf>
    <xf numFmtId="164" fontId="32" fillId="0" borderId="0" xfId="228" applyNumberFormat="1" applyFont="1" applyFill="1" applyAlignment="1">
      <alignment horizontal="left"/>
    </xf>
    <xf numFmtId="173" fontId="32" fillId="0" borderId="0" xfId="18" applyNumberFormat="1" applyFont="1" applyBorder="1" applyAlignment="1">
      <alignment/>
    </xf>
    <xf numFmtId="10" fontId="32" fillId="0" borderId="0" xfId="228" applyNumberFormat="1" applyFont="1" applyFill="1" applyAlignment="1">
      <alignment horizontal="left"/>
    </xf>
    <xf numFmtId="3" fontId="32" fillId="0" borderId="0" xfId="205" applyNumberFormat="1" applyFont="1" applyAlignment="1">
      <alignment/>
      <protection/>
    </xf>
    <xf numFmtId="166" fontId="32" fillId="0" borderId="0" xfId="205" applyNumberFormat="1" applyFont="1" applyAlignment="1">
      <alignment/>
      <protection/>
    </xf>
    <xf numFmtId="0" fontId="32" fillId="0" borderId="0" xfId="205" applyFont="1" applyAlignment="1">
      <alignment/>
      <protection/>
    </xf>
    <xf numFmtId="164" fontId="32" fillId="0" borderId="0" xfId="228" applyNumberFormat="1" applyFont="1" applyFill="1" applyAlignment="1" applyProtection="1">
      <alignment horizontal="left"/>
      <protection locked="0"/>
    </xf>
    <xf numFmtId="0" fontId="41" fillId="0" borderId="0" xfId="223" applyFont="1" applyFill="1" applyBorder="1" applyAlignment="1">
      <alignment horizontal="center" wrapText="1"/>
    </xf>
    <xf numFmtId="0" fontId="41" fillId="0" borderId="0" xfId="209" applyFont="1" applyFill="1" applyAlignment="1">
      <alignment horizontal="center" wrapText="1"/>
      <protection/>
    </xf>
    <xf numFmtId="0" fontId="41" fillId="0" borderId="0" xfId="228" applyNumberFormat="1" applyFont="1" applyFill="1" applyAlignment="1" applyProtection="1">
      <alignment vertical="top"/>
      <protection locked="0"/>
    </xf>
    <xf numFmtId="169" fontId="41" fillId="0" borderId="0" xfId="228" applyNumberFormat="1" applyFont="1" applyFill="1" applyBorder="1" applyAlignment="1" applyProtection="1">
      <alignment vertical="top"/>
      <protection/>
    </xf>
    <xf numFmtId="3" fontId="41" fillId="0" borderId="0" xfId="228" applyNumberFormat="1" applyFont="1" applyFill="1" applyAlignment="1" applyProtection="1">
      <alignment vertical="top"/>
      <protection/>
    </xf>
    <xf numFmtId="1" fontId="41" fillId="0" borderId="0" xfId="0" applyNumberFormat="1" applyFont="1" applyFill="1" applyAlignment="1">
      <alignment horizontal="center"/>
    </xf>
    <xf numFmtId="49" fontId="41" fillId="0" borderId="0" xfId="0" applyNumberFormat="1" applyFont="1" applyFill="1" applyAlignment="1">
      <alignment horizontal="center"/>
    </xf>
    <xf numFmtId="173" fontId="32" fillId="0" borderId="0" xfId="18" applyNumberFormat="1" applyFont="1" applyAlignment="1">
      <alignment/>
    </xf>
    <xf numFmtId="172" fontId="41" fillId="0" borderId="0" xfId="0" applyFont="1" applyFill="1" applyAlignment="1">
      <alignment horizontal="center"/>
    </xf>
    <xf numFmtId="173" fontId="41" fillId="0" borderId="11" xfId="18" applyNumberFormat="1" applyFont="1" applyFill="1" applyBorder="1" applyAlignment="1">
      <alignment/>
    </xf>
    <xf numFmtId="173" fontId="41" fillId="0" borderId="14" xfId="18" applyNumberFormat="1" applyFont="1" applyFill="1" applyBorder="1" applyAlignment="1">
      <alignment/>
    </xf>
    <xf numFmtId="0" fontId="41" fillId="0" borderId="0" xfId="205" applyNumberFormat="1" applyFont="1" applyFill="1" applyAlignment="1">
      <alignment vertical="top"/>
      <protection/>
    </xf>
    <xf numFmtId="172" fontId="32" fillId="0" borderId="0" xfId="228" applyFont="1" applyFill="1" applyAlignment="1">
      <alignment wrapText="1"/>
    </xf>
    <xf numFmtId="173" fontId="32" fillId="0" borderId="0" xfId="18" applyNumberFormat="1" applyFont="1" applyAlignment="1">
      <alignment horizontal="left" indent="2"/>
    </xf>
    <xf numFmtId="182" fontId="32" fillId="0" borderId="0" xfId="18" applyNumberFormat="1" applyFont="1" applyAlignment="1">
      <alignment/>
    </xf>
    <xf numFmtId="0" fontId="32" fillId="0" borderId="0" xfId="218" applyNumberFormat="1" applyFont="1" applyFill="1" applyAlignment="1">
      <alignment horizontal="right"/>
    </xf>
    <xf numFmtId="0" fontId="70" fillId="0" borderId="0" xfId="209" applyFont="1" applyFill="1" applyBorder="1" applyAlignment="1">
      <alignment horizontal="center" vertical="center" wrapText="1"/>
      <protection/>
    </xf>
    <xf numFmtId="0" fontId="70" fillId="0" borderId="0" xfId="209" applyFont="1" applyFill="1" applyBorder="1" applyAlignment="1">
      <alignment horizontal="center"/>
      <protection/>
    </xf>
    <xf numFmtId="172" fontId="71" fillId="0" borderId="0" xfId="0" applyFont="1" applyFill="1" applyBorder="1" applyAlignment="1">
      <alignment horizontal="center"/>
    </xf>
    <xf numFmtId="174" fontId="70" fillId="0" borderId="0" xfId="16" applyNumberFormat="1" applyFont="1" applyFill="1" applyBorder="1"/>
    <xf numFmtId="0" fontId="70" fillId="0" borderId="0" xfId="209" applyFont="1" applyFill="1" applyBorder="1">
      <alignment/>
      <protection/>
    </xf>
    <xf numFmtId="172" fontId="41" fillId="0" borderId="0" xfId="0" applyFont="1" applyFill="1" applyBorder="1" applyAlignment="1">
      <alignment/>
    </xf>
    <xf numFmtId="0" fontId="41" fillId="0" borderId="0" xfId="225" applyNumberFormat="1" applyFont="1" applyFill="1" applyBorder="1" applyAlignment="1" applyProtection="1">
      <alignment horizontal="center"/>
      <protection locked="0"/>
    </xf>
    <xf numFmtId="173" fontId="41" fillId="0" borderId="8" xfId="18" applyNumberFormat="1" applyFont="1" applyFill="1" applyBorder="1" applyAlignment="1">
      <alignment horizontal="center"/>
    </xf>
    <xf numFmtId="0" fontId="41" fillId="0" borderId="18" xfId="218" applyNumberFormat="1" applyFont="1" applyFill="1" applyBorder="1">
      <alignment/>
    </xf>
    <xf numFmtId="0" fontId="41" fillId="0" borderId="9" xfId="218" applyNumberFormat="1" applyFont="1" applyFill="1" applyBorder="1" applyAlignment="1">
      <alignment horizontal="center" wrapText="1"/>
    </xf>
    <xf numFmtId="44" fontId="41" fillId="0" borderId="0" xfId="0" applyNumberFormat="1" applyFont="1" applyFill="1" applyBorder="1" applyAlignment="1">
      <alignment/>
    </xf>
    <xf numFmtId="0" fontId="41" fillId="0" borderId="0" xfId="204" applyFont="1" applyFill="1" applyBorder="1" applyAlignment="1">
      <alignment/>
      <protection/>
    </xf>
    <xf numFmtId="3" fontId="41" fillId="0" borderId="0" xfId="204" applyNumberFormat="1" applyFont="1" applyFill="1" applyBorder="1" applyAlignment="1">
      <alignment horizontal="center" wrapText="1"/>
      <protection/>
    </xf>
    <xf numFmtId="0" fontId="41" fillId="0" borderId="0" xfId="204" applyFont="1" applyFill="1" applyBorder="1" applyAlignment="1">
      <alignment horizontal="center" wrapText="1"/>
      <protection/>
    </xf>
    <xf numFmtId="173" fontId="41" fillId="0" borderId="0" xfId="18" applyNumberFormat="1" applyFont="1" applyFill="1" applyBorder="1" applyAlignment="1">
      <alignment horizontal="center" wrapText="1"/>
    </xf>
    <xf numFmtId="173" fontId="41" fillId="0" borderId="1" xfId="18" applyNumberFormat="1" applyFont="1" applyFill="1" applyBorder="1" applyAlignment="1">
      <alignment horizontal="center" wrapText="1"/>
    </xf>
    <xf numFmtId="173" fontId="41" fillId="0" borderId="0" xfId="18" applyNumberFormat="1" applyFont="1" applyFill="1" applyBorder="1"/>
    <xf numFmtId="0" fontId="41" fillId="0" borderId="0" xfId="0" applyNumberFormat="1" applyFont="1" applyFill="1" applyAlignment="1">
      <alignment horizontal="center"/>
    </xf>
    <xf numFmtId="0" fontId="48" fillId="0" borderId="0" xfId="229" applyFont="1" applyFill="1" applyAlignment="1">
      <alignment horizontal="center" wrapText="1"/>
      <protection/>
    </xf>
    <xf numFmtId="0" fontId="41" fillId="0" borderId="0" xfId="228" applyNumberFormat="1" applyFont="1" applyFill="1" applyAlignment="1" applyProtection="1">
      <alignment horizontal="center"/>
      <protection locked="0"/>
    </xf>
    <xf numFmtId="164" fontId="41" fillId="0" borderId="0" xfId="228" applyNumberFormat="1" applyFont="1" applyFill="1" applyAlignment="1">
      <alignment horizontal="center"/>
    </xf>
    <xf numFmtId="172" fontId="41" fillId="0" borderId="0" xfId="0" applyNumberFormat="1" applyFont="1" applyFill="1" applyBorder="1" applyAlignment="1" applyProtection="1">
      <alignment/>
      <protection/>
    </xf>
    <xf numFmtId="172" fontId="41" fillId="0" borderId="1" xfId="218" applyFont="1" applyFill="1" applyBorder="1" applyAlignment="1">
      <alignment horizontal="center"/>
    </xf>
    <xf numFmtId="172" fontId="41" fillId="0" borderId="18" xfId="218" applyFont="1" applyFill="1" applyBorder="1" applyAlignment="1">
      <alignment horizontal="center"/>
    </xf>
    <xf numFmtId="172" fontId="41" fillId="0" borderId="17" xfId="218" applyFont="1" applyFill="1" applyBorder="1" applyAlignment="1">
      <alignment horizontal="center"/>
    </xf>
    <xf numFmtId="172" fontId="41" fillId="0" borderId="16" xfId="218" applyFont="1" applyFill="1" applyBorder="1" applyAlignment="1">
      <alignment horizontal="center"/>
    </xf>
    <xf numFmtId="0" fontId="41" fillId="0" borderId="0" xfId="0" applyNumberFormat="1" applyFont="1" applyFill="1" applyAlignment="1">
      <alignment horizontal="center" vertical="top"/>
    </xf>
    <xf numFmtId="0" fontId="41" fillId="0" borderId="0" xfId="209" applyFont="1" applyFill="1" applyAlignment="1">
      <alignment horizontal="left" wrapText="1"/>
      <protection/>
    </xf>
    <xf numFmtId="0" fontId="41" fillId="0" borderId="0" xfId="223" applyNumberFormat="1" applyFont="1" applyFill="1" applyAlignment="1">
      <alignment horizontal="center" wrapText="1"/>
    </xf>
    <xf numFmtId="0" fontId="41" fillId="0" borderId="0" xfId="18" applyNumberFormat="1" applyFont="1" applyFill="1" applyBorder="1" applyAlignment="1">
      <alignment horizontal="center"/>
    </xf>
    <xf numFmtId="0" fontId="41" fillId="0" borderId="0" xfId="18" applyNumberFormat="1" applyFont="1" applyFill="1" applyBorder="1" applyAlignment="1" applyProtection="1">
      <alignment horizontal="center"/>
      <protection locked="0"/>
    </xf>
    <xf numFmtId="174" fontId="41" fillId="0" borderId="16" xfId="16" applyNumberFormat="1" applyFont="1" applyFill="1" applyBorder="1"/>
    <xf numFmtId="0" fontId="48" fillId="0" borderId="0" xfId="18" applyNumberFormat="1" applyFont="1" applyFill="1" applyBorder="1" applyAlignment="1">
      <alignment horizontal="left"/>
    </xf>
    <xf numFmtId="0" fontId="41" fillId="0" borderId="0" xfId="18" applyNumberFormat="1" applyFont="1" applyFill="1" applyAlignment="1">
      <alignment horizontal="center"/>
    </xf>
    <xf numFmtId="172" fontId="41" fillId="0" borderId="0" xfId="0" applyFont="1" applyFill="1" applyAlignment="1">
      <alignment vertical="center" wrapText="1"/>
    </xf>
    <xf numFmtId="172" fontId="41" fillId="0" borderId="0" xfId="0" applyFont="1" applyFill="1" applyAlignment="1">
      <alignment horizontal="left" vertical="center"/>
    </xf>
    <xf numFmtId="0" fontId="41" fillId="0" borderId="0" xfId="0" applyNumberFormat="1" applyFont="1" applyFill="1" applyBorder="1" applyAlignment="1">
      <alignment vertical="top"/>
    </xf>
    <xf numFmtId="173" fontId="73" fillId="0" borderId="0" xfId="18" applyNumberFormat="1" applyFont="1" applyFill="1" applyBorder="1"/>
    <xf numFmtId="43" fontId="41" fillId="0" borderId="0" xfId="18" applyNumberFormat="1" applyFont="1" applyFill="1" applyBorder="1" applyAlignment="1">
      <alignment/>
    </xf>
    <xf numFmtId="172" fontId="41" fillId="0" borderId="0" xfId="218" applyFont="1" applyFill="1" applyBorder="1" applyAlignment="1">
      <alignment/>
    </xf>
    <xf numFmtId="173" fontId="41" fillId="0" borderId="0" xfId="18" applyNumberFormat="1" applyFont="1" applyFill="1" applyBorder="1" applyAlignment="1">
      <alignment/>
    </xf>
    <xf numFmtId="172" fontId="41" fillId="0" borderId="0" xfId="218" applyFont="1" applyFill="1" applyBorder="1" applyAlignment="1">
      <alignment horizontal="center"/>
    </xf>
    <xf numFmtId="0" fontId="41" fillId="0" borderId="0" xfId="228" applyNumberFormat="1" applyFont="1" applyFill="1" applyProtection="1">
      <alignment/>
      <protection locked="0"/>
    </xf>
    <xf numFmtId="43" fontId="41" fillId="0" borderId="0" xfId="18" applyFont="1" applyFill="1" applyBorder="1"/>
    <xf numFmtId="43" fontId="41" fillId="0" borderId="0" xfId="18" applyFont="1" applyFill="1" applyAlignment="1" applyProtection="1">
      <alignment vertical="top"/>
      <protection locked="0"/>
    </xf>
    <xf numFmtId="0" fontId="41" fillId="0" borderId="0" xfId="228" applyNumberFormat="1" applyFont="1" applyFill="1" applyAlignment="1">
      <alignment horizontal="center"/>
    </xf>
    <xf numFmtId="168" fontId="41" fillId="0" borderId="0" xfId="228" applyNumberFormat="1" applyFont="1" applyFill="1" applyAlignment="1">
      <alignment/>
    </xf>
    <xf numFmtId="173" fontId="70" fillId="0" borderId="14" xfId="18" applyNumberFormat="1" applyFont="1" applyFill="1" applyBorder="1" applyAlignment="1">
      <alignment/>
    </xf>
    <xf numFmtId="10" fontId="41" fillId="0" borderId="0" xfId="15" applyNumberFormat="1" applyFont="1" applyFill="1" applyAlignment="1">
      <alignment horizontal="right"/>
    </xf>
    <xf numFmtId="0" fontId="41" fillId="0" borderId="0" xfId="223" applyNumberFormat="1" applyFont="1" applyFill="1" applyBorder="1" applyAlignment="1">
      <alignment horizontal="left"/>
    </xf>
    <xf numFmtId="0" fontId="32" fillId="0" borderId="0" xfId="406" applyNumberFormat="1" applyFont="1" applyFill="1" applyAlignment="1" applyProtection="1">
      <alignment horizontal="right"/>
      <protection locked="0"/>
    </xf>
    <xf numFmtId="49" fontId="32" fillId="0" borderId="0" xfId="406" applyNumberFormat="1" applyFont="1" applyFill="1" applyAlignment="1">
      <alignment/>
    </xf>
    <xf numFmtId="49" fontId="80" fillId="0" borderId="0" xfId="406" applyNumberFormat="1" applyFont="1" applyFill="1" applyAlignment="1">
      <alignment horizontal="center"/>
    </xf>
    <xf numFmtId="3" fontId="41" fillId="0" borderId="0" xfId="205" applyNumberFormat="1" applyFont="1" applyFill="1" applyAlignment="1">
      <alignment wrapText="1"/>
      <protection/>
    </xf>
    <xf numFmtId="172" fontId="41" fillId="0" borderId="12" xfId="0" applyFont="1" applyFill="1" applyBorder="1" applyAlignment="1">
      <alignment horizontal="center"/>
    </xf>
    <xf numFmtId="172" fontId="41" fillId="0" borderId="0" xfId="0" applyFont="1" applyFill="1" applyAlignment="1">
      <alignment horizontal="center" wrapText="1"/>
    </xf>
    <xf numFmtId="173" fontId="32" fillId="0" borderId="0" xfId="18" applyNumberFormat="1" applyFont="1" applyFill="1" applyAlignment="1">
      <alignment horizontal="center"/>
    </xf>
    <xf numFmtId="173" fontId="41" fillId="0" borderId="0" xfId="228" applyNumberFormat="1" applyFont="1" applyFill="1" applyBorder="1">
      <alignment/>
    </xf>
    <xf numFmtId="273" fontId="41" fillId="0" borderId="0" xfId="18" applyNumberFormat="1" applyFont="1" applyFill="1" applyBorder="1" applyAlignment="1">
      <alignment/>
    </xf>
    <xf numFmtId="172" fontId="41" fillId="0" borderId="0" xfId="0" applyFont="1" applyFill="1" applyBorder="1" applyAlignment="1">
      <alignment horizontal="center" wrapText="1"/>
    </xf>
    <xf numFmtId="10" fontId="41" fillId="0" borderId="0" xfId="15" applyNumberFormat="1" applyFont="1" applyFill="1" applyBorder="1"/>
    <xf numFmtId="172" fontId="41" fillId="0" borderId="3" xfId="0" applyFont="1" applyFill="1" applyBorder="1" applyAlignment="1">
      <alignment horizontal="center"/>
    </xf>
    <xf numFmtId="43" fontId="41" fillId="0" borderId="1" xfId="18" applyFont="1" applyFill="1" applyBorder="1"/>
    <xf numFmtId="172" fontId="41" fillId="0" borderId="16" xfId="0" applyFont="1" applyFill="1" applyBorder="1"/>
    <xf numFmtId="43" fontId="41" fillId="0" borderId="19" xfId="18" applyFont="1" applyFill="1" applyBorder="1"/>
    <xf numFmtId="43" fontId="41" fillId="0" borderId="12" xfId="18" applyFont="1" applyFill="1" applyBorder="1"/>
    <xf numFmtId="172" fontId="41" fillId="0" borderId="10" xfId="0" applyFont="1" applyFill="1" applyBorder="1"/>
    <xf numFmtId="172" fontId="41" fillId="0" borderId="0" xfId="218" applyFont="1" applyFill="1" applyBorder="1" applyAlignment="1">
      <alignment horizontal="center" wrapText="1"/>
    </xf>
    <xf numFmtId="3" fontId="41" fillId="0" borderId="0" xfId="228" applyNumberFormat="1" applyFont="1" applyFill="1" applyAlignment="1">
      <alignment wrapText="1"/>
    </xf>
    <xf numFmtId="3" fontId="41" fillId="0" borderId="0" xfId="228" applyNumberFormat="1" applyFont="1" applyFill="1" applyAlignment="1" quotePrefix="1">
      <alignment horizontal="left"/>
    </xf>
    <xf numFmtId="49" fontId="71" fillId="0" borderId="0" xfId="0" applyNumberFormat="1" applyFont="1" applyFill="1" applyAlignment="1">
      <alignment horizontal="center"/>
    </xf>
    <xf numFmtId="172" fontId="41" fillId="0" borderId="0" xfId="0" applyFont="1" applyFill="1" applyAlignment="1">
      <alignment horizontal="right"/>
    </xf>
    <xf numFmtId="49" fontId="41" fillId="0" borderId="0" xfId="0" applyNumberFormat="1" applyFont="1" applyFill="1" applyAlignment="1">
      <alignment horizontal="center" vertical="center" wrapText="1"/>
    </xf>
    <xf numFmtId="172" fontId="41" fillId="0" borderId="0" xfId="0" applyFont="1" applyFill="1" applyAlignment="1">
      <alignment horizontal="center" vertical="center" wrapText="1"/>
    </xf>
    <xf numFmtId="0" fontId="41" fillId="0" borderId="0" xfId="229" applyFont="1" applyFill="1" applyAlignment="1">
      <alignment horizontal="center"/>
      <protection/>
    </xf>
    <xf numFmtId="0" fontId="41" fillId="0" borderId="0" xfId="229" applyFont="1" applyFill="1" applyAlignment="1">
      <alignment horizontal="center" wrapText="1"/>
      <protection/>
    </xf>
    <xf numFmtId="172" fontId="71" fillId="0" borderId="0" xfId="0" applyFont="1" applyFill="1" applyAlignment="1">
      <alignment horizontal="center"/>
    </xf>
    <xf numFmtId="0" fontId="41" fillId="0" borderId="0" xfId="209" applyFont="1" applyFill="1" applyAlignment="1">
      <alignment wrapText="1"/>
      <protection/>
    </xf>
    <xf numFmtId="0" fontId="41" fillId="0" borderId="0" xfId="209" applyFont="1" applyFill="1">
      <alignment/>
      <protection/>
    </xf>
    <xf numFmtId="173" fontId="41" fillId="0" borderId="0" xfId="18" applyNumberFormat="1" applyFont="1" applyFill="1"/>
    <xf numFmtId="0" fontId="41" fillId="0" borderId="3" xfId="209" applyFont="1" applyFill="1" applyBorder="1">
      <alignment/>
      <protection/>
    </xf>
    <xf numFmtId="0" fontId="70" fillId="0" borderId="0" xfId="209" applyFont="1" applyFill="1">
      <alignment/>
      <protection/>
    </xf>
    <xf numFmtId="3" fontId="41" fillId="0" borderId="0" xfId="228" applyNumberFormat="1" applyFont="1" applyFill="1" applyBorder="1" applyAlignment="1">
      <alignment horizontal="center"/>
    </xf>
    <xf numFmtId="43" fontId="41" fillId="0" borderId="0" xfId="209" applyNumberFormat="1" applyFont="1" applyFill="1">
      <alignment/>
      <protection/>
    </xf>
    <xf numFmtId="0" fontId="41" fillId="0" borderId="8" xfId="228" applyNumberFormat="1" applyFont="1" applyFill="1" applyBorder="1" applyAlignment="1" applyProtection="1">
      <alignment horizontal="center"/>
      <protection locked="0"/>
    </xf>
    <xf numFmtId="3" fontId="41" fillId="0" borderId="0" xfId="228" applyNumberFormat="1" applyFont="1" applyFill="1" applyAlignment="1" quotePrefix="1">
      <alignment/>
    </xf>
    <xf numFmtId="10" fontId="41" fillId="0" borderId="8" xfId="15" applyNumberFormat="1" applyFont="1" applyFill="1" applyBorder="1" applyAlignment="1">
      <alignment/>
    </xf>
    <xf numFmtId="0" fontId="41" fillId="0" borderId="0" xfId="205" applyFont="1" applyFill="1" applyAlignment="1">
      <alignment horizontal="right"/>
      <protection/>
    </xf>
    <xf numFmtId="172" fontId="41" fillId="0" borderId="0" xfId="228" applyNumberFormat="1" applyFont="1" applyFill="1" applyAlignment="1" applyProtection="1">
      <alignment/>
      <protection locked="0"/>
    </xf>
    <xf numFmtId="0" fontId="76" fillId="0" borderId="0" xfId="228" applyNumberFormat="1" applyFont="1" applyFill="1">
      <alignment/>
    </xf>
    <xf numFmtId="173" fontId="41" fillId="0" borderId="0" xfId="18" applyNumberFormat="1" applyFont="1" applyFill="1" applyAlignment="1" applyProtection="1">
      <alignment horizontal="center"/>
      <protection locked="0"/>
    </xf>
    <xf numFmtId="173" fontId="41" fillId="0" borderId="8" xfId="18" applyNumberFormat="1" applyFont="1" applyFill="1" applyBorder="1" applyAlignment="1" applyProtection="1">
      <alignment horizontal="center"/>
      <protection locked="0"/>
    </xf>
    <xf numFmtId="3" fontId="41" fillId="0" borderId="0" xfId="228" applyNumberFormat="1" applyFont="1" applyFill="1">
      <alignment/>
    </xf>
    <xf numFmtId="0" fontId="41" fillId="0" borderId="8" xfId="228" applyNumberFormat="1" applyFont="1" applyFill="1" applyBorder="1" applyAlignment="1" applyProtection="1">
      <alignment horizontal="centerContinuous"/>
      <protection locked="0"/>
    </xf>
    <xf numFmtId="3" fontId="41" fillId="0" borderId="0" xfId="228" applyNumberFormat="1" applyFont="1" applyFill="1" applyAlignment="1">
      <alignment horizontal="left"/>
    </xf>
    <xf numFmtId="3" fontId="41" fillId="0" borderId="0" xfId="228" applyNumberFormat="1" applyFont="1" applyFill="1" applyAlignment="1">
      <alignment horizontal="fill"/>
    </xf>
    <xf numFmtId="173" fontId="41" fillId="0" borderId="20" xfId="18" applyNumberFormat="1" applyFont="1" applyFill="1" applyBorder="1" applyAlignment="1" applyProtection="1">
      <alignment horizontal="right"/>
      <protection locked="0"/>
    </xf>
    <xf numFmtId="0" fontId="41" fillId="0" borderId="0" xfId="223" applyNumberFormat="1" applyFont="1" applyFill="1" applyBorder="1">
      <alignment/>
    </xf>
    <xf numFmtId="3" fontId="41" fillId="0" borderId="0" xfId="228" applyNumberFormat="1" applyFont="1" applyFill="1" applyBorder="1" applyAlignment="1">
      <alignment horizontal="fill"/>
    </xf>
    <xf numFmtId="3" fontId="41" fillId="0" borderId="0" xfId="228" applyNumberFormat="1" applyFont="1" applyFill="1" applyBorder="1" applyAlignment="1">
      <alignment/>
    </xf>
    <xf numFmtId="0" fontId="41" fillId="0" borderId="0" xfId="223" applyNumberFormat="1" applyFont="1" applyFill="1" applyBorder="1" applyAlignment="1">
      <alignment/>
    </xf>
    <xf numFmtId="166" fontId="41" fillId="0" borderId="0" xfId="223" applyNumberFormat="1" applyFont="1" applyFill="1" applyBorder="1" applyAlignment="1">
      <alignment/>
    </xf>
    <xf numFmtId="173" fontId="41" fillId="0" borderId="0" xfId="18" applyNumberFormat="1" applyFont="1" applyFill="1" applyBorder="1" applyAlignment="1" applyProtection="1">
      <alignment horizontal="right"/>
      <protection locked="0"/>
    </xf>
    <xf numFmtId="168" fontId="41" fillId="0" borderId="0" xfId="228" applyNumberFormat="1" applyFont="1" applyFill="1">
      <alignment/>
    </xf>
    <xf numFmtId="0" fontId="41" fillId="0" borderId="0" xfId="228" applyNumberFormat="1" applyFont="1" applyFill="1" applyAlignment="1">
      <alignment horizontal="right"/>
    </xf>
    <xf numFmtId="3" fontId="48" fillId="0" borderId="0" xfId="228" applyNumberFormat="1" applyFont="1" applyFill="1" applyAlignment="1">
      <alignment horizontal="center"/>
    </xf>
    <xf numFmtId="0" fontId="48" fillId="0" borderId="0" xfId="228" applyNumberFormat="1" applyFont="1" applyFill="1" applyAlignment="1" applyProtection="1">
      <alignment horizontal="center"/>
      <protection locked="0"/>
    </xf>
    <xf numFmtId="172" fontId="48" fillId="0" borderId="0" xfId="228" applyFont="1" applyFill="1" applyAlignment="1">
      <alignment horizontal="center"/>
    </xf>
    <xf numFmtId="3" fontId="48" fillId="0" borderId="0" xfId="228" applyNumberFormat="1" applyFont="1" applyFill="1" applyAlignment="1">
      <alignment/>
    </xf>
    <xf numFmtId="0" fontId="48" fillId="0" borderId="0" xfId="228" applyNumberFormat="1" applyFont="1" applyFill="1" applyAlignment="1">
      <alignment/>
    </xf>
    <xf numFmtId="165" fontId="41" fillId="0" borderId="0" xfId="228" applyNumberFormat="1" applyFont="1" applyFill="1" applyAlignment="1">
      <alignment/>
    </xf>
    <xf numFmtId="0" fontId="41" fillId="0" borderId="0" xfId="223" applyFont="1" applyFill="1" applyAlignment="1">
      <alignment/>
    </xf>
    <xf numFmtId="0" fontId="41" fillId="0" borderId="0" xfId="205" applyNumberFormat="1" applyFont="1" applyFill="1">
      <alignment/>
      <protection/>
    </xf>
    <xf numFmtId="173" fontId="41" fillId="0" borderId="20" xfId="18" applyNumberFormat="1" applyFont="1" applyFill="1" applyBorder="1" applyAlignment="1">
      <alignment/>
    </xf>
    <xf numFmtId="164" fontId="41" fillId="0" borderId="0" xfId="205" applyNumberFormat="1" applyFont="1" applyFill="1" applyAlignment="1">
      <alignment horizontal="center"/>
      <protection/>
    </xf>
    <xf numFmtId="3" fontId="41" fillId="0" borderId="0" xfId="228" applyNumberFormat="1" applyFont="1" applyFill="1" applyAlignment="1">
      <alignment horizontal="right"/>
    </xf>
    <xf numFmtId="0" fontId="41" fillId="0" borderId="0" xfId="228" applyNumberFormat="1" applyFont="1" applyFill="1" applyAlignment="1">
      <alignment wrapText="1"/>
    </xf>
    <xf numFmtId="0" fontId="41" fillId="0" borderId="0" xfId="228" applyNumberFormat="1" applyFont="1" applyFill="1" applyAlignment="1" quotePrefix="1">
      <alignment horizontal="left"/>
    </xf>
    <xf numFmtId="0" fontId="41" fillId="0" borderId="0" xfId="0" applyNumberFormat="1" applyFont="1" applyFill="1" applyAlignment="1">
      <alignment horizontal="left"/>
    </xf>
    <xf numFmtId="166" fontId="41" fillId="0" borderId="0" xfId="228" applyNumberFormat="1" applyFont="1" applyFill="1" applyAlignment="1">
      <alignment/>
    </xf>
    <xf numFmtId="166" fontId="41" fillId="0" borderId="0" xfId="205" applyNumberFormat="1" applyFont="1" applyFill="1" applyAlignment="1">
      <alignment/>
      <protection/>
    </xf>
    <xf numFmtId="0" fontId="41" fillId="0" borderId="0" xfId="205" applyFont="1" applyFill="1" applyAlignment="1">
      <alignment/>
      <protection/>
    </xf>
    <xf numFmtId="173" fontId="41" fillId="0" borderId="8" xfId="18" applyNumberFormat="1" applyFont="1" applyFill="1" applyBorder="1" applyAlignment="1">
      <alignment horizontal="right"/>
    </xf>
    <xf numFmtId="167" fontId="41" fillId="0" borderId="0" xfId="228" applyNumberFormat="1" applyFont="1" applyFill="1" applyAlignment="1">
      <alignment/>
    </xf>
    <xf numFmtId="166" fontId="41" fillId="0" borderId="0" xfId="205" applyNumberFormat="1" applyFont="1" applyFill="1" applyAlignment="1">
      <alignment horizontal="center"/>
      <protection/>
    </xf>
    <xf numFmtId="173" fontId="41" fillId="0" borderId="21" xfId="18" applyNumberFormat="1" applyFont="1" applyFill="1" applyBorder="1" applyAlignment="1">
      <alignment/>
    </xf>
    <xf numFmtId="0" fontId="41" fillId="0" borderId="0" xfId="205" applyNumberFormat="1" applyFont="1" applyFill="1" applyAlignment="1">
      <alignment/>
      <protection/>
    </xf>
    <xf numFmtId="172" fontId="41" fillId="0" borderId="0" xfId="228" applyFont="1" applyFill="1" applyAlignment="1">
      <alignment horizontal="right"/>
    </xf>
    <xf numFmtId="0" fontId="71" fillId="0" borderId="0" xfId="228" applyNumberFormat="1" applyFont="1" applyFill="1" applyAlignment="1" applyProtection="1">
      <alignment horizontal="center"/>
      <protection locked="0"/>
    </xf>
    <xf numFmtId="3" fontId="71" fillId="0" borderId="0" xfId="228" applyNumberFormat="1" applyFont="1" applyFill="1" applyAlignment="1">
      <alignment/>
    </xf>
    <xf numFmtId="172" fontId="71" fillId="0" borderId="0" xfId="0" applyFont="1" applyFill="1" applyAlignment="1">
      <alignment/>
    </xf>
    <xf numFmtId="3" fontId="41" fillId="0" borderId="8" xfId="228" applyNumberFormat="1" applyFont="1" applyFill="1" applyBorder="1" applyAlignment="1">
      <alignment/>
    </xf>
    <xf numFmtId="3" fontId="41" fillId="0" borderId="8" xfId="228" applyNumberFormat="1" applyFont="1" applyFill="1" applyBorder="1" applyAlignment="1">
      <alignment horizontal="center"/>
    </xf>
    <xf numFmtId="4" fontId="41" fillId="0" borderId="0" xfId="228" applyNumberFormat="1" applyFont="1" applyFill="1" applyAlignment="1">
      <alignment/>
    </xf>
    <xf numFmtId="3" fontId="41" fillId="0" borderId="0" xfId="205" applyNumberFormat="1" applyFont="1" applyFill="1" applyBorder="1" applyAlignment="1">
      <alignment horizontal="center"/>
      <protection/>
    </xf>
    <xf numFmtId="0" fontId="41" fillId="0" borderId="8" xfId="205" applyNumberFormat="1" applyFont="1" applyFill="1" applyBorder="1" applyAlignment="1">
      <alignment horizontal="center"/>
      <protection/>
    </xf>
    <xf numFmtId="0" fontId="41" fillId="0" borderId="0" xfId="205" applyNumberFormat="1" applyFont="1" applyFill="1" applyAlignment="1">
      <alignment horizontal="center"/>
      <protection/>
    </xf>
    <xf numFmtId="169" fontId="41" fillId="0" borderId="0" xfId="228" applyNumberFormat="1" applyFont="1" applyFill="1" applyAlignment="1" applyProtection="1">
      <alignment horizontal="right"/>
      <protection locked="0"/>
    </xf>
    <xf numFmtId="169" fontId="41" fillId="0" borderId="0" xfId="228" applyNumberFormat="1" applyFont="1" applyFill="1" applyProtection="1">
      <alignment/>
      <protection locked="0"/>
    </xf>
    <xf numFmtId="3" fontId="41" fillId="0" borderId="0" xfId="228" applyNumberFormat="1" applyFont="1" applyFill="1" applyAlignment="1">
      <alignment vertical="top" wrapText="1"/>
    </xf>
    <xf numFmtId="172" fontId="41" fillId="0" borderId="0" xfId="0" applyFont="1" applyFill="1" applyAlignment="1">
      <alignment vertical="top"/>
    </xf>
    <xf numFmtId="0" fontId="41" fillId="0" borderId="0" xfId="404" applyFont="1" applyFill="1" applyAlignment="1">
      <alignment vertical="center"/>
      <protection/>
    </xf>
    <xf numFmtId="0" fontId="41" fillId="0" borderId="0" xfId="18" applyNumberFormat="1" applyFont="1" applyFill="1" applyBorder="1" applyAlignment="1">
      <alignment/>
    </xf>
    <xf numFmtId="172" fontId="41" fillId="0" borderId="18" xfId="0" applyFont="1" applyFill="1" applyBorder="1"/>
    <xf numFmtId="172" fontId="41" fillId="0" borderId="17" xfId="0" applyFont="1" applyFill="1" applyBorder="1" applyAlignment="1">
      <alignment horizontal="center"/>
    </xf>
    <xf numFmtId="172" fontId="41" fillId="0" borderId="3" xfId="0" applyFont="1" applyFill="1" applyBorder="1"/>
    <xf numFmtId="172" fontId="41" fillId="0" borderId="22" xfId="0" applyFont="1" applyFill="1" applyBorder="1"/>
    <xf numFmtId="172" fontId="41" fillId="0" borderId="16" xfId="0" applyFont="1" applyFill="1" applyBorder="1" applyAlignment="1">
      <alignment/>
    </xf>
    <xf numFmtId="172" fontId="41" fillId="0" borderId="14" xfId="0" applyFont="1" applyFill="1" applyBorder="1" applyAlignment="1">
      <alignment horizontal="center"/>
    </xf>
    <xf numFmtId="172" fontId="41" fillId="0" borderId="1" xfId="0" applyFont="1" applyFill="1" applyBorder="1" applyAlignment="1">
      <alignment/>
    </xf>
    <xf numFmtId="172" fontId="41" fillId="0" borderId="19" xfId="0" applyFont="1" applyFill="1" applyBorder="1" applyAlignment="1">
      <alignment/>
    </xf>
    <xf numFmtId="172" fontId="41" fillId="0" borderId="17" xfId="0" applyFont="1" applyFill="1" applyBorder="1"/>
    <xf numFmtId="172" fontId="41" fillId="0" borderId="11" xfId="0" applyFont="1" applyFill="1" applyBorder="1"/>
    <xf numFmtId="172" fontId="41" fillId="0" borderId="9" xfId="0" applyFont="1" applyFill="1" applyBorder="1" applyAlignment="1">
      <alignment horizontal="center"/>
    </xf>
    <xf numFmtId="172" fontId="41" fillId="0" borderId="11" xfId="0" applyFont="1" applyFill="1" applyBorder="1" applyAlignment="1">
      <alignment horizontal="center"/>
    </xf>
    <xf numFmtId="172" fontId="41" fillId="0" borderId="10" xfId="0" applyFont="1" applyFill="1" applyBorder="1" applyAlignment="1">
      <alignment horizontal="center"/>
    </xf>
    <xf numFmtId="172" fontId="41" fillId="0" borderId="14" xfId="0" applyFont="1" applyFill="1" applyBorder="1"/>
    <xf numFmtId="10" fontId="41" fillId="0" borderId="14" xfId="15" applyNumberFormat="1" applyFont="1" applyFill="1" applyBorder="1"/>
    <xf numFmtId="172" fontId="41" fillId="0" borderId="0" xfId="218" applyFont="1" applyFill="1" applyAlignment="1">
      <alignment/>
    </xf>
    <xf numFmtId="172" fontId="41" fillId="0" borderId="0" xfId="218" applyFont="1" applyFill="1" applyAlignment="1">
      <alignment horizontal="center"/>
    </xf>
    <xf numFmtId="172" fontId="41" fillId="0" borderId="10" xfId="218" applyFont="1" applyFill="1" applyBorder="1" applyAlignment="1">
      <alignment horizontal="center"/>
    </xf>
    <xf numFmtId="172" fontId="41" fillId="0" borderId="11" xfId="218" applyFont="1" applyFill="1" applyBorder="1" applyAlignment="1">
      <alignment horizontal="center"/>
    </xf>
    <xf numFmtId="0" fontId="41" fillId="0" borderId="0" xfId="227" applyFont="1" applyFill="1">
      <alignment/>
      <protection/>
    </xf>
    <xf numFmtId="0" fontId="71" fillId="0" borderId="0" xfId="0" applyNumberFormat="1" applyFont="1" applyFill="1" applyAlignment="1">
      <alignment horizontal="center"/>
    </xf>
    <xf numFmtId="0" fontId="41" fillId="0" borderId="0" xfId="229" applyFont="1" applyFill="1" applyAlignment="1">
      <alignment horizontal="right"/>
      <protection/>
    </xf>
    <xf numFmtId="0" fontId="48" fillId="0" borderId="0" xfId="229" applyFont="1" applyFill="1" applyAlignment="1">
      <alignment horizontal="centerContinuous"/>
      <protection/>
    </xf>
    <xf numFmtId="0" fontId="41" fillId="0" borderId="0" xfId="0" applyNumberFormat="1" applyFont="1" applyFill="1" applyAlignment="1">
      <alignment horizontal="center" wrapText="1"/>
    </xf>
    <xf numFmtId="172" fontId="41" fillId="0" borderId="0" xfId="0" applyFont="1" applyFill="1" applyAlignment="1">
      <alignment wrapText="1"/>
    </xf>
    <xf numFmtId="3" fontId="41" fillId="0" borderId="0" xfId="205" applyNumberFormat="1" applyFont="1" applyFill="1" applyAlignment="1">
      <alignment horizontal="left" wrapText="1"/>
      <protection/>
    </xf>
    <xf numFmtId="3" fontId="41" fillId="0" borderId="0" xfId="205" applyNumberFormat="1" applyFont="1" applyFill="1" applyAlignment="1">
      <alignment horizontal="center" wrapText="1"/>
      <protection/>
    </xf>
    <xf numFmtId="0" fontId="41" fillId="0" borderId="0" xfId="229" applyFont="1" applyFill="1" applyAlignment="1" quotePrefix="1">
      <alignment horizontal="left"/>
      <protection/>
    </xf>
    <xf numFmtId="37" fontId="41" fillId="0" borderId="0" xfId="229" applyNumberFormat="1" applyFont="1" applyFill="1">
      <alignment/>
      <protection/>
    </xf>
    <xf numFmtId="172" fontId="41" fillId="0" borderId="0" xfId="224" applyFont="1" applyFill="1" applyAlignment="1">
      <alignment/>
    </xf>
    <xf numFmtId="0" fontId="48" fillId="0" borderId="0" xfId="229" applyFont="1" applyFill="1" applyAlignment="1">
      <alignment horizontal="centerContinuous" wrapText="1"/>
      <protection/>
    </xf>
    <xf numFmtId="172" fontId="48" fillId="0" borderId="0" xfId="0" applyFont="1" applyFill="1" applyAlignment="1">
      <alignment horizontal="center" wrapText="1"/>
    </xf>
    <xf numFmtId="172" fontId="71" fillId="0" borderId="0" xfId="0" applyFont="1" applyFill="1" applyBorder="1" applyAlignment="1">
      <alignment/>
    </xf>
    <xf numFmtId="43" fontId="41" fillId="0" borderId="1" xfId="18" applyFont="1" applyFill="1" applyBorder="1" applyAlignment="1">
      <alignment horizontal="center"/>
    </xf>
    <xf numFmtId="0" fontId="70" fillId="0" borderId="0" xfId="0" applyNumberFormat="1" applyFont="1" applyFill="1" applyAlignment="1">
      <alignment horizontal="center"/>
    </xf>
    <xf numFmtId="172" fontId="70" fillId="0" borderId="0" xfId="0" applyFont="1" applyFill="1" applyAlignment="1">
      <alignment horizontal="center"/>
    </xf>
    <xf numFmtId="44" fontId="70" fillId="0" borderId="0" xfId="0" applyNumberFormat="1" applyFont="1" applyFill="1" applyBorder="1" applyAlignment="1">
      <alignment/>
    </xf>
    <xf numFmtId="172" fontId="41" fillId="0" borderId="12" xfId="0" applyFont="1" applyFill="1" applyBorder="1" applyAlignment="1">
      <alignment horizontal="center" wrapText="1"/>
    </xf>
    <xf numFmtId="0" fontId="48" fillId="0" borderId="0" xfId="229" applyFont="1" applyFill="1" applyAlignment="1">
      <alignment horizontal="center"/>
      <protection/>
    </xf>
    <xf numFmtId="41" fontId="83" fillId="14" borderId="0" xfId="229" applyNumberFormat="1" applyFont="1" applyFill="1">
      <alignment/>
      <protection/>
    </xf>
    <xf numFmtId="0" fontId="41" fillId="0" borderId="0" xfId="229" applyFont="1" applyFill="1" applyAlignment="1">
      <alignment horizontal="left"/>
      <protection/>
    </xf>
    <xf numFmtId="37" fontId="41" fillId="0" borderId="0" xfId="18" applyNumberFormat="1" applyFont="1" applyFill="1" applyAlignment="1">
      <alignment horizontal="center" wrapText="1"/>
    </xf>
    <xf numFmtId="37" fontId="41" fillId="0" borderId="0" xfId="18" applyNumberFormat="1" applyFont="1" applyFill="1" applyBorder="1" applyAlignment="1">
      <alignment horizontal="center" wrapText="1"/>
    </xf>
    <xf numFmtId="37" fontId="41" fillId="0" borderId="0" xfId="18" applyNumberFormat="1" applyFont="1" applyFill="1" applyAlignment="1">
      <alignment horizontal="center"/>
    </xf>
    <xf numFmtId="0" fontId="41" fillId="0" borderId="0" xfId="209" applyFont="1" applyFill="1" applyBorder="1">
      <alignment/>
      <protection/>
    </xf>
    <xf numFmtId="3" fontId="41" fillId="0" borderId="0" xfId="0" applyNumberFormat="1" applyFont="1" applyFill="1" applyAlignment="1">
      <alignment/>
    </xf>
    <xf numFmtId="3" fontId="41" fillId="0" borderId="8" xfId="0" applyNumberFormat="1" applyFont="1" applyFill="1" applyBorder="1" applyAlignment="1">
      <alignment horizontal="center"/>
    </xf>
    <xf numFmtId="0" fontId="41" fillId="0" borderId="0" xfId="0" applyNumberFormat="1" applyFont="1" applyFill="1" applyProtection="1">
      <protection locked="0"/>
    </xf>
    <xf numFmtId="3" fontId="41" fillId="0" borderId="0" xfId="0" applyNumberFormat="1" applyFont="1" applyFill="1" applyAlignment="1">
      <alignment horizontal="center"/>
    </xf>
    <xf numFmtId="49" fontId="84" fillId="0" borderId="0" xfId="0" applyNumberFormat="1" applyFont="1" applyFill="1" applyAlignment="1">
      <alignment horizontal="center"/>
    </xf>
    <xf numFmtId="0" fontId="32" fillId="0" borderId="0" xfId="209" applyFont="1" applyFill="1">
      <alignment/>
      <protection/>
    </xf>
    <xf numFmtId="172" fontId="32" fillId="0" borderId="0" xfId="0" applyFont="1" applyFill="1" applyAlignment="1">
      <alignment horizontal="center" vertical="center"/>
    </xf>
    <xf numFmtId="172" fontId="32" fillId="0" borderId="0" xfId="0" applyFont="1" applyFill="1" applyAlignment="1">
      <alignment/>
    </xf>
    <xf numFmtId="172" fontId="41" fillId="15" borderId="11" xfId="0" applyFont="1" applyFill="1" applyBorder="1"/>
    <xf numFmtId="43" fontId="41" fillId="15" borderId="10" xfId="18" applyFont="1" applyFill="1" applyBorder="1"/>
    <xf numFmtId="43" fontId="41" fillId="15" borderId="11" xfId="18" applyFont="1" applyFill="1" applyBorder="1"/>
    <xf numFmtId="43" fontId="41" fillId="15" borderId="12" xfId="18" applyFont="1" applyFill="1" applyBorder="1"/>
    <xf numFmtId="43" fontId="41" fillId="15" borderId="11" xfId="18" applyFont="1" applyFill="1" applyBorder="1" applyAlignment="1">
      <alignment horizontal="center"/>
    </xf>
    <xf numFmtId="43" fontId="41" fillId="15" borderId="17" xfId="18" applyFont="1" applyFill="1" applyBorder="1"/>
    <xf numFmtId="43" fontId="41" fillId="15" borderId="17" xfId="18" applyFont="1" applyFill="1" applyBorder="1" applyAlignment="1">
      <alignment horizontal="center"/>
    </xf>
    <xf numFmtId="43" fontId="41" fillId="15" borderId="10" xfId="18" applyFont="1" applyFill="1" applyBorder="1" applyAlignment="1">
      <alignment horizontal="center"/>
    </xf>
    <xf numFmtId="43" fontId="41" fillId="15" borderId="11" xfId="18" applyFont="1" applyFill="1" applyBorder="1" applyAlignment="1">
      <alignment/>
    </xf>
    <xf numFmtId="173" fontId="41" fillId="15" borderId="11" xfId="18" applyNumberFormat="1" applyFont="1" applyFill="1" applyBorder="1" applyAlignment="1">
      <alignment/>
    </xf>
    <xf numFmtId="172" fontId="41" fillId="15" borderId="0" xfId="218" applyFont="1" applyFill="1" applyBorder="1" applyAlignment="1">
      <alignment/>
    </xf>
    <xf numFmtId="172" fontId="41" fillId="15" borderId="1" xfId="218" applyFont="1" applyFill="1" applyBorder="1" applyAlignment="1">
      <alignment/>
    </xf>
    <xf numFmtId="174" fontId="41" fillId="15" borderId="0" xfId="16" applyNumberFormat="1" applyFont="1" applyFill="1" applyBorder="1" applyAlignment="1">
      <alignment/>
    </xf>
    <xf numFmtId="173" fontId="41" fillId="15" borderId="0" xfId="18" applyNumberFormat="1" applyFont="1" applyFill="1" applyBorder="1" applyAlignment="1">
      <alignment/>
    </xf>
    <xf numFmtId="173" fontId="41" fillId="15" borderId="1" xfId="18" applyNumberFormat="1" applyFont="1" applyFill="1" applyBorder="1" applyAlignment="1">
      <alignment/>
    </xf>
    <xf numFmtId="173" fontId="41" fillId="15" borderId="10" xfId="18" applyNumberFormat="1" applyFont="1" applyFill="1" applyBorder="1" applyAlignment="1">
      <alignment/>
    </xf>
    <xf numFmtId="173" fontId="70" fillId="15" borderId="16" xfId="18" applyNumberFormat="1" applyFont="1" applyFill="1" applyBorder="1" applyAlignment="1">
      <alignment/>
    </xf>
    <xf numFmtId="173" fontId="70" fillId="15" borderId="1" xfId="18" applyNumberFormat="1" applyFont="1" applyFill="1" applyBorder="1" applyAlignment="1">
      <alignment/>
    </xf>
    <xf numFmtId="173" fontId="41" fillId="15" borderId="0" xfId="18" applyNumberFormat="1" applyFont="1" applyFill="1" applyAlignment="1">
      <alignment/>
    </xf>
    <xf numFmtId="41" fontId="41" fillId="15" borderId="0" xfId="229" applyNumberFormat="1" applyFont="1" applyFill="1">
      <alignment/>
      <protection/>
    </xf>
    <xf numFmtId="173" fontId="41" fillId="15" borderId="0" xfId="18" applyNumberFormat="1" applyFont="1" applyFill="1"/>
    <xf numFmtId="173" fontId="41" fillId="15" borderId="8" xfId="18" applyNumberFormat="1" applyFont="1" applyFill="1" applyBorder="1" applyAlignment="1">
      <alignment/>
    </xf>
    <xf numFmtId="172" fontId="41" fillId="15" borderId="10" xfId="0" applyFont="1" applyFill="1" applyBorder="1"/>
    <xf numFmtId="172" fontId="41" fillId="15" borderId="0" xfId="0" applyFont="1" applyFill="1" applyBorder="1"/>
    <xf numFmtId="172" fontId="80" fillId="0" borderId="0" xfId="0" applyFont="1" applyFill="1" applyAlignment="1">
      <alignment horizontal="center" vertical="center"/>
    </xf>
    <xf numFmtId="10" fontId="41" fillId="0" borderId="8" xfId="15" applyNumberFormat="1" applyFont="1" applyFill="1" applyBorder="1" applyAlignment="1">
      <alignment horizontal="center"/>
    </xf>
    <xf numFmtId="10" fontId="41" fillId="0" borderId="0" xfId="15" applyNumberFormat="1" applyFont="1" applyFill="1" applyBorder="1" applyAlignment="1">
      <alignment/>
    </xf>
    <xf numFmtId="10" fontId="41" fillId="0" borderId="0" xfId="15" applyNumberFormat="1" applyFont="1" applyFill="1" applyAlignment="1" applyProtection="1">
      <alignment vertical="top"/>
      <protection locked="0"/>
    </xf>
    <xf numFmtId="0" fontId="41" fillId="0" borderId="0" xfId="229" applyFont="1" applyFill="1" applyAlignment="1" quotePrefix="1">
      <alignment horizontal="center"/>
      <protection/>
    </xf>
    <xf numFmtId="174" fontId="41" fillId="0" borderId="0" xfId="16" applyNumberFormat="1" applyFont="1" applyFill="1" applyAlignment="1" quotePrefix="1">
      <alignment horizontal="left"/>
    </xf>
    <xf numFmtId="173" fontId="41" fillId="0" borderId="0" xfId="18" applyNumberFormat="1" applyFont="1" applyFill="1" applyAlignment="1" quotePrefix="1">
      <alignment horizontal="left"/>
    </xf>
    <xf numFmtId="0" fontId="41" fillId="15" borderId="0" xfId="18" applyNumberFormat="1" applyFont="1" applyFill="1" applyBorder="1" applyAlignment="1">
      <alignment horizontal="left"/>
    </xf>
    <xf numFmtId="172" fontId="41" fillId="15" borderId="0" xfId="218" applyFont="1" applyFill="1" applyBorder="1" applyAlignment="1">
      <alignment horizontal="left"/>
    </xf>
    <xf numFmtId="170" fontId="32" fillId="0" borderId="0" xfId="15" applyNumberFormat="1" applyFont="1" applyFill="1" applyAlignment="1">
      <alignment horizontal="center"/>
    </xf>
    <xf numFmtId="170" fontId="32" fillId="0" borderId="0" xfId="15" applyNumberFormat="1" applyFont="1" applyAlignment="1">
      <alignment/>
    </xf>
    <xf numFmtId="170" fontId="32" fillId="0" borderId="8" xfId="15" applyNumberFormat="1" applyFont="1" applyBorder="1" applyAlignment="1">
      <alignment/>
    </xf>
    <xf numFmtId="170" fontId="41" fillId="0" borderId="0" xfId="15" applyNumberFormat="1" applyFont="1" applyFill="1" applyAlignment="1">
      <alignment/>
    </xf>
    <xf numFmtId="172" fontId="85" fillId="0" borderId="0" xfId="218" applyFont="1" applyFill="1" applyBorder="1" applyAlignment="1">
      <alignment/>
    </xf>
    <xf numFmtId="173" fontId="41" fillId="15" borderId="18" xfId="18" applyNumberFormat="1" applyFont="1" applyFill="1" applyBorder="1"/>
    <xf numFmtId="0" fontId="41" fillId="15" borderId="0" xfId="229" applyFont="1" applyFill="1" applyAlignment="1" quotePrefix="1">
      <alignment horizontal="left"/>
      <protection/>
    </xf>
    <xf numFmtId="0" fontId="41" fillId="15" borderId="0" xfId="229" applyFont="1" applyFill="1" applyAlignment="1" quotePrefix="1">
      <alignment horizontal="center"/>
      <protection/>
    </xf>
    <xf numFmtId="43" fontId="41" fillId="0" borderId="11" xfId="18" applyFont="1" applyFill="1" applyBorder="1" applyAlignment="1">
      <alignment horizontal="center"/>
    </xf>
    <xf numFmtId="172" fontId="41" fillId="0" borderId="19" xfId="0" applyFont="1" applyFill="1" applyBorder="1"/>
    <xf numFmtId="0" fontId="87" fillId="0" borderId="0" xfId="405" applyFont="1" applyFill="1" applyAlignment="1">
      <alignment horizontal="center"/>
      <protection/>
    </xf>
    <xf numFmtId="173" fontId="87" fillId="0" borderId="0" xfId="405" applyNumberFormat="1" applyFont="1" applyFill="1" applyAlignment="1">
      <alignment horizontal="center"/>
      <protection/>
    </xf>
    <xf numFmtId="0" fontId="88" fillId="0" borderId="0" xfId="405" applyFont="1" applyFill="1" applyAlignment="1">
      <alignment horizontal="center"/>
      <protection/>
    </xf>
    <xf numFmtId="0" fontId="87" fillId="15" borderId="0" xfId="405" applyFont="1" applyFill="1" applyAlignment="1">
      <alignment horizontal="center"/>
      <protection/>
    </xf>
    <xf numFmtId="172" fontId="89" fillId="0" borderId="0" xfId="0" applyFont="1" applyFill="1" applyAlignment="1">
      <alignment/>
    </xf>
    <xf numFmtId="0" fontId="37" fillId="0" borderId="0" xfId="229" applyFont="1" applyFill="1" applyAlignment="1" quotePrefix="1">
      <alignment horizontal="left"/>
      <protection/>
    </xf>
    <xf numFmtId="0" fontId="37" fillId="0" borderId="0" xfId="0" applyNumberFormat="1" applyFont="1" applyFill="1" applyAlignment="1">
      <alignment horizontal="center"/>
    </xf>
    <xf numFmtId="172" fontId="37" fillId="15" borderId="0" xfId="0" applyFont="1" applyFill="1" applyAlignment="1">
      <alignment/>
    </xf>
    <xf numFmtId="173" fontId="37" fillId="0" borderId="0" xfId="18" applyNumberFormat="1" applyFont="1" applyFill="1" applyAlignment="1">
      <alignment horizontal="right"/>
    </xf>
    <xf numFmtId="0" fontId="87" fillId="0" borderId="0" xfId="405" applyFont="1" applyFill="1" applyAlignment="1" quotePrefix="1">
      <alignment horizontal="center"/>
      <protection/>
    </xf>
    <xf numFmtId="172" fontId="37" fillId="0" borderId="0" xfId="0" applyFont="1" applyFill="1" applyAlignment="1" quotePrefix="1">
      <alignment horizontal="center"/>
    </xf>
    <xf numFmtId="173" fontId="41" fillId="15" borderId="0" xfId="18" applyNumberFormat="1" applyFont="1" applyFill="1" applyAlignment="1" quotePrefix="1">
      <alignment horizontal="left"/>
    </xf>
    <xf numFmtId="39" fontId="41" fillId="15" borderId="0" xfId="18" applyNumberFormat="1" applyFont="1" applyFill="1" applyAlignment="1" quotePrefix="1">
      <alignment horizontal="left"/>
    </xf>
    <xf numFmtId="172" fontId="89" fillId="0" borderId="0" xfId="218" applyFont="1" applyFill="1" applyAlignment="1">
      <alignment/>
    </xf>
    <xf numFmtId="172" fontId="37" fillId="0" borderId="0" xfId="0" applyFont="1" applyFill="1" applyAlignment="1">
      <alignment horizontal="right"/>
    </xf>
    <xf numFmtId="172" fontId="37" fillId="0" borderId="0" xfId="218" applyFont="1" applyFill="1" applyAlignment="1">
      <alignment horizontal="center"/>
    </xf>
    <xf numFmtId="172" fontId="90" fillId="0" borderId="0" xfId="0" applyFont="1" applyFill="1" applyAlignment="1">
      <alignment/>
    </xf>
    <xf numFmtId="0" fontId="91" fillId="0" borderId="0" xfId="204" applyFont="1" applyFill="1" applyBorder="1" applyAlignment="1">
      <alignment horizontal="left"/>
      <protection/>
    </xf>
    <xf numFmtId="0" fontId="37" fillId="0" borderId="0" xfId="204" applyFont="1" applyFill="1" applyBorder="1" applyAlignment="1">
      <alignment/>
      <protection/>
    </xf>
    <xf numFmtId="0" fontId="37" fillId="0" borderId="0" xfId="204" applyFont="1" applyFill="1" applyBorder="1" applyAlignment="1">
      <alignment horizontal="center"/>
      <protection/>
    </xf>
    <xf numFmtId="49" fontId="37" fillId="0" borderId="0" xfId="204" applyNumberFormat="1" applyFont="1" applyFill="1" applyBorder="1" applyAlignment="1">
      <alignment horizontal="center"/>
      <protection/>
    </xf>
    <xf numFmtId="0" fontId="37" fillId="0" borderId="0" xfId="204" applyFont="1" applyFill="1" applyBorder="1">
      <alignment/>
      <protection/>
    </xf>
    <xf numFmtId="172" fontId="37" fillId="0" borderId="0" xfId="0" applyFont="1" applyFill="1" applyBorder="1" applyAlignment="1">
      <alignment/>
    </xf>
    <xf numFmtId="3" fontId="37" fillId="0" borderId="0" xfId="204" applyNumberFormat="1" applyFont="1" applyFill="1" applyBorder="1" applyAlignment="1">
      <alignment/>
      <protection/>
    </xf>
    <xf numFmtId="172" fontId="89" fillId="0" borderId="1" xfId="218" applyFont="1" applyFill="1" applyBorder="1" applyAlignment="1">
      <alignment horizontal="center" wrapText="1"/>
    </xf>
    <xf numFmtId="172" fontId="89" fillId="0" borderId="0" xfId="218" applyFont="1" applyFill="1" applyAlignment="1">
      <alignment horizontal="center" wrapText="1"/>
    </xf>
    <xf numFmtId="0" fontId="37" fillId="0" borderId="0" xfId="221" applyFont="1" applyFill="1" applyBorder="1" applyAlignment="1">
      <alignment/>
      <protection/>
    </xf>
    <xf numFmtId="172" fontId="37" fillId="0" borderId="0" xfId="218" applyFont="1" applyFill="1" applyBorder="1" applyAlignment="1">
      <alignment/>
    </xf>
    <xf numFmtId="172" fontId="37" fillId="0" borderId="8" xfId="218" applyFont="1" applyFill="1" applyBorder="1" applyAlignment="1">
      <alignment/>
    </xf>
    <xf numFmtId="0" fontId="37" fillId="0" borderId="0" xfId="0" applyNumberFormat="1" applyFont="1" applyFill="1" applyAlignment="1">
      <alignment horizontal="center" vertical="center"/>
    </xf>
    <xf numFmtId="10" fontId="41" fillId="0" borderId="0" xfId="15" applyNumberFormat="1" applyFont="1" applyFill="1" applyAlignment="1">
      <alignment horizontal="center"/>
    </xf>
    <xf numFmtId="0" fontId="41" fillId="0" borderId="0" xfId="218" applyNumberFormat="1" applyFont="1" applyFill="1" applyBorder="1" applyAlignment="1" applyProtection="1">
      <alignment horizontal="center"/>
      <protection locked="0"/>
    </xf>
    <xf numFmtId="10" fontId="41" fillId="0" borderId="0" xfId="18" applyNumberFormat="1" applyFont="1" applyFill="1" applyBorder="1" applyAlignment="1">
      <alignment horizontal="center"/>
    </xf>
    <xf numFmtId="0" fontId="89" fillId="0" borderId="0" xfId="201" applyFont="1" applyFill="1">
      <alignment/>
      <protection/>
    </xf>
    <xf numFmtId="0" fontId="37" fillId="0" borderId="0" xfId="201" applyFont="1" applyFill="1">
      <alignment/>
      <protection/>
    </xf>
    <xf numFmtId="173" fontId="89" fillId="0" borderId="0" xfId="18" applyNumberFormat="1" applyFont="1" applyFill="1" applyAlignment="1">
      <alignment/>
    </xf>
    <xf numFmtId="0" fontId="89" fillId="0" borderId="0" xfId="229" applyFont="1" applyFill="1" applyAlignment="1">
      <alignment horizontal="center"/>
      <protection/>
    </xf>
    <xf numFmtId="0" fontId="89" fillId="0" borderId="0" xfId="229" applyFont="1" applyFill="1" applyAlignment="1">
      <alignment horizontal="center" wrapText="1"/>
      <protection/>
    </xf>
    <xf numFmtId="1" fontId="37" fillId="0" borderId="1" xfId="0" applyNumberFormat="1" applyFont="1" applyFill="1" applyBorder="1" applyAlignment="1">
      <alignment horizontal="center"/>
    </xf>
    <xf numFmtId="172" fontId="37" fillId="0" borderId="1" xfId="0" applyFont="1" applyFill="1" applyBorder="1"/>
    <xf numFmtId="0" fontId="89" fillId="0" borderId="0" xfId="415" applyFont="1" applyFill="1" applyBorder="1" applyAlignment="1">
      <alignment horizontal="center"/>
      <protection/>
    </xf>
    <xf numFmtId="0" fontId="37" fillId="0" borderId="0" xfId="18" applyNumberFormat="1" applyFont="1" applyFill="1" applyAlignment="1">
      <alignment horizontal="left"/>
    </xf>
    <xf numFmtId="1" fontId="37" fillId="0" borderId="0" xfId="415" applyNumberFormat="1" applyFont="1" applyFill="1" applyBorder="1" applyAlignment="1">
      <alignment horizontal="center"/>
      <protection/>
    </xf>
    <xf numFmtId="173" fontId="37" fillId="0" borderId="1" xfId="415" applyNumberFormat="1" applyFont="1" applyFill="1" applyBorder="1" applyAlignment="1" applyProtection="1">
      <alignment horizontal="center"/>
      <protection locked="0"/>
    </xf>
    <xf numFmtId="275" fontId="37" fillId="0" borderId="0" xfId="415" applyNumberFormat="1" applyFont="1" applyFill="1" applyBorder="1" applyAlignment="1">
      <alignment horizontal="left"/>
      <protection/>
    </xf>
    <xf numFmtId="276" fontId="37" fillId="0" borderId="0" xfId="415" applyNumberFormat="1" applyFont="1" applyFill="1" applyBorder="1" applyAlignment="1">
      <alignment horizontal="center"/>
      <protection/>
    </xf>
    <xf numFmtId="174" fontId="37" fillId="15" borderId="0" xfId="16" applyNumberFormat="1" applyFont="1" applyFill="1" applyBorder="1"/>
    <xf numFmtId="277" fontId="37" fillId="15" borderId="0" xfId="16" applyNumberFormat="1" applyFont="1" applyFill="1" applyBorder="1"/>
    <xf numFmtId="174" fontId="37" fillId="15" borderId="0" xfId="0" applyNumberFormat="1" applyFont="1" applyFill="1"/>
    <xf numFmtId="173" fontId="37" fillId="15" borderId="0" xfId="18" applyNumberFormat="1" applyFont="1" applyFill="1" applyBorder="1"/>
    <xf numFmtId="177" fontId="37" fillId="15" borderId="0" xfId="18" applyNumberFormat="1" applyFont="1" applyFill="1" applyBorder="1"/>
    <xf numFmtId="173" fontId="37" fillId="15" borderId="0" xfId="18" applyNumberFormat="1" applyFont="1" applyFill="1"/>
    <xf numFmtId="276" fontId="37" fillId="0" borderId="0" xfId="0" applyNumberFormat="1" applyFont="1" applyFill="1" applyAlignment="1">
      <alignment horizontal="center"/>
    </xf>
    <xf numFmtId="0" fontId="37" fillId="0" borderId="0" xfId="415" applyFont="1" applyFill="1" applyBorder="1" applyAlignment="1">
      <alignment horizontal="left"/>
      <protection/>
    </xf>
    <xf numFmtId="174" fontId="37" fillId="15" borderId="0" xfId="18" applyNumberFormat="1" applyFont="1" applyFill="1" applyBorder="1"/>
    <xf numFmtId="174" fontId="37" fillId="15" borderId="0" xfId="16" applyNumberFormat="1" applyFont="1" applyFill="1"/>
    <xf numFmtId="172" fontId="89" fillId="0" borderId="0" xfId="0" applyFont="1" applyFill="1"/>
    <xf numFmtId="174" fontId="37" fillId="0" borderId="7" xfId="16" applyNumberFormat="1" applyFont="1" applyFill="1" applyBorder="1" applyAlignment="1" applyProtection="1">
      <alignment/>
      <protection locked="0"/>
    </xf>
    <xf numFmtId="277" fontId="37" fillId="0" borderId="7" xfId="16" applyNumberFormat="1" applyFont="1" applyFill="1" applyBorder="1" applyAlignment="1" applyProtection="1">
      <alignment/>
      <protection locked="0"/>
    </xf>
    <xf numFmtId="10" fontId="37" fillId="0" borderId="0" xfId="15" applyNumberFormat="1" applyFont="1" applyFill="1"/>
    <xf numFmtId="174" fontId="37" fillId="0" borderId="0" xfId="0" applyNumberFormat="1" applyFont="1" applyFill="1"/>
    <xf numFmtId="173" fontId="41" fillId="15" borderId="8" xfId="18" applyNumberFormat="1" applyFont="1" applyFill="1" applyBorder="1"/>
    <xf numFmtId="173" fontId="41" fillId="15" borderId="3" xfId="16" applyNumberFormat="1" applyFont="1" applyFill="1" applyBorder="1" applyAlignment="1">
      <alignment horizontal="right"/>
    </xf>
    <xf numFmtId="174" fontId="41" fillId="15" borderId="3" xfId="16" applyNumberFormat="1" applyFont="1" applyFill="1" applyBorder="1"/>
    <xf numFmtId="172" fontId="41" fillId="15" borderId="0" xfId="226" applyFont="1" applyFill="1" applyBorder="1" applyAlignment="1">
      <alignment/>
    </xf>
    <xf numFmtId="0" fontId="41" fillId="0" borderId="0" xfId="228" applyNumberFormat="1" applyFont="1" applyFill="1" applyAlignment="1">
      <alignment horizontal="left" indent="2"/>
    </xf>
    <xf numFmtId="174" fontId="41" fillId="0" borderId="0" xfId="16" applyNumberFormat="1" applyFont="1" applyFill="1" applyBorder="1" applyAlignment="1">
      <alignment/>
    </xf>
    <xf numFmtId="173" fontId="41" fillId="0" borderId="10" xfId="18" applyNumberFormat="1" applyFont="1" applyFill="1" applyBorder="1" applyAlignment="1">
      <alignment/>
    </xf>
    <xf numFmtId="0" fontId="37" fillId="0" borderId="0" xfId="201" applyFont="1" applyFill="1" applyAlignment="1">
      <alignment horizontal="center"/>
      <protection/>
    </xf>
    <xf numFmtId="172" fontId="90" fillId="0" borderId="0" xfId="0" applyFont="1" applyFill="1"/>
    <xf numFmtId="0" fontId="37" fillId="0" borderId="0" xfId="201" applyFont="1" applyFill="1" applyAlignment="1">
      <alignment/>
      <protection/>
    </xf>
    <xf numFmtId="172" fontId="37" fillId="0" borderId="0" xfId="0" applyFont="1" applyFill="1" applyAlignment="1">
      <alignment horizontal="left"/>
    </xf>
    <xf numFmtId="173" fontId="37" fillId="15" borderId="0" xfId="18" applyNumberFormat="1" applyFont="1" applyFill="1" applyAlignment="1">
      <alignment wrapText="1"/>
    </xf>
    <xf numFmtId="173" fontId="37" fillId="0" borderId="0" xfId="18" applyNumberFormat="1" applyFont="1" applyFill="1" applyBorder="1" applyAlignment="1">
      <alignment wrapText="1"/>
    </xf>
    <xf numFmtId="0" fontId="37" fillId="0" borderId="0" xfId="201" applyFont="1" applyFill="1" applyAlignment="1">
      <alignment horizontal="left" vertical="center" wrapText="1"/>
      <protection/>
    </xf>
    <xf numFmtId="0" fontId="37" fillId="0" borderId="0" xfId="201" applyFont="1" applyFill="1" applyAlignment="1">
      <alignment horizontal="left" wrapText="1"/>
      <protection/>
    </xf>
    <xf numFmtId="172" fontId="37" fillId="0" borderId="0" xfId="0" applyFont="1" applyFill="1" applyAlignment="1">
      <alignment horizontal="left" vertical="center"/>
    </xf>
    <xf numFmtId="172" fontId="37" fillId="0" borderId="0" xfId="0" applyFont="1" applyFill="1" applyAlignment="1">
      <alignment horizontal="left" vertical="center" wrapText="1"/>
    </xf>
    <xf numFmtId="173" fontId="37" fillId="0" borderId="0" xfId="18" applyNumberFormat="1" applyFont="1" applyFill="1" applyAlignment="1">
      <alignment vertical="center" wrapText="1"/>
    </xf>
    <xf numFmtId="172" fontId="93" fillId="0" borderId="0" xfId="0" applyFont="1" applyFill="1" applyAlignment="1">
      <alignment wrapText="1"/>
    </xf>
    <xf numFmtId="172" fontId="91" fillId="0" borderId="0" xfId="0" applyFont="1" applyFill="1" applyAlignment="1">
      <alignment/>
    </xf>
    <xf numFmtId="0" fontId="37" fillId="0" borderId="0" xfId="201" applyFont="1" applyFill="1" applyAlignment="1">
      <alignment vertical="center" wrapText="1"/>
      <protection/>
    </xf>
    <xf numFmtId="172" fontId="37" fillId="0" borderId="0" xfId="0" applyFont="1" applyFill="1" applyAlignment="1">
      <alignment wrapText="1"/>
    </xf>
    <xf numFmtId="172" fontId="37" fillId="0" borderId="0" xfId="0" applyFont="1" applyFill="1" applyAlignment="1">
      <alignment vertical="center" wrapText="1"/>
    </xf>
    <xf numFmtId="172" fontId="37" fillId="0" borderId="0" xfId="0" applyFont="1" applyFill="1" applyAlignment="1">
      <alignment horizontal="center" vertical="center"/>
    </xf>
    <xf numFmtId="173" fontId="37" fillId="0" borderId="0" xfId="0" applyNumberFormat="1" applyFont="1" applyFill="1"/>
    <xf numFmtId="0" fontId="37" fillId="15" borderId="0" xfId="201" applyFont="1" applyFill="1">
      <alignment/>
      <protection/>
    </xf>
    <xf numFmtId="9" fontId="37" fillId="0" borderId="0" xfId="201" applyNumberFormat="1" applyFont="1" applyFill="1">
      <alignment/>
      <protection/>
    </xf>
    <xf numFmtId="173" fontId="37" fillId="0" borderId="0" xfId="201" applyNumberFormat="1" applyFont="1" applyFill="1">
      <alignment/>
      <protection/>
    </xf>
    <xf numFmtId="0" fontId="37" fillId="0" borderId="0" xfId="201" applyFont="1" applyFill="1" applyAlignment="1">
      <alignment horizontal="center" wrapText="1"/>
      <protection/>
    </xf>
    <xf numFmtId="10" fontId="37" fillId="0" borderId="0" xfId="201" applyNumberFormat="1" applyFont="1" applyFill="1">
      <alignment/>
      <protection/>
    </xf>
    <xf numFmtId="174" fontId="37" fillId="0" borderId="0" xfId="16" applyNumberFormat="1" applyFont="1" applyFill="1" applyAlignment="1">
      <alignment/>
    </xf>
    <xf numFmtId="174" fontId="37" fillId="0" borderId="0" xfId="16" applyNumberFormat="1" applyFont="1" applyFill="1"/>
    <xf numFmtId="173" fontId="37" fillId="0" borderId="0" xfId="18" applyNumberFormat="1" applyFont="1" applyFill="1" applyAlignment="1">
      <alignment wrapText="1"/>
    </xf>
    <xf numFmtId="173" fontId="37" fillId="0" borderId="0" xfId="413" applyNumberFormat="1" applyFont="1" applyFill="1" applyAlignment="1">
      <alignment wrapText="1"/>
    </xf>
    <xf numFmtId="0" fontId="37" fillId="0" borderId="9" xfId="201" applyFont="1" applyFill="1" applyBorder="1">
      <alignment/>
      <protection/>
    </xf>
    <xf numFmtId="0" fontId="37" fillId="0" borderId="9" xfId="201" applyFont="1" applyFill="1" applyBorder="1" applyAlignment="1">
      <alignment horizontal="center" wrapText="1"/>
      <protection/>
    </xf>
    <xf numFmtId="0" fontId="37" fillId="0" borderId="9" xfId="201" applyFont="1" applyFill="1" applyBorder="1" applyAlignment="1">
      <alignment horizontal="center"/>
      <protection/>
    </xf>
    <xf numFmtId="174" fontId="37" fillId="15" borderId="9" xfId="16" applyNumberFormat="1" applyFont="1" applyFill="1" applyBorder="1"/>
    <xf numFmtId="174" fontId="37" fillId="0" borderId="9" xfId="16" applyNumberFormat="1" applyFont="1" applyFill="1" applyBorder="1" applyAlignment="1">
      <alignment/>
    </xf>
    <xf numFmtId="174" fontId="37" fillId="0" borderId="9" xfId="16" applyNumberFormat="1" applyFont="1" applyFill="1" applyBorder="1"/>
    <xf numFmtId="174" fontId="37" fillId="0" borderId="9" xfId="201" applyNumberFormat="1" applyFont="1" applyFill="1" applyBorder="1">
      <alignment/>
      <protection/>
    </xf>
    <xf numFmtId="173" fontId="37" fillId="15" borderId="9" xfId="18" applyNumberFormat="1" applyFont="1" applyFill="1" applyBorder="1"/>
    <xf numFmtId="173" fontId="37" fillId="0" borderId="9" xfId="18" applyNumberFormat="1" applyFont="1" applyFill="1" applyBorder="1" applyAlignment="1">
      <alignment/>
    </xf>
    <xf numFmtId="173" fontId="37" fillId="0" borderId="9" xfId="201" applyNumberFormat="1" applyFont="1" applyFill="1" applyBorder="1">
      <alignment/>
      <protection/>
    </xf>
    <xf numFmtId="173" fontId="37" fillId="0" borderId="9" xfId="18" applyNumberFormat="1" applyFont="1" applyFill="1" applyBorder="1"/>
    <xf numFmtId="0" fontId="37" fillId="0" borderId="9" xfId="201" applyFont="1" applyFill="1" applyBorder="1" applyAlignment="1">
      <alignment horizontal="left" indent="2"/>
      <protection/>
    </xf>
    <xf numFmtId="0" fontId="37" fillId="0" borderId="9" xfId="201" applyFont="1" applyFill="1" applyBorder="1" applyAlignment="1">
      <alignment horizontal="right"/>
      <protection/>
    </xf>
    <xf numFmtId="10" fontId="37" fillId="0" borderId="9" xfId="201" applyNumberFormat="1" applyFont="1" applyFill="1" applyBorder="1">
      <alignment/>
      <protection/>
    </xf>
    <xf numFmtId="0" fontId="41" fillId="15" borderId="0" xfId="204" applyFont="1" applyFill="1" applyBorder="1" applyAlignment="1">
      <alignment/>
      <protection/>
    </xf>
    <xf numFmtId="173" fontId="41" fillId="15" borderId="0" xfId="18" applyNumberFormat="1" applyFont="1" applyFill="1" applyBorder="1" applyAlignment="1">
      <alignment horizontal="center"/>
    </xf>
    <xf numFmtId="43" fontId="41" fillId="15" borderId="0" xfId="18" applyNumberFormat="1" applyFont="1" applyFill="1" applyBorder="1" applyAlignment="1">
      <alignment horizontal="center"/>
    </xf>
    <xf numFmtId="43" fontId="41" fillId="15" borderId="0" xfId="18" applyNumberFormat="1" applyFont="1" applyFill="1" applyAlignment="1">
      <alignment/>
    </xf>
    <xf numFmtId="9" fontId="41" fillId="15" borderId="0" xfId="15" applyFont="1" applyFill="1" applyAlignment="1">
      <alignment/>
    </xf>
    <xf numFmtId="173" fontId="41" fillId="15" borderId="0" xfId="18" applyNumberFormat="1" applyFont="1" applyFill="1" applyBorder="1"/>
    <xf numFmtId="43" fontId="41" fillId="15" borderId="0" xfId="18" applyFont="1" applyFill="1" applyAlignment="1">
      <alignment/>
    </xf>
    <xf numFmtId="0" fontId="41" fillId="15" borderId="1" xfId="204" applyFont="1" applyFill="1" applyBorder="1" applyAlignment="1">
      <alignment/>
      <protection/>
    </xf>
    <xf numFmtId="173" fontId="41" fillId="15" borderId="1" xfId="18" applyNumberFormat="1" applyFont="1" applyFill="1" applyBorder="1"/>
    <xf numFmtId="173" fontId="41" fillId="15" borderId="1" xfId="18" applyNumberFormat="1" applyFont="1" applyFill="1" applyBorder="1" applyAlignment="1">
      <alignment horizontal="center"/>
    </xf>
    <xf numFmtId="43" fontId="41" fillId="15" borderId="1" xfId="18" applyFont="1" applyFill="1" applyBorder="1" applyAlignment="1">
      <alignment/>
    </xf>
    <xf numFmtId="10" fontId="41" fillId="15" borderId="0" xfId="15" applyNumberFormat="1" applyFont="1" applyFill="1" applyAlignment="1">
      <alignment horizontal="right"/>
    </xf>
    <xf numFmtId="10" fontId="41" fillId="15" borderId="0" xfId="15" applyNumberFormat="1" applyFont="1" applyFill="1" applyAlignment="1" applyProtection="1">
      <alignment vertical="top"/>
      <protection locked="0"/>
    </xf>
    <xf numFmtId="172" fontId="48" fillId="0" borderId="3" xfId="218" applyFont="1" applyFill="1" applyBorder="1" applyAlignment="1">
      <alignment/>
    </xf>
    <xf numFmtId="0" fontId="32" fillId="0" borderId="0" xfId="406" applyNumberFormat="1" applyFont="1" applyFill="1" applyAlignment="1" applyProtection="1">
      <alignment horizontal="right" wrapText="1"/>
      <protection locked="0"/>
    </xf>
    <xf numFmtId="9" fontId="37" fillId="0" borderId="9" xfId="201" applyNumberFormat="1" applyFont="1" applyFill="1" applyBorder="1">
      <alignment/>
      <protection/>
    </xf>
    <xf numFmtId="0" fontId="48" fillId="0" borderId="0" xfId="205" applyFont="1" applyFill="1">
      <alignment/>
      <protection/>
    </xf>
    <xf numFmtId="173" fontId="37" fillId="0" borderId="1" xfId="18" applyNumberFormat="1" applyFont="1" applyFill="1" applyBorder="1" applyAlignment="1">
      <alignment/>
    </xf>
    <xf numFmtId="174" fontId="37" fillId="0" borderId="0" xfId="16" applyNumberFormat="1" applyFont="1" applyFill="1" applyBorder="1"/>
    <xf numFmtId="173" fontId="37" fillId="0" borderId="0" xfId="18" applyNumberFormat="1" applyFont="1" applyFill="1" applyBorder="1"/>
    <xf numFmtId="10" fontId="41" fillId="0" borderId="0" xfId="15" applyNumberFormat="1" applyFont="1" applyFill="1" applyAlignment="1">
      <alignment/>
    </xf>
    <xf numFmtId="0" fontId="41" fillId="0" borderId="0" xfId="223" applyNumberFormat="1" applyFont="1" applyFill="1" applyAlignment="1" applyProtection="1">
      <alignment horizontal="center"/>
      <protection locked="0"/>
    </xf>
    <xf numFmtId="173" fontId="41" fillId="0" borderId="21" xfId="18" applyNumberFormat="1" applyFont="1" applyFill="1" applyBorder="1"/>
    <xf numFmtId="43" fontId="41" fillId="0" borderId="21" xfId="18" applyFont="1" applyFill="1" applyBorder="1"/>
    <xf numFmtId="0" fontId="48" fillId="0" borderId="0" xfId="229" applyFont="1" applyFill="1" applyAlignment="1" quotePrefix="1">
      <alignment horizontal="left"/>
      <protection/>
    </xf>
    <xf numFmtId="173" fontId="37" fillId="0" borderId="0" xfId="18" applyNumberFormat="1" applyFont="1" applyFill="1" applyBorder="1" applyAlignment="1">
      <alignment/>
    </xf>
    <xf numFmtId="172" fontId="37" fillId="0" borderId="0" xfId="218" applyFont="1" applyFill="1" applyBorder="1" applyAlignment="1">
      <alignment horizontal="center" vertical="top"/>
    </xf>
    <xf numFmtId="172" fontId="37" fillId="0" borderId="0" xfId="218" applyFont="1" applyFill="1" applyBorder="1" applyAlignment="1">
      <alignment vertical="top"/>
    </xf>
    <xf numFmtId="172" fontId="37" fillId="0" borderId="0" xfId="0" applyFont="1" applyFill="1" applyAlignment="1">
      <alignment horizontal="center" wrapText="1"/>
    </xf>
    <xf numFmtId="172" fontId="37" fillId="0" borderId="0" xfId="0" applyFont="1" applyFill="1"/>
    <xf numFmtId="172" fontId="37" fillId="0" borderId="0" xfId="0" applyFont="1" applyFill="1" applyAlignment="1">
      <alignment horizontal="left" wrapText="1"/>
    </xf>
    <xf numFmtId="0" fontId="37" fillId="15" borderId="0" xfId="201" applyFont="1" applyFill="1" applyAlignment="1">
      <alignment horizontal="left"/>
      <protection/>
    </xf>
    <xf numFmtId="9" fontId="37" fillId="15" borderId="0" xfId="201" applyNumberFormat="1" applyFont="1" applyFill="1">
      <alignment/>
      <protection/>
    </xf>
    <xf numFmtId="172" fontId="37" fillId="0" borderId="0" xfId="0" applyFont="1" applyFill="1" applyAlignment="1">
      <alignment/>
    </xf>
    <xf numFmtId="173" fontId="37" fillId="0" borderId="0" xfId="18" applyNumberFormat="1" applyFont="1" applyFill="1" applyAlignment="1">
      <alignment/>
    </xf>
    <xf numFmtId="173" fontId="37" fillId="15" borderId="0" xfId="18" applyNumberFormat="1" applyFont="1" applyFill="1" applyAlignment="1">
      <alignment/>
    </xf>
    <xf numFmtId="9" fontId="37" fillId="0" borderId="0" xfId="15" applyFont="1" applyFill="1" applyAlignment="1">
      <alignment/>
    </xf>
    <xf numFmtId="10" fontId="37" fillId="0" borderId="0" xfId="15" applyNumberFormat="1" applyFont="1" applyFill="1" applyAlignment="1">
      <alignment/>
    </xf>
    <xf numFmtId="173" fontId="37" fillId="15" borderId="1" xfId="18" applyNumberFormat="1" applyFont="1" applyFill="1" applyBorder="1" applyAlignment="1">
      <alignment/>
    </xf>
    <xf numFmtId="0" fontId="41" fillId="16" borderId="0" xfId="218" applyNumberFormat="1" applyFont="1" applyFill="1" applyAlignment="1">
      <alignment horizontal="right"/>
    </xf>
    <xf numFmtId="173" fontId="32" fillId="0" borderId="0" xfId="18" applyNumberFormat="1" applyFont="1" applyFill="1" applyAlignment="1" applyProtection="1">
      <alignment horizontal="center"/>
      <protection locked="0"/>
    </xf>
    <xf numFmtId="49" fontId="32" fillId="0" borderId="0" xfId="406" applyNumberFormat="1" applyFont="1" applyFill="1" applyAlignment="1">
      <alignment horizontal="center"/>
    </xf>
    <xf numFmtId="0" fontId="89" fillId="0" borderId="0" xfId="18" applyNumberFormat="1" applyFont="1" applyFill="1" applyAlignment="1">
      <alignment horizontal="center"/>
    </xf>
    <xf numFmtId="0" fontId="37" fillId="0" borderId="0" xfId="18" applyNumberFormat="1" applyFont="1" applyFill="1" applyAlignment="1">
      <alignment horizontal="center"/>
    </xf>
    <xf numFmtId="0" fontId="37" fillId="0" borderId="0" xfId="18" applyNumberFormat="1" applyFont="1" applyFill="1" applyAlignment="1">
      <alignment horizontal="center" vertical="top"/>
    </xf>
    <xf numFmtId="172" fontId="37" fillId="0" borderId="0" xfId="218" applyFont="1" applyFill="1" applyBorder="1" applyAlignment="1">
      <alignment horizontal="left"/>
    </xf>
    <xf numFmtId="173" fontId="87" fillId="15" borderId="0" xfId="405" applyNumberFormat="1" applyFont="1" applyFill="1" applyAlignment="1">
      <alignment horizontal="center"/>
      <protection/>
    </xf>
    <xf numFmtId="43" fontId="41" fillId="0" borderId="0" xfId="18" applyNumberFormat="1" applyFont="1" applyFill="1"/>
    <xf numFmtId="174" fontId="41" fillId="0" borderId="3" xfId="16" applyNumberFormat="1" applyFont="1" applyFill="1" applyBorder="1"/>
    <xf numFmtId="43" fontId="48" fillId="0" borderId="0" xfId="18" applyNumberFormat="1" applyFont="1" applyFill="1" applyBorder="1" applyAlignment="1">
      <alignment/>
    </xf>
    <xf numFmtId="173" fontId="32" fillId="0" borderId="0" xfId="18" applyNumberFormat="1" applyFont="1" applyFill="1" applyAlignment="1">
      <alignment horizontal="right"/>
    </xf>
    <xf numFmtId="173" fontId="32" fillId="0" borderId="0" xfId="18" applyNumberFormat="1" applyFont="1" applyAlignment="1">
      <alignment horizontal="right"/>
    </xf>
    <xf numFmtId="173" fontId="32" fillId="0" borderId="1" xfId="18" applyNumberFormat="1" applyFont="1" applyBorder="1" applyAlignment="1">
      <alignment horizontal="right"/>
    </xf>
    <xf numFmtId="173" fontId="32" fillId="0" borderId="0" xfId="0" applyNumberFormat="1" applyFont="1" applyAlignment="1">
      <alignment/>
    </xf>
    <xf numFmtId="173" fontId="32" fillId="0" borderId="1" xfId="18" applyNumberFormat="1" applyFont="1" applyBorder="1" applyAlignment="1">
      <alignment/>
    </xf>
    <xf numFmtId="278" fontId="41" fillId="0" borderId="0" xfId="228" applyNumberFormat="1" applyFont="1" applyFill="1" applyProtection="1">
      <alignment/>
      <protection locked="0"/>
    </xf>
    <xf numFmtId="174" fontId="41" fillId="15" borderId="0" xfId="16" applyNumberFormat="1" applyFont="1" applyFill="1" applyAlignment="1" quotePrefix="1">
      <alignment horizontal="left"/>
    </xf>
    <xf numFmtId="173" fontId="41" fillId="15" borderId="0" xfId="18" applyNumberFormat="1" applyFont="1" applyFill="1" applyBorder="1" applyProtection="1">
      <protection locked="0"/>
    </xf>
    <xf numFmtId="0" fontId="87" fillId="15" borderId="0" xfId="405" applyFont="1" applyFill="1" applyAlignment="1">
      <alignment horizontal="left"/>
      <protection/>
    </xf>
    <xf numFmtId="169" fontId="37" fillId="0" borderId="0" xfId="0" applyNumberFormat="1" applyFont="1" applyFill="1" applyAlignment="1">
      <alignment/>
    </xf>
    <xf numFmtId="173" fontId="37" fillId="0" borderId="0" xfId="18" applyNumberFormat="1" applyFont="1" applyFill="1"/>
    <xf numFmtId="173" fontId="37" fillId="0" borderId="0" xfId="18" applyNumberFormat="1" applyFont="1" applyFill="1" applyAlignment="1" quotePrefix="1">
      <alignment horizontal="left"/>
    </xf>
    <xf numFmtId="49" fontId="41" fillId="0" borderId="0" xfId="0" applyNumberFormat="1" applyFont="1" applyFill="1" applyAlignment="1">
      <alignment horizontal="center" vertical="center"/>
    </xf>
    <xf numFmtId="174" fontId="41" fillId="0" borderId="10" xfId="16" applyNumberFormat="1" applyFont="1" applyFill="1" applyBorder="1"/>
    <xf numFmtId="172" fontId="32" fillId="0" borderId="0" xfId="0" applyFont="1"/>
    <xf numFmtId="172" fontId="80" fillId="0" borderId="0" xfId="0" applyFont="1" applyAlignment="1">
      <alignment/>
    </xf>
    <xf numFmtId="279" fontId="32" fillId="0" borderId="0" xfId="0" applyNumberFormat="1" applyFont="1" applyFill="1" applyAlignment="1">
      <alignment/>
    </xf>
    <xf numFmtId="172" fontId="37" fillId="0" borderId="0" xfId="0" applyFont="1" applyAlignment="1">
      <alignment/>
    </xf>
    <xf numFmtId="279" fontId="32" fillId="0" borderId="0" xfId="0" applyNumberFormat="1" applyFont="1" applyFill="1" applyAlignment="1">
      <alignment horizontal="center"/>
    </xf>
    <xf numFmtId="172" fontId="32" fillId="0" borderId="0" xfId="0" applyFont="1" applyAlignment="1">
      <alignment horizontal="center"/>
    </xf>
    <xf numFmtId="174" fontId="32" fillId="0" borderId="0" xfId="16" applyNumberFormat="1" applyFont="1" applyAlignment="1">
      <alignment/>
    </xf>
    <xf numFmtId="174" fontId="32" fillId="0" borderId="0" xfId="16" applyNumberFormat="1" applyFont="1" applyFill="1" applyAlignment="1">
      <alignment/>
    </xf>
    <xf numFmtId="174" fontId="32" fillId="15" borderId="0" xfId="16" applyNumberFormat="1" applyFont="1" applyFill="1" applyAlignment="1">
      <alignment/>
    </xf>
    <xf numFmtId="173" fontId="32" fillId="15" borderId="0" xfId="18" applyNumberFormat="1" applyFont="1" applyFill="1" applyAlignment="1">
      <alignment/>
    </xf>
    <xf numFmtId="173" fontId="32" fillId="15" borderId="1" xfId="18" applyNumberFormat="1" applyFont="1" applyFill="1" applyBorder="1" applyAlignment="1">
      <alignment/>
    </xf>
    <xf numFmtId="0" fontId="32" fillId="0" borderId="0" xfId="229" applyFont="1" applyFill="1">
      <alignment/>
      <protection/>
    </xf>
    <xf numFmtId="0" fontId="32" fillId="0" borderId="0" xfId="229" applyFont="1" applyFill="1" applyAlignment="1">
      <alignment horizontal="right"/>
      <protection/>
    </xf>
    <xf numFmtId="172" fontId="32" fillId="0" borderId="0" xfId="0" applyFont="1" applyFill="1" applyAlignment="1">
      <alignment horizontal="right"/>
    </xf>
    <xf numFmtId="0" fontId="32" fillId="0" borderId="0" xfId="0" applyNumberFormat="1" applyFont="1" applyFill="1" applyAlignment="1">
      <alignment horizontal="center"/>
    </xf>
    <xf numFmtId="0" fontId="32" fillId="0" borderId="0" xfId="0" applyNumberFormat="1" applyFont="1" applyAlignment="1">
      <alignment horizontal="center"/>
    </xf>
    <xf numFmtId="174" fontId="41" fillId="15" borderId="7" xfId="16" applyNumberFormat="1" applyFont="1" applyFill="1" applyBorder="1" applyAlignment="1">
      <alignment horizontal="center"/>
    </xf>
    <xf numFmtId="3" fontId="41" fillId="0" borderId="9" xfId="218" applyNumberFormat="1" applyFont="1" applyFill="1" applyBorder="1" applyAlignment="1">
      <alignment horizontal="center"/>
    </xf>
    <xf numFmtId="173" fontId="41" fillId="15" borderId="14" xfId="18" applyNumberFormat="1" applyFont="1" applyFill="1" applyBorder="1" applyAlignment="1">
      <alignment/>
    </xf>
    <xf numFmtId="172" fontId="89" fillId="0" borderId="0" xfId="0" applyFont="1" applyAlignment="1">
      <alignment/>
    </xf>
    <xf numFmtId="172" fontId="32" fillId="0" borderId="0" xfId="0" applyFont="1" applyFill="1" applyAlignment="1">
      <alignment horizontal="left" indent="2"/>
    </xf>
    <xf numFmtId="10" fontId="32" fillId="15" borderId="0" xfId="15" applyNumberFormat="1" applyFont="1" applyFill="1" applyAlignment="1">
      <alignment/>
    </xf>
    <xf numFmtId="172" fontId="80" fillId="0" borderId="0" xfId="0" applyFont="1" applyFill="1" applyAlignment="1">
      <alignment horizontal="left"/>
    </xf>
    <xf numFmtId="9" fontId="32" fillId="0" borderId="0" xfId="15" applyFont="1" applyFill="1" applyAlignment="1">
      <alignment/>
    </xf>
    <xf numFmtId="172" fontId="32" fillId="0" borderId="0" xfId="0" applyFont="1" applyFill="1"/>
    <xf numFmtId="173" fontId="37" fillId="15" borderId="9" xfId="556" applyNumberFormat="1" applyFont="1" applyFill="1" applyBorder="1" applyAlignment="1">
      <alignment/>
    </xf>
    <xf numFmtId="0" fontId="95" fillId="15" borderId="0" xfId="204" applyFont="1" applyFill="1" applyBorder="1" applyAlignment="1">
      <alignment/>
      <protection/>
    </xf>
    <xf numFmtId="173" fontId="95" fillId="15" borderId="0" xfId="18" applyNumberFormat="1" applyFont="1" applyFill="1" applyBorder="1"/>
    <xf numFmtId="173" fontId="32" fillId="0" borderId="0" xfId="18" applyNumberFormat="1" applyFont="1" applyFill="1" applyAlignment="1">
      <alignment/>
    </xf>
    <xf numFmtId="173" fontId="32" fillId="0" borderId="0" xfId="16" applyNumberFormat="1" applyFont="1" applyFill="1" applyAlignment="1">
      <alignment/>
    </xf>
    <xf numFmtId="173" fontId="32" fillId="0" borderId="0" xfId="16" applyNumberFormat="1" applyFont="1" applyAlignment="1">
      <alignment/>
    </xf>
    <xf numFmtId="173" fontId="32" fillId="0" borderId="0" xfId="0" applyNumberFormat="1" applyFont="1" applyFill="1" applyAlignment="1">
      <alignment/>
    </xf>
    <xf numFmtId="43" fontId="41" fillId="0" borderId="0" xfId="228" applyNumberFormat="1" applyFont="1" applyFill="1">
      <alignment/>
    </xf>
    <xf numFmtId="0" fontId="41" fillId="0" borderId="0" xfId="228" applyNumberFormat="1" applyFont="1" applyFill="1" applyAlignment="1" applyProtection="1">
      <alignment vertical="top" wrapText="1"/>
      <protection locked="0"/>
    </xf>
    <xf numFmtId="172" fontId="41" fillId="0" borderId="0" xfId="228" applyFont="1" applyFill="1" applyAlignment="1">
      <alignment horizontal="center"/>
    </xf>
    <xf numFmtId="0" fontId="41" fillId="0" borderId="0" xfId="205" applyNumberFormat="1" applyFont="1" applyFill="1" applyAlignment="1" quotePrefix="1">
      <alignment vertical="top" wrapText="1"/>
      <protection/>
    </xf>
    <xf numFmtId="0" fontId="41" fillId="0" borderId="0" xfId="205" applyNumberFormat="1" applyFont="1" applyFill="1" applyAlignment="1">
      <alignment vertical="top" wrapText="1"/>
      <protection/>
    </xf>
    <xf numFmtId="172" fontId="41" fillId="0" borderId="0" xfId="0" applyFont="1" applyFill="1" applyAlignment="1">
      <alignment horizontal="left" vertical="center" wrapText="1"/>
    </xf>
    <xf numFmtId="172" fontId="41" fillId="0" borderId="0" xfId="218" applyFont="1" applyFill="1" applyBorder="1" applyAlignment="1">
      <alignment horizontal="left"/>
    </xf>
    <xf numFmtId="172" fontId="41" fillId="0" borderId="18" xfId="0" applyFont="1" applyFill="1" applyBorder="1" applyAlignment="1">
      <alignment horizontal="center"/>
    </xf>
    <xf numFmtId="172" fontId="41" fillId="0" borderId="22" xfId="0" applyFont="1" applyFill="1" applyBorder="1" applyAlignment="1">
      <alignment horizontal="center"/>
    </xf>
    <xf numFmtId="172" fontId="41" fillId="0" borderId="16" xfId="0" applyFont="1" applyFill="1" applyBorder="1" applyAlignment="1">
      <alignment horizontal="center"/>
    </xf>
    <xf numFmtId="172" fontId="48" fillId="0" borderId="0" xfId="0" applyFont="1" applyFill="1" applyAlignment="1">
      <alignment horizontal="center"/>
    </xf>
    <xf numFmtId="172" fontId="37" fillId="0" borderId="0" xfId="0" applyFont="1" applyFill="1" applyAlignment="1">
      <alignment horizontal="center"/>
    </xf>
    <xf numFmtId="172" fontId="41" fillId="0" borderId="0" xfId="0" applyFont="1" applyFill="1" applyBorder="1" applyAlignment="1">
      <alignment horizontal="center"/>
    </xf>
    <xf numFmtId="0" fontId="32" fillId="0" borderId="0" xfId="218" applyNumberFormat="1" applyFont="1" applyFill="1" applyBorder="1" applyAlignment="1" applyProtection="1">
      <alignment horizontal="center"/>
      <protection locked="0"/>
    </xf>
    <xf numFmtId="0" fontId="32" fillId="0" borderId="0" xfId="228" applyNumberFormat="1" applyFont="1" applyFill="1" applyAlignment="1">
      <alignment horizontal="center"/>
    </xf>
    <xf numFmtId="172" fontId="41" fillId="15" borderId="0" xfId="0" applyFont="1" applyFill="1"/>
    <xf numFmtId="172" fontId="37" fillId="0" borderId="0" xfId="0" applyFont="1" applyAlignment="1">
      <alignment horizontal="left" vertical="center" indent="7"/>
    </xf>
    <xf numFmtId="173" fontId="32" fillId="0" borderId="0" xfId="18" applyNumberFormat="1" applyFont="1"/>
    <xf numFmtId="173" fontId="32" fillId="0" borderId="0" xfId="18" applyNumberFormat="1" applyFont="1" applyAlignment="1">
      <alignment horizontal="center"/>
    </xf>
    <xf numFmtId="0" fontId="32" fillId="0" borderId="0" xfId="414" applyFont="1" applyAlignment="1">
      <alignment horizontal="center"/>
      <protection/>
    </xf>
    <xf numFmtId="43" fontId="32" fillId="0" borderId="0" xfId="18" applyFont="1" applyAlignment="1">
      <alignment horizontal="center"/>
    </xf>
    <xf numFmtId="10" fontId="32" fillId="0" borderId="0" xfId="15" applyNumberFormat="1" applyFont="1" applyAlignment="1">
      <alignment horizontal="center"/>
    </xf>
    <xf numFmtId="0" fontId="32" fillId="0" borderId="0" xfId="414" applyFont="1">
      <alignment/>
      <protection/>
    </xf>
    <xf numFmtId="0" fontId="32" fillId="0" borderId="1" xfId="414" applyFont="1" applyBorder="1" applyAlignment="1">
      <alignment horizontal="center"/>
      <protection/>
    </xf>
    <xf numFmtId="43" fontId="32" fillId="0" borderId="1" xfId="18" applyFont="1" applyBorder="1" applyAlignment="1">
      <alignment horizontal="center"/>
    </xf>
    <xf numFmtId="173" fontId="32" fillId="0" borderId="1" xfId="18" applyNumberFormat="1" applyFont="1" applyBorder="1" applyAlignment="1">
      <alignment horizontal="center"/>
    </xf>
    <xf numFmtId="0" fontId="96" fillId="0" borderId="0" xfId="414" applyFont="1" applyAlignment="1">
      <alignment horizontal="center" vertical="center"/>
      <protection/>
    </xf>
    <xf numFmtId="0" fontId="97" fillId="0" borderId="0" xfId="414" applyFont="1" applyAlignment="1">
      <alignment horizontal="center" vertical="center"/>
      <protection/>
    </xf>
    <xf numFmtId="43" fontId="97" fillId="0" borderId="0" xfId="18" applyFont="1" applyAlignment="1">
      <alignment horizontal="center" vertical="center"/>
    </xf>
    <xf numFmtId="10" fontId="97" fillId="0" borderId="0" xfId="15" applyNumberFormat="1" applyFont="1" applyAlignment="1">
      <alignment horizontal="center" vertical="center"/>
    </xf>
    <xf numFmtId="173" fontId="97" fillId="0" borderId="0" xfId="18" applyNumberFormat="1" applyFont="1" applyAlignment="1">
      <alignment horizontal="center" vertical="center"/>
    </xf>
    <xf numFmtId="0" fontId="80" fillId="0" borderId="0" xfId="414" applyFont="1" applyAlignment="1">
      <alignment horizontal="center" vertical="center"/>
      <protection/>
    </xf>
    <xf numFmtId="0" fontId="32" fillId="0" borderId="0" xfId="414" applyFont="1" applyAlignment="1">
      <alignment horizontal="center" vertical="center"/>
      <protection/>
    </xf>
    <xf numFmtId="43" fontId="32" fillId="0" borderId="0" xfId="18" applyFont="1" applyAlignment="1">
      <alignment horizontal="center" vertical="center"/>
    </xf>
    <xf numFmtId="10" fontId="32" fillId="0" borderId="0" xfId="15" applyNumberFormat="1" applyFont="1" applyAlignment="1">
      <alignment horizontal="center" vertical="center"/>
    </xf>
    <xf numFmtId="173" fontId="32" fillId="0" borderId="0" xfId="18" applyNumberFormat="1" applyFont="1" applyAlignment="1">
      <alignment horizontal="center" vertical="center"/>
    </xf>
    <xf numFmtId="0" fontId="32" fillId="0" borderId="0" xfId="414" applyFont="1" applyAlignment="1">
      <alignment horizontal="left"/>
      <protection/>
    </xf>
    <xf numFmtId="0" fontId="32" fillId="0" borderId="0" xfId="414" applyFont="1" applyFill="1" applyAlignment="1">
      <alignment horizontal="center"/>
      <protection/>
    </xf>
    <xf numFmtId="2" fontId="32" fillId="0" borderId="0" xfId="414" applyNumberFormat="1" applyFont="1" applyFill="1" applyAlignment="1">
      <alignment horizontal="center"/>
      <protection/>
    </xf>
    <xf numFmtId="43" fontId="32" fillId="0" borderId="0" xfId="18" applyFont="1" applyFill="1" applyBorder="1" applyAlignment="1">
      <alignment horizontal="center"/>
    </xf>
    <xf numFmtId="182" fontId="32" fillId="0" borderId="0" xfId="18" applyNumberFormat="1" applyFont="1" applyFill="1" applyAlignment="1">
      <alignment/>
    </xf>
    <xf numFmtId="173" fontId="80" fillId="0" borderId="4" xfId="18" applyNumberFormat="1" applyFont="1" applyBorder="1" applyAlignment="1">
      <alignment horizontal="center"/>
    </xf>
    <xf numFmtId="0" fontId="80" fillId="0" borderId="0" xfId="414" applyFont="1" applyAlignment="1">
      <alignment horizontal="left" vertical="center"/>
      <protection/>
    </xf>
    <xf numFmtId="177" fontId="98" fillId="0" borderId="0" xfId="18" applyNumberFormat="1" applyFont="1" applyFill="1" applyAlignment="1">
      <alignment horizontal="center"/>
    </xf>
    <xf numFmtId="173" fontId="80" fillId="0" borderId="0" xfId="18" applyNumberFormat="1" applyFont="1" applyFill="1" applyBorder="1" applyAlignment="1">
      <alignment horizontal="center"/>
    </xf>
    <xf numFmtId="173" fontId="98" fillId="0" borderId="0" xfId="18" applyNumberFormat="1" applyFont="1" applyFill="1" applyAlignment="1">
      <alignment horizontal="center"/>
    </xf>
    <xf numFmtId="173" fontId="98" fillId="0" borderId="0" xfId="18" applyNumberFormat="1" applyFont="1" applyBorder="1" applyAlignment="1">
      <alignment horizontal="center"/>
    </xf>
    <xf numFmtId="0" fontId="32" fillId="0" borderId="0" xfId="414" applyFont="1" applyAlignment="1">
      <alignment horizontal="left" indent="1"/>
      <protection/>
    </xf>
    <xf numFmtId="0" fontId="32" fillId="0" borderId="0" xfId="414" applyFont="1" applyFill="1" applyAlignment="1">
      <alignment horizontal="right"/>
      <protection/>
    </xf>
    <xf numFmtId="173" fontId="32" fillId="0" borderId="0" xfId="18" applyNumberFormat="1" applyFont="1" applyFill="1"/>
    <xf numFmtId="173" fontId="32" fillId="15" borderId="0" xfId="18" applyNumberFormat="1" applyFont="1" applyFill="1" applyBorder="1" applyAlignment="1">
      <alignment/>
    </xf>
    <xf numFmtId="173" fontId="32" fillId="0" borderId="0" xfId="18" applyNumberFormat="1" applyFont="1" applyFill="1" applyBorder="1" applyAlignment="1">
      <alignment/>
    </xf>
    <xf numFmtId="173" fontId="32" fillId="0" borderId="0" xfId="18" applyNumberFormat="1" applyFont="1" applyFill="1" applyBorder="1"/>
    <xf numFmtId="173" fontId="99" fillId="0" borderId="21" xfId="18" applyNumberFormat="1" applyFont="1" applyFill="1" applyBorder="1" applyAlignment="1">
      <alignment/>
    </xf>
    <xf numFmtId="172" fontId="98" fillId="0" borderId="0" xfId="0" applyFont="1"/>
    <xf numFmtId="43" fontId="32" fillId="15" borderId="0" xfId="18" applyFont="1" applyFill="1" applyBorder="1" applyAlignment="1">
      <alignment horizontal="center"/>
    </xf>
    <xf numFmtId="10" fontId="32" fillId="0" borderId="0" xfId="0" applyNumberFormat="1" applyFont="1" applyFill="1" applyAlignment="1">
      <alignment horizontal="center" vertical="center" wrapText="1"/>
    </xf>
    <xf numFmtId="173" fontId="32" fillId="15" borderId="0" xfId="18" applyNumberFormat="1" applyFont="1" applyFill="1" applyAlignment="1">
      <alignment vertical="center" wrapText="1"/>
    </xf>
    <xf numFmtId="173" fontId="32" fillId="0" borderId="0" xfId="18" applyNumberFormat="1" applyFont="1" applyFill="1" applyAlignment="1">
      <alignment vertical="center" wrapText="1"/>
    </xf>
    <xf numFmtId="3" fontId="32" fillId="0" borderId="0" xfId="0" applyNumberFormat="1" applyFont="1"/>
    <xf numFmtId="172" fontId="101" fillId="0" borderId="0" xfId="0" applyFont="1"/>
    <xf numFmtId="10" fontId="32" fillId="0" borderId="0" xfId="0" applyNumberFormat="1" applyFont="1" applyFill="1" applyAlignment="1">
      <alignment vertical="center" wrapText="1"/>
    </xf>
    <xf numFmtId="173" fontId="99" fillId="0" borderId="21" xfId="18" applyNumberFormat="1" applyFont="1" applyFill="1" applyBorder="1" applyAlignment="1">
      <alignment vertical="center" wrapText="1"/>
    </xf>
    <xf numFmtId="172" fontId="102" fillId="0" borderId="0" xfId="0" applyFont="1" applyFill="1" applyAlignment="1">
      <alignment vertical="center" wrapText="1"/>
    </xf>
    <xf numFmtId="0" fontId="32" fillId="0" borderId="0" xfId="414" applyFont="1" applyFill="1" applyAlignment="1">
      <alignment horizontal="left"/>
      <protection/>
    </xf>
    <xf numFmtId="0" fontId="32" fillId="0" borderId="0" xfId="414" applyFont="1" applyFill="1" applyAlignment="1">
      <alignment horizontal="left" indent="1"/>
      <protection/>
    </xf>
    <xf numFmtId="10" fontId="32" fillId="0" borderId="0" xfId="0" applyNumberFormat="1" applyFont="1" applyFill="1" applyAlignment="1">
      <alignment horizontal="center"/>
    </xf>
    <xf numFmtId="43" fontId="32" fillId="0" borderId="0" xfId="18" applyNumberFormat="1" applyFont="1"/>
    <xf numFmtId="173" fontId="99" fillId="0" borderId="0" xfId="18" applyNumberFormat="1" applyFont="1" applyFill="1" applyBorder="1" applyAlignment="1">
      <alignment vertical="center" wrapText="1"/>
    </xf>
    <xf numFmtId="173" fontId="32" fillId="0" borderId="0" xfId="18" applyNumberFormat="1" applyFont="1" applyFill="1" applyAlignment="1">
      <alignment horizontal="right" vertical="center" wrapText="1"/>
    </xf>
    <xf numFmtId="43" fontId="32" fillId="15" borderId="0" xfId="18" applyFont="1" applyFill="1"/>
    <xf numFmtId="172" fontId="103" fillId="0" borderId="0" xfId="0" applyFont="1"/>
    <xf numFmtId="173" fontId="99" fillId="0" borderId="21" xfId="18" applyNumberFormat="1" applyFont="1" applyFill="1" applyBorder="1"/>
    <xf numFmtId="41" fontId="32" fillId="0" borderId="0" xfId="0" applyNumberFormat="1" applyFont="1"/>
    <xf numFmtId="41" fontId="32" fillId="0" borderId="0" xfId="0" applyNumberFormat="1" applyFont="1" applyBorder="1"/>
    <xf numFmtId="172" fontId="104" fillId="0" borderId="0" xfId="0" applyFont="1"/>
    <xf numFmtId="49" fontId="32" fillId="0" borderId="0" xfId="414" applyNumberFormat="1" applyFont="1" applyAlignment="1">
      <alignment horizontal="left" indent="1"/>
      <protection/>
    </xf>
    <xf numFmtId="0" fontId="32" fillId="0" borderId="0" xfId="414" applyFont="1" applyAlignment="1">
      <alignment vertical="top"/>
      <protection/>
    </xf>
    <xf numFmtId="172" fontId="32" fillId="0" borderId="0" xfId="0" applyFont="1" applyAlignment="1">
      <alignment vertical="top"/>
    </xf>
    <xf numFmtId="173" fontId="32" fillId="0" borderId="0" xfId="18" applyNumberFormat="1" applyFont="1" applyAlignment="1">
      <alignment vertical="top"/>
    </xf>
    <xf numFmtId="172" fontId="32" fillId="0" borderId="0" xfId="0" applyFont="1" applyAlignment="1">
      <alignment horizontal="left" vertical="center" wrapText="1"/>
    </xf>
    <xf numFmtId="0" fontId="32" fillId="0" borderId="0" xfId="399" applyNumberFormat="1" applyFont="1" applyFill="1" applyAlignment="1">
      <alignment horizontal="center"/>
      <protection/>
    </xf>
    <xf numFmtId="0" fontId="32" fillId="0" borderId="0" xfId="399" applyFont="1" applyFill="1" applyBorder="1" applyAlignment="1">
      <alignment horizontal="center"/>
      <protection/>
    </xf>
    <xf numFmtId="274" fontId="32" fillId="0" borderId="0" xfId="15" applyNumberFormat="1" applyFont="1" applyFill="1" applyBorder="1" applyAlignment="1">
      <alignment horizontal="center"/>
    </xf>
    <xf numFmtId="1" fontId="32" fillId="0" borderId="0" xfId="218" applyNumberFormat="1" applyFont="1" applyFill="1" applyAlignment="1">
      <alignment horizontal="left"/>
    </xf>
    <xf numFmtId="172" fontId="105" fillId="0" borderId="0" xfId="218" applyFont="1" applyFill="1" applyAlignment="1" quotePrefix="1">
      <alignment horizontal="left"/>
    </xf>
    <xf numFmtId="172" fontId="80" fillId="0" borderId="0" xfId="218" applyFont="1" applyFill="1" applyAlignment="1">
      <alignment/>
    </xf>
    <xf numFmtId="0" fontId="62" fillId="0" borderId="0" xfId="399" applyFont="1" applyFill="1" applyAlignment="1">
      <alignment horizontal="center" wrapText="1"/>
      <protection/>
    </xf>
    <xf numFmtId="0" fontId="62" fillId="0" borderId="0" xfId="399" applyFont="1" applyFill="1" applyBorder="1" applyAlignment="1">
      <alignment horizontal="center" wrapText="1"/>
      <protection/>
    </xf>
    <xf numFmtId="172" fontId="32" fillId="0" borderId="0" xfId="218" applyFont="1" applyFill="1" applyAlignment="1">
      <alignment/>
    </xf>
    <xf numFmtId="43" fontId="32" fillId="0" borderId="0" xfId="18" applyFont="1" applyFill="1" applyAlignment="1">
      <alignment/>
    </xf>
    <xf numFmtId="10" fontId="106" fillId="0" borderId="0" xfId="399" applyNumberFormat="1" applyFont="1" applyFill="1" applyBorder="1">
      <alignment/>
      <protection/>
    </xf>
    <xf numFmtId="43" fontId="62" fillId="0" borderId="0" xfId="18" applyFont="1" applyFill="1" applyBorder="1"/>
    <xf numFmtId="0" fontId="62" fillId="0" borderId="0" xfId="399" applyFont="1" applyFill="1" applyBorder="1">
      <alignment/>
      <protection/>
    </xf>
    <xf numFmtId="0" fontId="32" fillId="0" borderId="0" xfId="399" applyNumberFormat="1" applyFont="1" applyFill="1" applyBorder="1" applyAlignment="1">
      <alignment horizontal="center"/>
      <protection/>
    </xf>
    <xf numFmtId="0" fontId="62" fillId="0" borderId="0" xfId="399" applyFont="1" applyFill="1" applyBorder="1" applyAlignment="1">
      <alignment horizontal="center"/>
      <protection/>
    </xf>
    <xf numFmtId="10" fontId="62" fillId="0" borderId="0" xfId="399" applyNumberFormat="1" applyFont="1" applyFill="1" applyBorder="1">
      <alignment/>
      <protection/>
    </xf>
    <xf numFmtId="172" fontId="32" fillId="0" borderId="0" xfId="218" applyFont="1" applyFill="1" applyBorder="1" applyAlignment="1" quotePrefix="1">
      <alignment horizontal="left"/>
    </xf>
    <xf numFmtId="43" fontId="32" fillId="0" borderId="0" xfId="18" applyFont="1" applyFill="1" applyBorder="1" applyAlignment="1">
      <alignment/>
    </xf>
    <xf numFmtId="0" fontId="107" fillId="0" borderId="0" xfId="399" applyFont="1" applyFill="1" applyBorder="1">
      <alignment/>
      <protection/>
    </xf>
    <xf numFmtId="172" fontId="32" fillId="0" borderId="0" xfId="218" applyFont="1" applyFill="1" applyAlignment="1">
      <alignment horizontal="left"/>
    </xf>
    <xf numFmtId="172" fontId="32" fillId="0" borderId="0" xfId="218" applyFont="1" applyFill="1" applyBorder="1" applyAlignment="1">
      <alignment/>
    </xf>
    <xf numFmtId="0" fontId="62" fillId="0" borderId="0" xfId="399" applyFont="1" applyFill="1">
      <alignment/>
      <protection/>
    </xf>
    <xf numFmtId="172" fontId="41" fillId="0" borderId="12" xfId="218" applyFont="1" applyFill="1" applyBorder="1" applyAlignment="1">
      <alignment/>
    </xf>
    <xf numFmtId="172" fontId="41" fillId="0" borderId="12" xfId="218" applyFont="1" applyFill="1" applyBorder="1" applyAlignment="1">
      <alignment horizontal="center"/>
    </xf>
    <xf numFmtId="173" fontId="41" fillId="0" borderId="0" xfId="18" applyNumberFormat="1" applyFont="1" applyFill="1" applyAlignment="1">
      <alignment horizontal="left"/>
    </xf>
    <xf numFmtId="0" fontId="109" fillId="0" borderId="0" xfId="201" applyFont="1" applyFill="1">
      <alignment/>
      <protection/>
    </xf>
    <xf numFmtId="0" fontId="41" fillId="0" borderId="0" xfId="201" applyFont="1" applyFill="1">
      <alignment/>
      <protection/>
    </xf>
    <xf numFmtId="173" fontId="48" fillId="0" borderId="0" xfId="18" applyNumberFormat="1" applyFont="1" applyFill="1" applyAlignment="1">
      <alignment/>
    </xf>
    <xf numFmtId="172" fontId="32" fillId="15" borderId="0" xfId="0" applyFont="1" applyFill="1" applyAlignment="1">
      <alignment/>
    </xf>
    <xf numFmtId="0" fontId="87" fillId="0" borderId="0" xfId="405" applyFont="1" applyFill="1">
      <alignment/>
      <protection/>
    </xf>
    <xf numFmtId="0" fontId="87" fillId="0" borderId="0" xfId="405" applyFont="1" applyFill="1" applyAlignment="1">
      <alignment horizontal="left"/>
      <protection/>
    </xf>
    <xf numFmtId="0" fontId="87" fillId="0" borderId="0" xfId="405" applyFont="1" applyFill="1" applyBorder="1">
      <alignment/>
      <protection/>
    </xf>
    <xf numFmtId="0" fontId="37" fillId="0" borderId="0" xfId="405" applyFont="1" applyFill="1" applyBorder="1">
      <alignment/>
      <protection/>
    </xf>
    <xf numFmtId="0" fontId="37" fillId="0" borderId="0" xfId="405" applyFont="1" applyFill="1" applyBorder="1" applyAlignment="1">
      <alignment horizontal="right" wrapText="1"/>
      <protection/>
    </xf>
    <xf numFmtId="0" fontId="48" fillId="0" borderId="0" xfId="405" applyFont="1" applyFill="1" applyBorder="1" applyAlignment="1">
      <alignment horizontal="center"/>
      <protection/>
    </xf>
    <xf numFmtId="41" fontId="48" fillId="0" borderId="0" xfId="405" applyNumberFormat="1" applyFont="1" applyFill="1" applyBorder="1" applyAlignment="1">
      <alignment horizontal="center"/>
      <protection/>
    </xf>
    <xf numFmtId="41" fontId="110" fillId="0" borderId="0" xfId="405" applyNumberFormat="1" applyFont="1" applyFill="1" applyBorder="1" applyAlignment="1">
      <alignment horizontal="center"/>
      <protection/>
    </xf>
    <xf numFmtId="41" fontId="37" fillId="0" borderId="0" xfId="405" applyNumberFormat="1" applyFont="1" applyFill="1" applyBorder="1">
      <alignment/>
      <protection/>
    </xf>
    <xf numFmtId="0" fontId="37" fillId="0" borderId="0" xfId="405" applyFont="1" applyFill="1" applyBorder="1" applyAlignment="1">
      <alignment wrapText="1"/>
      <protection/>
    </xf>
    <xf numFmtId="0" fontId="92" fillId="0" borderId="0" xfId="405" applyFont="1" applyFill="1" applyBorder="1">
      <alignment/>
      <protection/>
    </xf>
    <xf numFmtId="0" fontId="110" fillId="0" borderId="0" xfId="405" applyFont="1" applyFill="1" applyBorder="1">
      <alignment/>
      <protection/>
    </xf>
    <xf numFmtId="173" fontId="37" fillId="0" borderId="0" xfId="408" applyNumberFormat="1" applyFont="1" applyFill="1" applyBorder="1"/>
    <xf numFmtId="41" fontId="37" fillId="0" borderId="0" xfId="405" applyNumberFormat="1" applyFont="1" applyFill="1" applyBorder="1" applyAlignment="1">
      <alignment wrapText="1"/>
      <protection/>
    </xf>
    <xf numFmtId="10" fontId="37" fillId="0" borderId="0" xfId="407" applyNumberFormat="1" applyFont="1" applyFill="1" applyBorder="1"/>
    <xf numFmtId="10" fontId="37" fillId="0" borderId="0" xfId="407" applyNumberFormat="1" applyFont="1" applyFill="1" applyBorder="1" applyAlignment="1">
      <alignment wrapText="1"/>
    </xf>
    <xf numFmtId="173" fontId="37" fillId="0" borderId="0" xfId="408" applyNumberFormat="1" applyFont="1" applyFill="1" applyBorder="1" applyAlignment="1">
      <alignment wrapText="1"/>
    </xf>
    <xf numFmtId="0" fontId="37" fillId="0" borderId="0" xfId="405" applyFont="1" applyFill="1" applyBorder="1" applyAlignment="1">
      <alignment horizontal="left"/>
      <protection/>
    </xf>
    <xf numFmtId="41" fontId="37" fillId="0" borderId="0" xfId="405" applyNumberFormat="1" applyFont="1" applyFill="1" applyBorder="1" applyAlignment="1">
      <alignment horizontal="left"/>
      <protection/>
    </xf>
    <xf numFmtId="0" fontId="37" fillId="0" borderId="0" xfId="405" applyFont="1" applyFill="1" applyAlignment="1">
      <alignment horizontal="left"/>
      <protection/>
    </xf>
    <xf numFmtId="41" fontId="37" fillId="0" borderId="0" xfId="405" applyNumberFormat="1" applyFont="1" applyFill="1" applyAlignment="1">
      <alignment horizontal="left"/>
      <protection/>
    </xf>
    <xf numFmtId="41" fontId="37" fillId="0" borderId="0" xfId="405" applyNumberFormat="1" applyFont="1" applyFill="1">
      <alignment/>
      <protection/>
    </xf>
    <xf numFmtId="0" fontId="37" fillId="0" borderId="0" xfId="405" applyFont="1" applyFill="1" applyAlignment="1">
      <alignment wrapText="1"/>
      <protection/>
    </xf>
    <xf numFmtId="0" fontId="48" fillId="0" borderId="0" xfId="405" applyFont="1" applyFill="1" applyAlignment="1">
      <alignment horizontal="center"/>
      <protection/>
    </xf>
    <xf numFmtId="41" fontId="48" fillId="0" borderId="0" xfId="405" applyNumberFormat="1" applyFont="1" applyFill="1" applyAlignment="1">
      <alignment horizontal="center"/>
      <protection/>
    </xf>
    <xf numFmtId="0" fontId="48" fillId="0" borderId="0" xfId="405" applyFont="1" applyFill="1" applyAlignment="1">
      <alignment horizontal="center" wrapText="1"/>
      <protection/>
    </xf>
    <xf numFmtId="0" fontId="110" fillId="0" borderId="0" xfId="405" applyFont="1" applyFill="1">
      <alignment/>
      <protection/>
    </xf>
    <xf numFmtId="41" fontId="110" fillId="0" borderId="0" xfId="405" applyNumberFormat="1" applyFont="1" applyFill="1" applyAlignment="1">
      <alignment horizontal="center"/>
      <protection/>
    </xf>
    <xf numFmtId="0" fontId="37" fillId="0" borderId="0" xfId="405" applyFont="1" applyFill="1">
      <alignment/>
      <protection/>
    </xf>
    <xf numFmtId="0" fontId="110" fillId="0" borderId="0" xfId="405" applyFont="1" applyFill="1" applyAlignment="1">
      <alignment horizontal="center" wrapText="1"/>
      <protection/>
    </xf>
    <xf numFmtId="0" fontId="41" fillId="0" borderId="0" xfId="405" applyFont="1" applyFill="1">
      <alignment/>
      <protection/>
    </xf>
    <xf numFmtId="41" fontId="41" fillId="0" borderId="0" xfId="405" applyNumberFormat="1" applyFont="1" applyFill="1">
      <alignment/>
      <protection/>
    </xf>
    <xf numFmtId="41" fontId="37" fillId="0" borderId="0" xfId="405" applyNumberFormat="1" applyFont="1" applyFill="1" applyAlignment="1">
      <alignment horizontal="center"/>
      <protection/>
    </xf>
    <xf numFmtId="41" fontId="37" fillId="15" borderId="9" xfId="456" applyNumberFormat="1" applyFont="1" applyFill="1" applyBorder="1">
      <alignment/>
      <protection/>
    </xf>
    <xf numFmtId="37" fontId="37" fillId="15" borderId="9" xfId="456" applyNumberFormat="1" applyFont="1" applyFill="1" applyBorder="1" applyAlignment="1">
      <alignment wrapText="1"/>
      <protection/>
    </xf>
    <xf numFmtId="0" fontId="86" fillId="0" borderId="0" xfId="412" applyFont="1" applyFill="1">
      <alignment/>
      <protection/>
    </xf>
    <xf numFmtId="0" fontId="87" fillId="0" borderId="0" xfId="405" applyFont="1" applyFill="1" applyBorder="1" applyAlignment="1">
      <alignment horizontal="left"/>
      <protection/>
    </xf>
    <xf numFmtId="41" fontId="37" fillId="15" borderId="22" xfId="456" applyNumberFormat="1" applyFont="1" applyFill="1" applyBorder="1">
      <alignment/>
      <protection/>
    </xf>
    <xf numFmtId="41" fontId="37" fillId="15" borderId="17" xfId="456" applyNumberFormat="1" applyFont="1" applyFill="1" applyBorder="1">
      <alignment/>
      <protection/>
    </xf>
    <xf numFmtId="37" fontId="37" fillId="15" borderId="23" xfId="456" applyNumberFormat="1" applyFont="1" applyFill="1" applyBorder="1" applyAlignment="1">
      <alignment wrapText="1"/>
      <protection/>
    </xf>
    <xf numFmtId="41" fontId="37" fillId="15" borderId="9" xfId="461" applyNumberFormat="1" applyFont="1" applyFill="1" applyBorder="1"/>
    <xf numFmtId="41" fontId="37" fillId="15" borderId="9" xfId="456" applyNumberFormat="1" applyFont="1" applyFill="1" applyBorder="1" applyAlignment="1">
      <alignment horizontal="left" vertical="top" wrapText="1"/>
      <protection/>
    </xf>
    <xf numFmtId="0" fontId="37" fillId="15" borderId="9" xfId="456" applyFont="1" applyFill="1" applyBorder="1" applyAlignment="1">
      <alignment wrapText="1"/>
      <protection/>
    </xf>
    <xf numFmtId="0" fontId="41" fillId="15" borderId="9" xfId="456" applyFont="1" applyFill="1" applyBorder="1" applyAlignment="1">
      <alignment wrapText="1"/>
      <protection/>
    </xf>
    <xf numFmtId="37" fontId="37" fillId="15" borderId="9" xfId="456" applyNumberFormat="1" applyFont="1" applyFill="1" applyBorder="1">
      <alignment/>
      <protection/>
    </xf>
    <xf numFmtId="41" fontId="41" fillId="15" borderId="9" xfId="456" applyNumberFormat="1" applyFont="1" applyFill="1" applyBorder="1">
      <alignment/>
      <protection/>
    </xf>
    <xf numFmtId="0" fontId="41" fillId="15" borderId="9" xfId="456" applyFont="1" applyFill="1" applyBorder="1">
      <alignment/>
      <protection/>
    </xf>
    <xf numFmtId="0" fontId="48" fillId="0" borderId="9" xfId="456" applyFont="1" applyFill="1" applyBorder="1">
      <alignment/>
      <protection/>
    </xf>
    <xf numFmtId="41" fontId="37" fillId="0" borderId="9" xfId="456" applyNumberFormat="1" applyFont="1" applyFill="1" applyBorder="1">
      <alignment/>
      <protection/>
    </xf>
    <xf numFmtId="37" fontId="37" fillId="0" borderId="9" xfId="456" applyNumberFormat="1" applyFont="1" applyFill="1" applyBorder="1" applyAlignment="1">
      <alignment wrapText="1"/>
      <protection/>
    </xf>
    <xf numFmtId="41" fontId="87" fillId="0" borderId="0" xfId="405" applyNumberFormat="1" applyFont="1" applyFill="1">
      <alignment/>
      <protection/>
    </xf>
    <xf numFmtId="0" fontId="48" fillId="0" borderId="0" xfId="405" applyFont="1" applyFill="1" applyBorder="1">
      <alignment/>
      <protection/>
    </xf>
    <xf numFmtId="41" fontId="48" fillId="0" borderId="0" xfId="405" applyNumberFormat="1" applyFont="1" applyFill="1" applyBorder="1">
      <alignment/>
      <protection/>
    </xf>
    <xf numFmtId="41" fontId="37" fillId="0" borderId="0" xfId="405" applyNumberFormat="1" applyFont="1" applyFill="1" applyBorder="1" applyAlignment="1">
      <alignment horizontal="center"/>
      <protection/>
    </xf>
    <xf numFmtId="37" fontId="37" fillId="0" borderId="0" xfId="405" applyNumberFormat="1" applyFont="1" applyFill="1" applyBorder="1" applyAlignment="1">
      <alignment horizontal="center" wrapText="1"/>
      <protection/>
    </xf>
    <xf numFmtId="0" fontId="48" fillId="0" borderId="18" xfId="405" applyFont="1" applyFill="1" applyBorder="1">
      <alignment/>
      <protection/>
    </xf>
    <xf numFmtId="41" fontId="48" fillId="0" borderId="3" xfId="405" applyNumberFormat="1" applyFont="1" applyFill="1" applyBorder="1">
      <alignment/>
      <protection/>
    </xf>
    <xf numFmtId="41" fontId="37" fillId="0" borderId="3" xfId="405" applyNumberFormat="1" applyFont="1" applyFill="1" applyBorder="1">
      <alignment/>
      <protection/>
    </xf>
    <xf numFmtId="41" fontId="37" fillId="0" borderId="3" xfId="405" applyNumberFormat="1" applyFont="1" applyFill="1" applyBorder="1" applyAlignment="1">
      <alignment horizontal="center"/>
      <protection/>
    </xf>
    <xf numFmtId="0" fontId="37" fillId="0" borderId="22" xfId="405" applyFont="1" applyFill="1" applyBorder="1" applyAlignment="1">
      <alignment horizontal="center" wrapText="1"/>
      <protection/>
    </xf>
    <xf numFmtId="0" fontId="48" fillId="0" borderId="10" xfId="405" applyFont="1" applyFill="1" applyBorder="1" applyAlignment="1">
      <alignment horizontal="left"/>
      <protection/>
    </xf>
    <xf numFmtId="0" fontId="37" fillId="0" borderId="12" xfId="405" applyFont="1" applyFill="1" applyBorder="1" applyAlignment="1">
      <alignment wrapText="1"/>
      <protection/>
    </xf>
    <xf numFmtId="41" fontId="48" fillId="0" borderId="0" xfId="405" applyNumberFormat="1" applyFont="1" applyFill="1" applyBorder="1" applyAlignment="1">
      <alignment horizontal="left"/>
      <protection/>
    </xf>
    <xf numFmtId="0" fontId="37" fillId="0" borderId="12" xfId="405" applyFont="1" applyFill="1" applyBorder="1" applyAlignment="1">
      <alignment horizontal="center" wrapText="1"/>
      <protection/>
    </xf>
    <xf numFmtId="0" fontId="48" fillId="0" borderId="10" xfId="405" applyFont="1" applyFill="1" applyBorder="1" applyAlignment="1">
      <alignment/>
      <protection/>
    </xf>
    <xf numFmtId="0" fontId="48" fillId="0" borderId="10" xfId="405" applyFont="1" applyFill="1" applyBorder="1">
      <alignment/>
      <protection/>
    </xf>
    <xf numFmtId="0" fontId="48" fillId="0" borderId="16" xfId="405" applyFont="1" applyFill="1" applyBorder="1" applyAlignment="1">
      <alignment horizontal="left"/>
      <protection/>
    </xf>
    <xf numFmtId="41" fontId="48" fillId="0" borderId="1" xfId="405" applyNumberFormat="1" applyFont="1" applyFill="1" applyBorder="1" applyAlignment="1">
      <alignment horizontal="left"/>
      <protection/>
    </xf>
    <xf numFmtId="41" fontId="37" fillId="0" borderId="1" xfId="405" applyNumberFormat="1" applyFont="1" applyFill="1" applyBorder="1">
      <alignment/>
      <protection/>
    </xf>
    <xf numFmtId="41" fontId="37" fillId="0" borderId="1" xfId="405" applyNumberFormat="1" applyFont="1" applyFill="1" applyBorder="1" applyAlignment="1">
      <alignment horizontal="center"/>
      <protection/>
    </xf>
    <xf numFmtId="0" fontId="37" fillId="0" borderId="19" xfId="405" applyFont="1" applyFill="1" applyBorder="1" applyAlignment="1">
      <alignment horizontal="center" wrapText="1"/>
      <protection/>
    </xf>
    <xf numFmtId="41" fontId="37" fillId="0" borderId="0" xfId="405" applyNumberFormat="1" applyFont="1" applyFill="1" applyBorder="1" applyAlignment="1">
      <alignment/>
      <protection/>
    </xf>
    <xf numFmtId="0" fontId="37" fillId="0" borderId="0" xfId="405" applyFont="1" applyFill="1" applyAlignment="1">
      <alignment horizontal="right" wrapText="1"/>
      <protection/>
    </xf>
    <xf numFmtId="0" fontId="110" fillId="0" borderId="0" xfId="405" applyFont="1" applyFill="1" applyBorder="1" applyAlignment="1">
      <alignment wrapText="1"/>
      <protection/>
    </xf>
    <xf numFmtId="0" fontId="48" fillId="0" borderId="0" xfId="405" applyFont="1" applyFill="1" applyBorder="1" applyAlignment="1">
      <alignment horizontal="center" wrapText="1"/>
      <protection/>
    </xf>
    <xf numFmtId="0" fontId="41" fillId="0" borderId="0" xfId="405" applyFont="1" applyFill="1" applyBorder="1">
      <alignment/>
      <protection/>
    </xf>
    <xf numFmtId="41" fontId="41" fillId="0" borderId="0" xfId="405" applyNumberFormat="1" applyFont="1" applyFill="1" applyBorder="1">
      <alignment/>
      <protection/>
    </xf>
    <xf numFmtId="41" fontId="41" fillId="0" borderId="0" xfId="405" applyNumberFormat="1" applyFont="1" applyFill="1" applyBorder="1" applyAlignment="1">
      <alignment/>
      <protection/>
    </xf>
    <xf numFmtId="41" fontId="41" fillId="15" borderId="9" xfId="405" applyNumberFormat="1" applyFont="1" applyFill="1" applyBorder="1" applyAlignment="1">
      <alignment/>
      <protection/>
    </xf>
    <xf numFmtId="41" fontId="37" fillId="15" borderId="9" xfId="405" applyNumberFormat="1" applyFont="1" applyFill="1" applyBorder="1">
      <alignment/>
      <protection/>
    </xf>
    <xf numFmtId="37" fontId="37" fillId="15" borderId="9" xfId="405" applyNumberFormat="1" applyFont="1" applyFill="1" applyBorder="1" applyAlignment="1">
      <alignment wrapText="1"/>
      <protection/>
    </xf>
    <xf numFmtId="0" fontId="37" fillId="15" borderId="9" xfId="405" applyFont="1" applyFill="1" applyBorder="1" applyAlignment="1">
      <alignment wrapText="1"/>
      <protection/>
    </xf>
    <xf numFmtId="0" fontId="48" fillId="0" borderId="9" xfId="405" applyFont="1" applyFill="1" applyBorder="1">
      <alignment/>
      <protection/>
    </xf>
    <xf numFmtId="41" fontId="37" fillId="0" borderId="9" xfId="405" applyNumberFormat="1" applyFont="1" applyFill="1" applyBorder="1">
      <alignment/>
      <protection/>
    </xf>
    <xf numFmtId="0" fontId="37" fillId="0" borderId="9" xfId="405" applyFont="1" applyFill="1" applyBorder="1" applyAlignment="1">
      <alignment wrapText="1"/>
      <protection/>
    </xf>
    <xf numFmtId="41" fontId="37" fillId="15" borderId="9" xfId="464" applyNumberFormat="1" applyFont="1" applyFill="1" applyBorder="1">
      <alignment/>
      <protection/>
    </xf>
    <xf numFmtId="0" fontId="37" fillId="15" borderId="9" xfId="464" applyFont="1" applyFill="1" applyBorder="1" applyAlignment="1">
      <alignment wrapText="1"/>
      <protection/>
    </xf>
    <xf numFmtId="41" fontId="37" fillId="0" borderId="9" xfId="464" applyNumberFormat="1" applyFont="1" applyFill="1" applyBorder="1">
      <alignment/>
      <protection/>
    </xf>
    <xf numFmtId="0" fontId="37" fillId="0" borderId="9" xfId="464" applyFont="1" applyFill="1" applyBorder="1" applyAlignment="1">
      <alignment wrapText="1"/>
      <protection/>
    </xf>
    <xf numFmtId="41" fontId="111" fillId="0" borderId="0" xfId="405" applyNumberFormat="1" applyFont="1" applyFill="1" applyBorder="1">
      <alignment/>
      <protection/>
    </xf>
    <xf numFmtId="37" fontId="37" fillId="0" borderId="0" xfId="405" applyNumberFormat="1" applyFont="1" applyFill="1" applyBorder="1" applyAlignment="1">
      <alignment wrapText="1"/>
      <protection/>
    </xf>
    <xf numFmtId="0" fontId="37" fillId="0" borderId="0" xfId="405" applyFont="1" applyFill="1" applyBorder="1" applyAlignment="1">
      <alignment horizontal="center" wrapText="1"/>
      <protection/>
    </xf>
    <xf numFmtId="0" fontId="48" fillId="0" borderId="24" xfId="405" applyFont="1" applyFill="1" applyBorder="1">
      <alignment/>
      <protection/>
    </xf>
    <xf numFmtId="41" fontId="48" fillId="0" borderId="25" xfId="405" applyNumberFormat="1" applyFont="1" applyFill="1" applyBorder="1">
      <alignment/>
      <protection/>
    </xf>
    <xf numFmtId="41" fontId="37" fillId="0" borderId="25" xfId="405" applyNumberFormat="1" applyFont="1" applyFill="1" applyBorder="1">
      <alignment/>
      <protection/>
    </xf>
    <xf numFmtId="41" fontId="37" fillId="0" borderId="25" xfId="405" applyNumberFormat="1" applyFont="1" applyFill="1" applyBorder="1" applyAlignment="1">
      <alignment horizontal="center"/>
      <protection/>
    </xf>
    <xf numFmtId="0" fontId="37" fillId="0" borderId="26" xfId="405" applyFont="1" applyFill="1" applyBorder="1" applyAlignment="1">
      <alignment horizontal="center" wrapText="1"/>
      <protection/>
    </xf>
    <xf numFmtId="41" fontId="48" fillId="0" borderId="0" xfId="405" applyNumberFormat="1" applyFont="1" applyFill="1" applyBorder="1" applyAlignment="1">
      <alignment horizontal="left" wrapText="1"/>
      <protection/>
    </xf>
    <xf numFmtId="0" fontId="37" fillId="0" borderId="27" xfId="405" applyFont="1" applyFill="1" applyBorder="1" applyAlignment="1">
      <alignment wrapText="1"/>
      <protection/>
    </xf>
    <xf numFmtId="0" fontId="37" fillId="0" borderId="27" xfId="405" applyFont="1" applyFill="1" applyBorder="1" applyAlignment="1">
      <alignment horizontal="center" wrapText="1"/>
      <protection/>
    </xf>
    <xf numFmtId="41" fontId="48" fillId="0" borderId="0" xfId="405" applyNumberFormat="1" applyFont="1" applyFill="1" applyBorder="1" applyAlignment="1">
      <alignment wrapText="1"/>
      <protection/>
    </xf>
    <xf numFmtId="0" fontId="48" fillId="0" borderId="28" xfId="405" applyFont="1" applyFill="1" applyBorder="1" applyAlignment="1">
      <alignment horizontal="left"/>
      <protection/>
    </xf>
    <xf numFmtId="41" fontId="48" fillId="0" borderId="8" xfId="405" applyNumberFormat="1" applyFont="1" applyFill="1" applyBorder="1" applyAlignment="1">
      <alignment horizontal="left"/>
      <protection/>
    </xf>
    <xf numFmtId="41" fontId="37" fillId="0" borderId="8" xfId="405" applyNumberFormat="1" applyFont="1" applyFill="1" applyBorder="1">
      <alignment/>
      <protection/>
    </xf>
    <xf numFmtId="41" fontId="37" fillId="0" borderId="8" xfId="405" applyNumberFormat="1" applyFont="1" applyFill="1" applyBorder="1" applyAlignment="1">
      <alignment horizontal="center"/>
      <protection/>
    </xf>
    <xf numFmtId="0" fontId="37" fillId="0" borderId="29" xfId="405" applyFont="1" applyFill="1" applyBorder="1" applyAlignment="1">
      <alignment horizontal="center" wrapText="1"/>
      <protection/>
    </xf>
    <xf numFmtId="0" fontId="48" fillId="0" borderId="0" xfId="405" applyFont="1" applyFill="1" applyBorder="1" applyAlignment="1">
      <alignment/>
      <protection/>
    </xf>
    <xf numFmtId="37" fontId="37" fillId="15" borderId="23" xfId="405" applyNumberFormat="1" applyFont="1" applyFill="1" applyBorder="1" applyAlignment="1">
      <alignment wrapText="1"/>
      <protection/>
    </xf>
    <xf numFmtId="0" fontId="41" fillId="15" borderId="9" xfId="405" applyFont="1" applyFill="1" applyBorder="1" applyAlignment="1">
      <alignment wrapText="1"/>
      <protection/>
    </xf>
    <xf numFmtId="37" fontId="37" fillId="15" borderId="9" xfId="405" applyNumberFormat="1" applyFont="1" applyFill="1" applyBorder="1">
      <alignment/>
      <protection/>
    </xf>
    <xf numFmtId="37" fontId="37" fillId="15" borderId="9" xfId="412" applyNumberFormat="1" applyFont="1" applyFill="1" applyBorder="1" applyAlignment="1">
      <alignment wrapText="1"/>
      <protection/>
    </xf>
    <xf numFmtId="37" fontId="41" fillId="15" borderId="9" xfId="405" applyNumberFormat="1" applyFont="1" applyFill="1" applyBorder="1">
      <alignment/>
      <protection/>
    </xf>
    <xf numFmtId="37" fontId="41" fillId="15" borderId="9" xfId="405" applyNumberFormat="1" applyFont="1" applyFill="1" applyBorder="1" applyAlignment="1">
      <alignment wrapText="1"/>
      <protection/>
    </xf>
    <xf numFmtId="0" fontId="41" fillId="15" borderId="9" xfId="405" applyFont="1" applyFill="1" applyBorder="1">
      <alignment/>
      <protection/>
    </xf>
    <xf numFmtId="37" fontId="41" fillId="15" borderId="9" xfId="405" applyNumberFormat="1" applyFont="1" applyFill="1" applyBorder="1" applyAlignment="1">
      <alignment wrapText="1" shrinkToFit="1"/>
      <protection/>
    </xf>
    <xf numFmtId="41" fontId="37" fillId="0" borderId="9" xfId="458" applyNumberFormat="1" applyFont="1" applyFill="1" applyBorder="1" applyAlignment="1">
      <alignment horizontal="right"/>
    </xf>
    <xf numFmtId="0" fontId="41" fillId="0" borderId="9" xfId="405" applyFont="1" applyFill="1" applyBorder="1" applyAlignment="1">
      <alignment wrapText="1"/>
      <protection/>
    </xf>
    <xf numFmtId="41" fontId="37" fillId="15" borderId="9" xfId="458" applyNumberFormat="1" applyFont="1" applyFill="1" applyBorder="1" applyAlignment="1">
      <alignment horizontal="right"/>
    </xf>
    <xf numFmtId="41" fontId="37" fillId="0" borderId="0" xfId="408" applyNumberFormat="1" applyFont="1" applyFill="1" applyBorder="1" applyAlignment="1">
      <alignment horizontal="right"/>
    </xf>
    <xf numFmtId="0" fontId="41" fillId="0" borderId="0" xfId="405" applyFont="1" applyFill="1" applyBorder="1" applyAlignment="1">
      <alignment wrapText="1"/>
      <protection/>
    </xf>
    <xf numFmtId="0" fontId="37" fillId="0" borderId="0" xfId="405" applyFont="1" applyFill="1" applyAlignment="1">
      <alignment horizontal="right"/>
      <protection/>
    </xf>
    <xf numFmtId="0" fontId="37" fillId="0" borderId="0" xfId="405" applyFont="1" applyFill="1" applyBorder="1" applyAlignment="1">
      <alignment horizontal="right"/>
      <protection/>
    </xf>
    <xf numFmtId="274" fontId="37" fillId="0" borderId="0" xfId="407" applyNumberFormat="1" applyFont="1" applyFill="1" applyBorder="1"/>
    <xf numFmtId="274" fontId="37" fillId="0" borderId="0" xfId="405" applyNumberFormat="1" applyFont="1" applyFill="1" applyBorder="1">
      <alignment/>
      <protection/>
    </xf>
    <xf numFmtId="0" fontId="110" fillId="0" borderId="0" xfId="405" applyFont="1" applyFill="1" applyAlignment="1">
      <alignment horizontal="center"/>
      <protection/>
    </xf>
    <xf numFmtId="41" fontId="37" fillId="15" borderId="9" xfId="411" applyNumberFormat="1" applyFont="1" applyFill="1" applyBorder="1"/>
    <xf numFmtId="41" fontId="37" fillId="15" borderId="22" xfId="405" applyNumberFormat="1" applyFont="1" applyFill="1" applyBorder="1">
      <alignment/>
      <protection/>
    </xf>
    <xf numFmtId="41" fontId="37" fillId="15" borderId="9" xfId="405" applyNumberFormat="1" applyFont="1" applyFill="1" applyBorder="1" applyAlignment="1">
      <alignment horizontal="left" vertical="top" wrapText="1"/>
      <protection/>
    </xf>
    <xf numFmtId="0" fontId="41" fillId="15" borderId="9" xfId="405" applyFont="1" applyFill="1" applyBorder="1" applyAlignment="1">
      <alignment/>
      <protection/>
    </xf>
    <xf numFmtId="41" fontId="92" fillId="15" borderId="9" xfId="405" applyNumberFormat="1" applyFont="1" applyFill="1" applyBorder="1">
      <alignment/>
      <protection/>
    </xf>
    <xf numFmtId="37" fontId="41" fillId="15" borderId="9" xfId="412" applyNumberFormat="1" applyFont="1" applyFill="1" applyBorder="1">
      <alignment/>
      <protection/>
    </xf>
    <xf numFmtId="37" fontId="41" fillId="15" borderId="9" xfId="405" applyNumberFormat="1" applyFont="1" applyFill="1" applyBorder="1" applyAlignment="1">
      <alignment/>
      <protection/>
    </xf>
    <xf numFmtId="0" fontId="37" fillId="15" borderId="9" xfId="405" applyFont="1" applyFill="1" applyBorder="1">
      <alignment/>
      <protection/>
    </xf>
    <xf numFmtId="41" fontId="41" fillId="15" borderId="9" xfId="405" applyNumberFormat="1" applyFont="1" applyFill="1" applyBorder="1">
      <alignment/>
      <protection/>
    </xf>
    <xf numFmtId="37" fontId="37" fillId="0" borderId="9" xfId="405" applyNumberFormat="1" applyFont="1" applyFill="1" applyBorder="1">
      <alignment/>
      <protection/>
    </xf>
    <xf numFmtId="37" fontId="37" fillId="0" borderId="0" xfId="405" applyNumberFormat="1" applyFont="1" applyFill="1" applyBorder="1" applyAlignment="1">
      <alignment horizontal="center"/>
      <protection/>
    </xf>
    <xf numFmtId="0" fontId="37" fillId="0" borderId="22" xfId="405" applyFont="1" applyFill="1" applyBorder="1" applyAlignment="1">
      <alignment horizontal="center"/>
      <protection/>
    </xf>
    <xf numFmtId="0" fontId="37" fillId="0" borderId="12" xfId="405" applyFont="1" applyFill="1" applyBorder="1">
      <alignment/>
      <protection/>
    </xf>
    <xf numFmtId="0" fontId="37" fillId="0" borderId="12" xfId="405" applyFont="1" applyFill="1" applyBorder="1" applyAlignment="1">
      <alignment horizontal="center"/>
      <protection/>
    </xf>
    <xf numFmtId="0" fontId="37" fillId="0" borderId="19" xfId="405" applyFont="1" applyFill="1" applyBorder="1" applyAlignment="1">
      <alignment horizontal="center"/>
      <protection/>
    </xf>
    <xf numFmtId="0" fontId="41" fillId="0" borderId="0" xfId="405" applyFont="1" applyFill="1" applyBorder="1" applyAlignment="1">
      <alignment horizontal="left"/>
      <protection/>
    </xf>
    <xf numFmtId="0" fontId="37" fillId="0" borderId="0" xfId="405" applyFont="1" applyFill="1" applyBorder="1" applyAlignment="1">
      <alignment/>
      <protection/>
    </xf>
    <xf numFmtId="0" fontId="37" fillId="0" borderId="9" xfId="405" applyFont="1" applyFill="1" applyBorder="1">
      <alignment/>
      <protection/>
    </xf>
    <xf numFmtId="37" fontId="37" fillId="0" borderId="0" xfId="405" applyNumberFormat="1" applyFont="1" applyFill="1" applyBorder="1">
      <alignment/>
      <protection/>
    </xf>
    <xf numFmtId="0" fontId="37" fillId="0" borderId="0" xfId="405" applyFont="1" applyFill="1" applyBorder="1" applyAlignment="1">
      <alignment horizontal="center"/>
      <protection/>
    </xf>
    <xf numFmtId="0" fontId="37" fillId="0" borderId="26" xfId="405" applyFont="1" applyFill="1" applyBorder="1" applyAlignment="1">
      <alignment horizontal="center"/>
      <protection/>
    </xf>
    <xf numFmtId="0" fontId="37" fillId="0" borderId="27" xfId="405" applyFont="1" applyFill="1" applyBorder="1" applyAlignment="1">
      <alignment/>
      <protection/>
    </xf>
    <xf numFmtId="0" fontId="37" fillId="0" borderId="27" xfId="405" applyFont="1" applyFill="1" applyBorder="1" applyAlignment="1">
      <alignment horizontal="center"/>
      <protection/>
    </xf>
    <xf numFmtId="0" fontId="37" fillId="0" borderId="29" xfId="405" applyFont="1" applyFill="1" applyBorder="1" applyAlignment="1">
      <alignment horizontal="center"/>
      <protection/>
    </xf>
    <xf numFmtId="0" fontId="48" fillId="0" borderId="0" xfId="405" applyFont="1" applyFill="1" applyBorder="1" applyAlignment="1">
      <alignment horizontal="left"/>
      <protection/>
    </xf>
    <xf numFmtId="37" fontId="37" fillId="15" borderId="9" xfId="412" applyNumberFormat="1" applyFont="1" applyFill="1" applyBorder="1">
      <alignment/>
      <protection/>
    </xf>
    <xf numFmtId="37" fontId="41" fillId="15" borderId="9" xfId="405" applyNumberFormat="1" applyFont="1" applyFill="1" applyBorder="1" applyAlignment="1">
      <alignment shrinkToFit="1"/>
      <protection/>
    </xf>
    <xf numFmtId="0" fontId="37" fillId="15" borderId="0" xfId="405" applyFont="1" applyFill="1">
      <alignment/>
      <protection/>
    </xf>
    <xf numFmtId="41" fontId="37" fillId="0" borderId="9" xfId="408" applyNumberFormat="1" applyFont="1" applyFill="1" applyBorder="1" applyAlignment="1">
      <alignment horizontal="right"/>
    </xf>
    <xf numFmtId="0" fontId="41" fillId="0" borderId="9" xfId="405" applyFont="1" applyFill="1" applyBorder="1">
      <alignment/>
      <protection/>
    </xf>
    <xf numFmtId="41" fontId="37" fillId="15" borderId="9" xfId="408" applyNumberFormat="1" applyFont="1" applyFill="1" applyBorder="1" applyAlignment="1">
      <alignment horizontal="right"/>
    </xf>
    <xf numFmtId="0" fontId="88" fillId="0" borderId="0" xfId="405" applyFont="1" applyFill="1" applyAlignment="1">
      <alignment/>
      <protection/>
    </xf>
    <xf numFmtId="0" fontId="89" fillId="0" borderId="0" xfId="405" applyFont="1" applyFill="1" applyAlignment="1">
      <alignment/>
      <protection/>
    </xf>
    <xf numFmtId="0" fontId="88" fillId="0" borderId="0" xfId="405" applyFont="1" applyFill="1" applyAlignment="1">
      <alignment horizontal="left"/>
      <protection/>
    </xf>
    <xf numFmtId="9" fontId="87" fillId="0" borderId="0" xfId="405" applyNumberFormat="1" applyFont="1" applyFill="1" applyAlignment="1">
      <alignment horizontal="center"/>
      <protection/>
    </xf>
    <xf numFmtId="9" fontId="88" fillId="0" borderId="0" xfId="407" applyNumberFormat="1" applyFont="1" applyFill="1" applyBorder="1" applyAlignment="1">
      <alignment horizontal="center"/>
    </xf>
    <xf numFmtId="182" fontId="87" fillId="0" borderId="0" xfId="408" applyNumberFormat="1" applyFont="1" applyFill="1" applyBorder="1" applyAlignment="1">
      <alignment horizontal="center"/>
    </xf>
    <xf numFmtId="182" fontId="87" fillId="0" borderId="0" xfId="408" applyNumberFormat="1" applyFont="1" applyFill="1" applyAlignment="1">
      <alignment horizontal="center"/>
    </xf>
    <xf numFmtId="10" fontId="87" fillId="0" borderId="0" xfId="407" applyNumberFormat="1" applyFont="1" applyFill="1" applyBorder="1" applyAlignment="1">
      <alignment horizontal="center"/>
    </xf>
    <xf numFmtId="0" fontId="32" fillId="0" borderId="0" xfId="405" applyFont="1" applyFill="1" applyBorder="1">
      <alignment/>
      <protection/>
    </xf>
    <xf numFmtId="175" fontId="37" fillId="15" borderId="0" xfId="408" applyNumberFormat="1" applyFont="1" applyFill="1"/>
    <xf numFmtId="10" fontId="87" fillId="0" borderId="0" xfId="407" applyNumberFormat="1" applyFont="1" applyFill="1"/>
    <xf numFmtId="173" fontId="87" fillId="15" borderId="0" xfId="18" applyNumberFormat="1" applyFont="1" applyFill="1"/>
    <xf numFmtId="173" fontId="87" fillId="15" borderId="0" xfId="18" applyNumberFormat="1" applyFont="1" applyFill="1" applyBorder="1"/>
    <xf numFmtId="182" fontId="87" fillId="0" borderId="0" xfId="408" applyNumberFormat="1" applyFont="1" applyFill="1"/>
    <xf numFmtId="0" fontId="102" fillId="0" borderId="0" xfId="409" applyFont="1" applyFill="1" applyBorder="1" applyAlignment="1">
      <alignment horizontal="center" vertical="center" wrapText="1"/>
      <protection/>
    </xf>
    <xf numFmtId="9" fontId="87" fillId="0" borderId="0" xfId="407" applyFont="1" applyFill="1"/>
    <xf numFmtId="0" fontId="102" fillId="0" borderId="0" xfId="409" applyFont="1" applyFill="1" applyBorder="1">
      <alignment/>
      <protection/>
    </xf>
    <xf numFmtId="0" fontId="102" fillId="0" borderId="0" xfId="409" applyFont="1" applyFill="1" applyBorder="1" applyAlignment="1">
      <alignment horizontal="left" vertical="center"/>
      <protection/>
    </xf>
    <xf numFmtId="15" fontId="102" fillId="0" borderId="0" xfId="409" applyNumberFormat="1" applyFont="1" applyFill="1" applyBorder="1" applyAlignment="1">
      <alignment vertical="center" wrapText="1"/>
      <protection/>
    </xf>
    <xf numFmtId="173" fontId="102" fillId="0" borderId="0" xfId="410" applyNumberFormat="1" applyFont="1" applyFill="1" applyBorder="1" applyAlignment="1">
      <alignment horizontal="right" vertical="center" wrapText="1"/>
    </xf>
    <xf numFmtId="173" fontId="102" fillId="0" borderId="0" xfId="410" applyNumberFormat="1" applyFont="1" applyFill="1" applyBorder="1" applyAlignment="1">
      <alignment vertical="center" wrapText="1"/>
    </xf>
    <xf numFmtId="10" fontId="102" fillId="0" borderId="0" xfId="407" applyNumberFormat="1" applyFont="1" applyFill="1" applyBorder="1"/>
    <xf numFmtId="43" fontId="87" fillId="0" borderId="0" xfId="408" applyFont="1" applyFill="1" applyBorder="1"/>
    <xf numFmtId="173" fontId="87" fillId="0" borderId="0" xfId="408" applyNumberFormat="1" applyFont="1" applyFill="1" applyBorder="1"/>
    <xf numFmtId="173" fontId="37" fillId="0" borderId="0" xfId="408" applyNumberFormat="1" applyFont="1" applyFill="1"/>
    <xf numFmtId="173" fontId="87" fillId="0" borderId="0" xfId="18" applyNumberFormat="1" applyFont="1" applyFill="1"/>
    <xf numFmtId="173" fontId="87" fillId="15" borderId="0" xfId="408" applyNumberFormat="1" applyFont="1" applyFill="1" applyBorder="1"/>
    <xf numFmtId="173" fontId="87" fillId="15" borderId="0" xfId="405" applyNumberFormat="1" applyFont="1" applyFill="1">
      <alignment/>
      <protection/>
    </xf>
    <xf numFmtId="173" fontId="87" fillId="0" borderId="0" xfId="405" applyNumberFormat="1" applyFont="1" applyFill="1">
      <alignment/>
      <protection/>
    </xf>
    <xf numFmtId="10" fontId="87" fillId="0" borderId="0" xfId="407" applyNumberFormat="1" applyFont="1" applyFill="1" applyBorder="1"/>
    <xf numFmtId="43" fontId="87" fillId="0" borderId="0" xfId="408" applyFont="1" applyFill="1"/>
    <xf numFmtId="173" fontId="87" fillId="15" borderId="0" xfId="408" applyNumberFormat="1" applyFont="1" applyFill="1"/>
    <xf numFmtId="182" fontId="32" fillId="0" borderId="0" xfId="408" applyNumberFormat="1" applyFont="1" applyFill="1" applyBorder="1"/>
    <xf numFmtId="9" fontId="32" fillId="0" borderId="0" xfId="407" applyFont="1" applyFill="1" applyBorder="1"/>
    <xf numFmtId="173" fontId="87" fillId="0" borderId="0" xfId="408" applyNumberFormat="1" applyFont="1" applyFill="1"/>
    <xf numFmtId="1" fontId="37" fillId="15" borderId="0" xfId="18" applyNumberFormat="1" applyFont="1" applyFill="1"/>
    <xf numFmtId="0" fontId="88" fillId="0" borderId="0" xfId="405" applyFont="1" applyFill="1">
      <alignment/>
      <protection/>
    </xf>
    <xf numFmtId="172" fontId="41" fillId="0" borderId="14" xfId="218" applyFont="1" applyFill="1" applyBorder="1" applyAlignment="1">
      <alignment horizontal="center"/>
    </xf>
    <xf numFmtId="0" fontId="32" fillId="0" borderId="0" xfId="218" applyNumberFormat="1" applyFont="1" applyFill="1" applyBorder="1" applyAlignment="1" applyProtection="1">
      <alignment/>
      <protection locked="0"/>
    </xf>
    <xf numFmtId="3" fontId="32" fillId="0" borderId="0" xfId="218" applyNumberFormat="1" applyFont="1" applyFill="1" applyBorder="1" applyAlignment="1">
      <alignment/>
    </xf>
    <xf numFmtId="0" fontId="32" fillId="0" borderId="0" xfId="218" applyNumberFormat="1" applyFont="1" applyFill="1" applyBorder="1" applyProtection="1">
      <alignment/>
      <protection locked="0"/>
    </xf>
    <xf numFmtId="0" fontId="32" fillId="0" borderId="0" xfId="218" applyNumberFormat="1" applyFont="1" applyFill="1" applyBorder="1">
      <alignment/>
    </xf>
    <xf numFmtId="0" fontId="32" fillId="0" borderId="0" xfId="218" applyNumberFormat="1" applyFont="1" applyFill="1" applyBorder="1" applyAlignment="1">
      <alignment horizontal="center"/>
    </xf>
    <xf numFmtId="274" fontId="32" fillId="0" borderId="0" xfId="15" applyNumberFormat="1" applyFont="1" applyFill="1" applyAlignment="1">
      <alignment horizontal="right"/>
    </xf>
    <xf numFmtId="182" fontId="32" fillId="0" borderId="0" xfId="18" applyNumberFormat="1" applyFont="1" applyFill="1" applyAlignment="1">
      <alignment horizontal="right"/>
    </xf>
    <xf numFmtId="43" fontId="62" fillId="0" borderId="0" xfId="18" applyNumberFormat="1" applyFont="1" applyFill="1" applyBorder="1" applyAlignment="1">
      <alignment/>
    </xf>
    <xf numFmtId="10" fontId="62" fillId="0" borderId="0" xfId="15" applyNumberFormat="1" applyFont="1" applyFill="1" applyBorder="1" applyAlignment="1">
      <alignment/>
    </xf>
    <xf numFmtId="3" fontId="72" fillId="0" borderId="0" xfId="218" applyNumberFormat="1" applyFont="1" applyFill="1" applyBorder="1" applyAlignment="1">
      <alignment/>
    </xf>
    <xf numFmtId="0" fontId="72" fillId="0" borderId="0" xfId="218" applyNumberFormat="1" applyFont="1" applyFill="1" applyBorder="1">
      <alignment/>
    </xf>
    <xf numFmtId="0" fontId="32" fillId="0" borderId="0" xfId="0" applyNumberFormat="1" applyFont="1" applyFill="1" applyBorder="1" applyAlignment="1">
      <alignment horizontal="left"/>
    </xf>
    <xf numFmtId="172" fontId="32" fillId="0" borderId="0" xfId="0" applyFont="1" applyFill="1" applyBorder="1" applyAlignment="1">
      <alignment horizontal="left"/>
    </xf>
    <xf numFmtId="3" fontId="32" fillId="0" borderId="0" xfId="0" applyNumberFormat="1" applyFont="1" applyFill="1" applyBorder="1" applyAlignment="1">
      <alignment/>
    </xf>
    <xf numFmtId="172" fontId="32" fillId="0" borderId="0" xfId="0" applyFont="1" applyFill="1" applyBorder="1"/>
    <xf numFmtId="3" fontId="32" fillId="0" borderId="0" xfId="0" applyNumberFormat="1" applyFont="1" applyFill="1" applyBorder="1" applyAlignment="1">
      <alignment horizontal="right"/>
    </xf>
    <xf numFmtId="172" fontId="112" fillId="0" borderId="0" xfId="0" applyFont="1" applyFill="1" applyBorder="1" applyAlignment="1">
      <alignment horizontal="center"/>
    </xf>
    <xf numFmtId="172" fontId="32" fillId="0" borderId="0" xfId="0" applyFont="1" applyFill="1" applyAlignment="1">
      <alignment horizontal="center"/>
    </xf>
    <xf numFmtId="172" fontId="109" fillId="0" borderId="0" xfId="0" applyFont="1" applyAlignment="1">
      <alignment vertical="center"/>
    </xf>
    <xf numFmtId="173" fontId="32" fillId="0" borderId="8" xfId="18" applyNumberFormat="1" applyFont="1" applyBorder="1" applyAlignment="1">
      <alignment/>
    </xf>
    <xf numFmtId="172" fontId="60" fillId="0" borderId="0" xfId="0" applyFont="1" applyFill="1"/>
    <xf numFmtId="0" fontId="41" fillId="0" borderId="8" xfId="18" applyNumberFormat="1" applyFont="1" applyFill="1" applyBorder="1" applyAlignment="1">
      <alignment horizontal="center"/>
    </xf>
    <xf numFmtId="172" fontId="32" fillId="0" borderId="8" xfId="0" applyFont="1" applyBorder="1" applyAlignment="1">
      <alignment/>
    </xf>
    <xf numFmtId="172" fontId="37" fillId="0" borderId="8" xfId="0" applyFont="1" applyBorder="1" applyAlignment="1">
      <alignment/>
    </xf>
    <xf numFmtId="0" fontId="32" fillId="0" borderId="0" xfId="0" applyNumberFormat="1" applyFont="1" applyAlignment="1">
      <alignment/>
    </xf>
    <xf numFmtId="172" fontId="37" fillId="0" borderId="0" xfId="0" applyFont="1" applyAlignment="1">
      <alignment horizontal="right" vertical="center"/>
    </xf>
    <xf numFmtId="172" fontId="37" fillId="0" borderId="0" xfId="0" applyFont="1" applyAlignment="1">
      <alignment horizontal="left" vertical="center"/>
    </xf>
    <xf numFmtId="172" fontId="32" fillId="0" borderId="0" xfId="0" applyFont="1" applyAlignment="1">
      <alignment horizontal="center" wrapText="1"/>
    </xf>
    <xf numFmtId="172" fontId="37" fillId="0" borderId="8" xfId="0" applyFont="1" applyFill="1" applyBorder="1" applyAlignment="1">
      <alignment/>
    </xf>
    <xf numFmtId="172" fontId="32" fillId="0" borderId="8" xfId="218" applyFont="1" applyFill="1" applyBorder="1" applyAlignment="1">
      <alignment/>
    </xf>
    <xf numFmtId="172" fontId="32" fillId="0" borderId="0" xfId="218" applyFont="1" applyFill="1" applyAlignment="1">
      <alignment horizontal="center"/>
    </xf>
    <xf numFmtId="0" fontId="32" fillId="0" borderId="8" xfId="414" applyFont="1" applyBorder="1" applyAlignment="1">
      <alignment horizontal="left"/>
      <protection/>
    </xf>
    <xf numFmtId="0" fontId="32" fillId="0" borderId="0" xfId="414" applyFont="1" applyAlignment="1">
      <alignment horizontal="center" vertical="top"/>
      <protection/>
    </xf>
    <xf numFmtId="0" fontId="32" fillId="0" borderId="0" xfId="414" applyFont="1" applyFill="1" applyAlignment="1">
      <alignment horizontal="center" vertical="top"/>
      <protection/>
    </xf>
    <xf numFmtId="0" fontId="41" fillId="0" borderId="8" xfId="0" applyNumberFormat="1" applyFont="1" applyFill="1" applyBorder="1" applyAlignment="1">
      <alignment horizontal="center"/>
    </xf>
    <xf numFmtId="0" fontId="87" fillId="0" borderId="8" xfId="405" applyFont="1" applyFill="1" applyBorder="1" applyAlignment="1">
      <alignment horizontal="left"/>
      <protection/>
    </xf>
    <xf numFmtId="172" fontId="41" fillId="0" borderId="8" xfId="0" applyFont="1" applyFill="1" applyBorder="1" applyAlignment="1">
      <alignment/>
    </xf>
    <xf numFmtId="173" fontId="41" fillId="14" borderId="11" xfId="18" applyNumberFormat="1" applyFont="1" applyFill="1" applyBorder="1" applyAlignment="1">
      <alignment/>
    </xf>
    <xf numFmtId="43" fontId="41" fillId="0" borderId="11" xfId="18" applyFont="1" applyFill="1" applyBorder="1"/>
    <xf numFmtId="174" fontId="41" fillId="0" borderId="14" xfId="16" applyNumberFormat="1" applyFont="1" applyFill="1" applyBorder="1"/>
    <xf numFmtId="172" fontId="48" fillId="0" borderId="0" xfId="0" applyFont="1" applyFill="1" applyAlignment="1">
      <alignment horizontal="center"/>
    </xf>
    <xf numFmtId="0" fontId="80" fillId="0" borderId="1" xfId="0" applyNumberFormat="1" applyFont="1" applyBorder="1" applyAlignment="1">
      <alignment horizontal="center"/>
    </xf>
    <xf numFmtId="3" fontId="80" fillId="0" borderId="0" xfId="0" applyNumberFormat="1" applyFont="1" applyFill="1" applyAlignment="1">
      <alignment/>
    </xf>
    <xf numFmtId="169" fontId="80" fillId="0" borderId="0" xfId="0" applyNumberFormat="1" applyFont="1" applyAlignment="1">
      <alignment/>
    </xf>
    <xf numFmtId="174" fontId="80" fillId="0" borderId="0" xfId="16" applyNumberFormat="1" applyFont="1" applyAlignment="1">
      <alignment/>
    </xf>
    <xf numFmtId="3" fontId="32" fillId="0" borderId="0" xfId="0" applyNumberFormat="1" applyFont="1" applyFill="1" applyAlignment="1">
      <alignment/>
    </xf>
    <xf numFmtId="172" fontId="32" fillId="0" borderId="0" xfId="0" applyFont="1" applyAlignment="1">
      <alignment wrapText="1"/>
    </xf>
    <xf numFmtId="174" fontId="41" fillId="15" borderId="0" xfId="16" applyNumberFormat="1" applyFont="1" applyFill="1" applyAlignment="1">
      <alignment/>
    </xf>
    <xf numFmtId="172" fontId="41" fillId="15" borderId="0" xfId="0" applyFont="1" applyFill="1" applyAlignment="1">
      <alignment/>
    </xf>
    <xf numFmtId="172" fontId="41" fillId="15" borderId="0" xfId="0" applyFont="1" applyFill="1" applyAlignment="1">
      <alignment horizontal="left"/>
    </xf>
    <xf numFmtId="10" fontId="41" fillId="15" borderId="0" xfId="15" applyNumberFormat="1" applyFont="1" applyFill="1" applyAlignment="1">
      <alignment/>
    </xf>
    <xf numFmtId="0" fontId="37" fillId="0" borderId="0" xfId="405" applyFont="1" applyFill="1" applyAlignment="1">
      <alignment horizontal="center"/>
      <protection/>
    </xf>
    <xf numFmtId="172" fontId="89" fillId="0" borderId="0" xfId="0" applyFont="1" applyFill="1" applyAlignment="1">
      <alignment horizontal="center"/>
    </xf>
    <xf numFmtId="172" fontId="37" fillId="0" borderId="0" xfId="0" applyFont="1"/>
    <xf numFmtId="172" fontId="89" fillId="0" borderId="0" xfId="0" applyFont="1"/>
    <xf numFmtId="172" fontId="37" fillId="0" borderId="0" xfId="0" applyFont="1" applyAlignment="1">
      <alignment horizontal="center"/>
    </xf>
    <xf numFmtId="172" fontId="89" fillId="0" borderId="0" xfId="0" applyFont="1" applyBorder="1" applyAlignment="1">
      <alignment horizontal="center"/>
    </xf>
    <xf numFmtId="0" fontId="37" fillId="0" borderId="0" xfId="0" applyNumberFormat="1" applyFont="1" applyAlignment="1">
      <alignment horizontal="center"/>
    </xf>
    <xf numFmtId="37" fontId="37" fillId="15" borderId="0" xfId="0" applyNumberFormat="1" applyFont="1" applyFill="1" applyAlignment="1">
      <alignment horizontal="right"/>
    </xf>
    <xf numFmtId="172" fontId="37" fillId="0" borderId="0" xfId="0" applyFont="1" applyAlignment="1">
      <alignment horizontal="right"/>
    </xf>
    <xf numFmtId="172" fontId="37" fillId="15" borderId="0" xfId="0" applyFont="1" applyFill="1" applyAlignment="1">
      <alignment horizontal="left" wrapText="1"/>
    </xf>
    <xf numFmtId="172" fontId="37" fillId="15" borderId="0" xfId="0" applyFont="1" applyFill="1"/>
    <xf numFmtId="37" fontId="37" fillId="15" borderId="1" xfId="0" applyNumberFormat="1" applyFont="1" applyFill="1" applyBorder="1" applyAlignment="1">
      <alignment horizontal="right"/>
    </xf>
    <xf numFmtId="37" fontId="37" fillId="0" borderId="0" xfId="0" applyNumberFormat="1" applyFont="1" applyAlignment="1">
      <alignment horizontal="right" wrapText="1"/>
    </xf>
    <xf numFmtId="172" fontId="37" fillId="0" borderId="0" xfId="0" applyFont="1" applyAlignment="1">
      <alignment horizontal="right" wrapText="1"/>
    </xf>
    <xf numFmtId="0" fontId="89" fillId="0" borderId="0" xfId="0" applyNumberFormat="1" applyFont="1" applyFill="1" applyBorder="1" applyAlignment="1">
      <alignment horizontal="center"/>
    </xf>
    <xf numFmtId="37" fontId="37" fillId="0" borderId="0" xfId="0" applyNumberFormat="1" applyFont="1" applyFill="1" applyAlignment="1">
      <alignment horizontal="right"/>
    </xf>
    <xf numFmtId="37" fontId="37" fillId="0" borderId="0" xfId="0" applyNumberFormat="1" applyFont="1" applyAlignment="1">
      <alignment horizontal="right"/>
    </xf>
    <xf numFmtId="0" fontId="37" fillId="0" borderId="0" xfId="0" applyNumberFormat="1" applyFont="1" applyFill="1" applyBorder="1" applyAlignment="1">
      <alignment horizontal="left"/>
    </xf>
    <xf numFmtId="172" fontId="89" fillId="0" borderId="0" xfId="0" applyFont="1" applyFill="1" applyBorder="1"/>
    <xf numFmtId="37" fontId="89" fillId="0" borderId="0" xfId="0" applyNumberFormat="1" applyFont="1" applyFill="1"/>
    <xf numFmtId="41" fontId="37" fillId="15" borderId="1" xfId="0" applyNumberFormat="1" applyFont="1" applyFill="1" applyBorder="1" applyAlignment="1">
      <alignment horizontal="right"/>
    </xf>
    <xf numFmtId="41" fontId="37" fillId="0" borderId="0" xfId="0" applyNumberFormat="1" applyFont="1" applyFill="1" applyBorder="1" applyAlignment="1">
      <alignment horizontal="right"/>
    </xf>
    <xf numFmtId="37" fontId="37" fillId="0" borderId="0" xfId="0" applyNumberFormat="1" applyFont="1" applyFill="1"/>
    <xf numFmtId="41" fontId="101" fillId="0" borderId="0" xfId="0" applyNumberFormat="1" applyFont="1" applyFill="1" applyBorder="1" applyAlignment="1">
      <alignment horizontal="left"/>
    </xf>
    <xf numFmtId="172" fontId="91" fillId="0" borderId="0" xfId="0" applyFont="1" applyFill="1"/>
    <xf numFmtId="37" fontId="37" fillId="0" borderId="0" xfId="0" applyNumberFormat="1" applyFont="1" applyFill="1" applyAlignment="1">
      <alignment horizontal="right" wrapText="1"/>
    </xf>
    <xf numFmtId="37" fontId="37" fillId="15" borderId="0" xfId="0" applyNumberFormat="1" applyFont="1" applyFill="1"/>
    <xf numFmtId="173" fontId="37" fillId="15" borderId="0" xfId="18" applyNumberFormat="1" applyFont="1" applyFill="1" applyAlignment="1">
      <alignment horizontal="right"/>
    </xf>
    <xf numFmtId="0" fontId="41" fillId="0" borderId="0" xfId="209" applyFont="1" applyFill="1" applyAlignment="1">
      <alignment horizontal="center" vertical="center" wrapText="1"/>
      <protection/>
    </xf>
    <xf numFmtId="172" fontId="41" fillId="0" borderId="0" xfId="780" applyFont="1" applyFill="1" applyAlignment="1">
      <alignment/>
    </xf>
    <xf numFmtId="172" fontId="41" fillId="15" borderId="0" xfId="0" applyFont="1" applyFill="1" applyAlignment="1">
      <alignment horizontal="center" wrapText="1"/>
    </xf>
    <xf numFmtId="10" fontId="32" fillId="0" borderId="0" xfId="15" applyNumberFormat="1" applyFont="1" applyAlignment="1">
      <alignment/>
    </xf>
    <xf numFmtId="0" fontId="32" fillId="0" borderId="0" xfId="0" applyNumberFormat="1" applyFont="1" applyAlignment="1">
      <alignment horizontal="center" vertical="top"/>
    </xf>
    <xf numFmtId="172" fontId="32" fillId="0" borderId="0" xfId="0" applyFont="1" applyAlignment="1">
      <alignment horizontal="left" indent="1"/>
    </xf>
    <xf numFmtId="172" fontId="32" fillId="0" borderId="0" xfId="0" applyFont="1" applyAlignment="1">
      <alignment horizontal="left" indent="2"/>
    </xf>
    <xf numFmtId="172" fontId="32" fillId="0" borderId="0" xfId="0" applyFont="1" applyAlignment="1">
      <alignment horizontal="left" vertical="center" wrapText="1"/>
    </xf>
    <xf numFmtId="172" fontId="32" fillId="0" borderId="0" xfId="0" applyFont="1" applyAlignment="1">
      <alignment horizontal="right"/>
    </xf>
    <xf numFmtId="172" fontId="32" fillId="0" borderId="0" xfId="0" applyFont="1" applyAlignment="1">
      <alignment horizontal="left" vertical="center" wrapText="1"/>
    </xf>
    <xf numFmtId="172" fontId="32" fillId="0" borderId="0" xfId="0" applyFont="1" applyFill="1" applyAlignment="1">
      <alignment horizontal="left" wrapText="1"/>
    </xf>
    <xf numFmtId="172" fontId="32" fillId="0" borderId="0" xfId="0" applyFont="1" applyBorder="1" applyAlignment="1">
      <alignment horizontal="center"/>
    </xf>
    <xf numFmtId="0" fontId="32" fillId="0" borderId="0" xfId="414" applyFont="1" applyAlignment="1" quotePrefix="1">
      <alignment horizontal="center"/>
      <protection/>
    </xf>
    <xf numFmtId="43" fontId="32" fillId="0" borderId="0" xfId="18" applyFont="1" applyAlignment="1" quotePrefix="1">
      <alignment horizontal="center"/>
    </xf>
    <xf numFmtId="0" fontId="41" fillId="0" borderId="0" xfId="228" applyNumberFormat="1" applyFont="1">
      <alignment/>
    </xf>
    <xf numFmtId="172" fontId="80" fillId="0" borderId="0" xfId="0" applyFont="1" applyAlignment="1">
      <alignment horizontal="left" indent="1"/>
    </xf>
    <xf numFmtId="174" fontId="32" fillId="0" borderId="0" xfId="16" applyNumberFormat="1" applyFont="1" applyFill="1" applyBorder="1"/>
    <xf numFmtId="174" fontId="32" fillId="0" borderId="0" xfId="16" applyNumberFormat="1" applyFont="1"/>
    <xf numFmtId="172" fontId="32" fillId="0" borderId="0" xfId="0" applyFont="1" applyFill="1" applyBorder="1" applyAlignment="1">
      <alignment horizontal="center" wrapText="1"/>
    </xf>
    <xf numFmtId="10" fontId="32" fillId="0" borderId="0" xfId="15" applyNumberFormat="1" applyFont="1"/>
    <xf numFmtId="43" fontId="32" fillId="0" borderId="0" xfId="18" applyNumberFormat="1" applyFont="1" applyFill="1"/>
    <xf numFmtId="274" fontId="32" fillId="0" borderId="0" xfId="15" applyNumberFormat="1" applyFont="1" applyFill="1" applyAlignment="1">
      <alignment horizontal="center"/>
    </xf>
    <xf numFmtId="274" fontId="98" fillId="0" borderId="0" xfId="18" applyNumberFormat="1" applyFont="1" applyFill="1" applyAlignment="1">
      <alignment horizontal="center"/>
    </xf>
    <xf numFmtId="274" fontId="32" fillId="0" borderId="0" xfId="0" applyNumberFormat="1" applyFont="1" applyFill="1" applyAlignment="1">
      <alignment horizontal="center" vertical="center" wrapText="1"/>
    </xf>
    <xf numFmtId="274" fontId="32" fillId="0" borderId="0" xfId="0" applyNumberFormat="1" applyFont="1" applyFill="1" applyAlignment="1">
      <alignment horizontal="center"/>
    </xf>
    <xf numFmtId="173" fontId="32" fillId="0" borderId="0" xfId="18" applyNumberFormat="1" applyFont="1" applyAlignment="1">
      <alignment horizontal="left" vertical="center" wrapText="1"/>
    </xf>
    <xf numFmtId="274" fontId="32" fillId="0" borderId="0" xfId="0" applyNumberFormat="1" applyFont="1" applyAlignment="1">
      <alignment horizontal="center"/>
    </xf>
    <xf numFmtId="173" fontId="32" fillId="15" borderId="0" xfId="18" applyNumberFormat="1" applyFont="1" applyFill="1"/>
    <xf numFmtId="172" fontId="32" fillId="0" borderId="0" xfId="0" applyFont="1" applyBorder="1"/>
    <xf numFmtId="280" fontId="32" fillId="0" borderId="0" xfId="0" applyNumberFormat="1" applyFont="1" applyBorder="1"/>
    <xf numFmtId="173" fontId="80" fillId="0" borderId="0" xfId="18" applyNumberFormat="1" applyFont="1" applyBorder="1" applyAlignment="1">
      <alignment horizontal="center"/>
    </xf>
    <xf numFmtId="280" fontId="32" fillId="0" borderId="0" xfId="15" applyNumberFormat="1" applyFont="1" applyBorder="1"/>
    <xf numFmtId="173" fontId="99" fillId="0" borderId="0" xfId="18" applyNumberFormat="1" applyFont="1" applyFill="1" applyBorder="1" applyAlignment="1">
      <alignment/>
    </xf>
    <xf numFmtId="173" fontId="32" fillId="0" borderId="0" xfId="18" applyNumberFormat="1" applyFont="1" applyBorder="1"/>
    <xf numFmtId="173" fontId="32" fillId="0" borderId="0" xfId="18" applyNumberFormat="1" applyFont="1" applyFill="1" applyBorder="1" applyAlignment="1">
      <alignment vertical="center" wrapText="1"/>
    </xf>
    <xf numFmtId="173" fontId="32" fillId="0" borderId="0" xfId="18" applyNumberFormat="1" applyFont="1" applyFill="1" applyBorder="1" applyAlignment="1">
      <alignment horizontal="right"/>
    </xf>
    <xf numFmtId="173" fontId="32" fillId="0" borderId="0" xfId="18" applyNumberFormat="1" applyFont="1" applyFill="1" applyBorder="1" applyAlignment="1">
      <alignment horizontal="right" vertical="center" wrapText="1"/>
    </xf>
    <xf numFmtId="173" fontId="32" fillId="15" borderId="0" xfId="18" applyNumberFormat="1" applyFont="1" applyFill="1" applyBorder="1" applyAlignment="1">
      <alignment horizontal="right" vertical="center" wrapText="1"/>
    </xf>
    <xf numFmtId="173" fontId="32" fillId="15" borderId="0" xfId="18" applyNumberFormat="1" applyFont="1" applyFill="1" applyBorder="1" applyAlignment="1">
      <alignment vertical="center" wrapText="1"/>
    </xf>
    <xf numFmtId="173" fontId="99" fillId="0" borderId="0" xfId="18" applyNumberFormat="1" applyFont="1" applyFill="1" applyBorder="1"/>
    <xf numFmtId="280" fontId="100" fillId="0" borderId="0" xfId="0" applyNumberFormat="1" applyFont="1" applyBorder="1" applyAlignment="1">
      <alignment horizontal="right"/>
    </xf>
    <xf numFmtId="172" fontId="32" fillId="0" borderId="0" xfId="0" applyFont="1" applyBorder="1" applyAlignment="1">
      <alignment vertical="top"/>
    </xf>
    <xf numFmtId="280" fontId="32" fillId="0" borderId="0" xfId="0" applyNumberFormat="1" applyFont="1" applyBorder="1" applyAlignment="1">
      <alignment vertical="top"/>
    </xf>
    <xf numFmtId="10" fontId="32" fillId="0" borderId="0" xfId="15" applyNumberFormat="1" applyFont="1" applyFill="1" applyAlignment="1">
      <alignment horizontal="center"/>
    </xf>
    <xf numFmtId="173" fontId="41" fillId="15" borderId="17" xfId="18" applyNumberFormat="1" applyFont="1" applyFill="1" applyBorder="1"/>
    <xf numFmtId="173" fontId="41" fillId="15" borderId="11" xfId="18" applyNumberFormat="1" applyFont="1" applyFill="1" applyBorder="1"/>
    <xf numFmtId="182" fontId="106" fillId="15" borderId="0" xfId="18" applyNumberFormat="1" applyFont="1" applyFill="1"/>
    <xf numFmtId="173" fontId="41" fillId="0" borderId="11" xfId="18" applyNumberFormat="1" applyFont="1" applyFill="1" applyBorder="1" applyAlignment="1">
      <alignment horizontal="center"/>
    </xf>
    <xf numFmtId="173" fontId="41" fillId="15" borderId="12" xfId="18" applyNumberFormat="1" applyFont="1" applyFill="1" applyBorder="1" applyAlignment="1">
      <alignment horizontal="center"/>
    </xf>
    <xf numFmtId="173" fontId="41" fillId="15" borderId="11" xfId="18" applyNumberFormat="1" applyFont="1" applyFill="1" applyBorder="1" applyAlignment="1">
      <alignment horizontal="center"/>
    </xf>
    <xf numFmtId="41" fontId="113" fillId="15" borderId="9" xfId="405" applyNumberFormat="1" applyFont="1" applyFill="1" applyBorder="1">
      <alignment/>
      <protection/>
    </xf>
    <xf numFmtId="172" fontId="41" fillId="15" borderId="0" xfId="226" applyFont="1" applyFill="1" applyBorder="1" applyAlignment="1" applyProtection="1">
      <alignment/>
      <protection locked="0"/>
    </xf>
    <xf numFmtId="172" fontId="41" fillId="15" borderId="0" xfId="218" applyFont="1" applyFill="1" applyBorder="1" applyAlignment="1" applyProtection="1">
      <alignment horizontal="left"/>
      <protection locked="0"/>
    </xf>
    <xf numFmtId="173" fontId="37" fillId="17" borderId="0" xfId="18" applyNumberFormat="1" applyFont="1" applyFill="1" applyBorder="1"/>
    <xf numFmtId="173" fontId="87" fillId="17" borderId="0" xfId="1137" applyNumberFormat="1" applyFont="1" applyFill="1" applyBorder="1"/>
    <xf numFmtId="173" fontId="87" fillId="17" borderId="0" xfId="1137" applyNumberFormat="1" applyFont="1" applyFill="1" applyBorder="1"/>
    <xf numFmtId="173" fontId="87" fillId="17" borderId="0" xfId="1137" applyNumberFormat="1" applyFont="1" applyFill="1" applyBorder="1"/>
    <xf numFmtId="173" fontId="87" fillId="17" borderId="0" xfId="1137" applyNumberFormat="1" applyFont="1" applyFill="1"/>
    <xf numFmtId="173" fontId="41" fillId="0" borderId="12" xfId="18" applyNumberFormat="1" applyFont="1" applyFill="1" applyBorder="1"/>
    <xf numFmtId="0" fontId="41" fillId="0" borderId="0" xfId="0" applyNumberFormat="1" applyFont="1" applyFill="1" applyBorder="1" applyAlignment="1">
      <alignment horizontal="left" vertical="top" wrapText="1"/>
    </xf>
    <xf numFmtId="0" fontId="41" fillId="0" borderId="0" xfId="228" applyNumberFormat="1" applyFont="1" applyFill="1" applyAlignment="1" applyProtection="1">
      <alignment vertical="top" wrapText="1"/>
      <protection locked="0"/>
    </xf>
    <xf numFmtId="0" fontId="41" fillId="0" borderId="0" xfId="205" applyNumberFormat="1" applyFont="1" applyFill="1" applyAlignment="1" quotePrefix="1">
      <alignment vertical="top" wrapText="1"/>
      <protection/>
    </xf>
    <xf numFmtId="0" fontId="41" fillId="0" borderId="0" xfId="205" applyNumberFormat="1" applyFont="1" applyFill="1" applyAlignment="1">
      <alignment vertical="top" wrapText="1"/>
      <protection/>
    </xf>
    <xf numFmtId="0" fontId="41" fillId="0" borderId="0" xfId="205" applyNumberFormat="1" applyFont="1" applyFill="1" applyAlignment="1" quotePrefix="1">
      <alignment horizontal="left" vertical="top" wrapText="1"/>
      <protection/>
    </xf>
    <xf numFmtId="172" fontId="41" fillId="0" borderId="0" xfId="228" applyFont="1" applyFill="1" applyAlignment="1">
      <alignment horizontal="center"/>
    </xf>
    <xf numFmtId="49" fontId="41" fillId="0" borderId="0" xfId="228" applyNumberFormat="1" applyFont="1" applyFill="1" applyAlignment="1" applyProtection="1">
      <alignment horizontal="center"/>
      <protection locked="0"/>
    </xf>
    <xf numFmtId="0" fontId="77" fillId="0" borderId="0" xfId="228" applyNumberFormat="1" applyFont="1" applyFill="1" applyAlignment="1" applyProtection="1">
      <alignment vertical="top" wrapText="1"/>
      <protection locked="0"/>
    </xf>
    <xf numFmtId="172" fontId="41" fillId="0" borderId="0" xfId="0" applyFont="1" applyFill="1" applyAlignment="1">
      <alignment horizontal="left" wrapText="1"/>
    </xf>
    <xf numFmtId="0" fontId="41" fillId="0" borderId="0" xfId="223" applyFont="1" applyFill="1" applyAlignment="1">
      <alignment vertical="top" wrapText="1"/>
    </xf>
    <xf numFmtId="172" fontId="41" fillId="0" borderId="0" xfId="0" applyFont="1" applyFill="1" applyAlignment="1">
      <alignment horizontal="left" vertical="center" wrapText="1"/>
    </xf>
    <xf numFmtId="172" fontId="41" fillId="0" borderId="0" xfId="218" applyFont="1" applyFill="1" applyBorder="1" applyAlignment="1">
      <alignment horizontal="left"/>
    </xf>
    <xf numFmtId="172" fontId="41" fillId="0" borderId="0" xfId="218" applyFont="1" applyFill="1" applyBorder="1" applyAlignment="1">
      <alignment horizontal="left" vertical="top" wrapText="1"/>
    </xf>
    <xf numFmtId="172" fontId="41" fillId="0" borderId="0" xfId="218" applyFont="1" applyFill="1" applyBorder="1" applyAlignment="1">
      <alignment horizontal="left" wrapText="1"/>
    </xf>
    <xf numFmtId="172" fontId="41" fillId="0" borderId="0" xfId="218" applyFont="1" applyFill="1" applyAlignment="1">
      <alignment horizontal="left" vertical="top" wrapText="1"/>
    </xf>
    <xf numFmtId="172" fontId="48" fillId="0" borderId="18" xfId="218" applyFont="1" applyFill="1" applyBorder="1" applyAlignment="1">
      <alignment horizontal="center"/>
    </xf>
    <xf numFmtId="172" fontId="48" fillId="0" borderId="16" xfId="218" applyFont="1" applyFill="1" applyBorder="1" applyAlignment="1">
      <alignment horizontal="center"/>
    </xf>
    <xf numFmtId="172" fontId="41" fillId="0" borderId="18" xfId="0" applyFont="1" applyFill="1" applyBorder="1" applyAlignment="1">
      <alignment horizontal="center"/>
    </xf>
    <xf numFmtId="172" fontId="41" fillId="0" borderId="22" xfId="0" applyFont="1" applyFill="1" applyBorder="1" applyAlignment="1">
      <alignment horizontal="center"/>
    </xf>
    <xf numFmtId="172" fontId="41" fillId="0" borderId="16" xfId="0" applyFont="1" applyFill="1" applyBorder="1" applyAlignment="1">
      <alignment horizontal="center"/>
    </xf>
    <xf numFmtId="172" fontId="41" fillId="0" borderId="19" xfId="0" applyFont="1" applyFill="1" applyBorder="1" applyAlignment="1">
      <alignment horizontal="center"/>
    </xf>
    <xf numFmtId="172" fontId="48" fillId="0" borderId="17" xfId="218" applyFont="1" applyFill="1" applyBorder="1" applyAlignment="1">
      <alignment horizontal="center" wrapText="1"/>
    </xf>
    <xf numFmtId="172" fontId="48" fillId="0" borderId="14" xfId="218" applyFont="1" applyFill="1" applyBorder="1" applyAlignment="1">
      <alignment horizontal="center" wrapText="1"/>
    </xf>
    <xf numFmtId="172" fontId="41" fillId="0" borderId="0" xfId="0" applyFont="1" applyFill="1" applyAlignment="1">
      <alignment horizontal="left" vertical="top" wrapText="1"/>
    </xf>
    <xf numFmtId="0" fontId="41" fillId="0" borderId="0" xfId="205" applyNumberFormat="1" applyFont="1" applyFill="1" applyAlignment="1">
      <alignment horizontal="left" vertical="top" wrapText="1"/>
      <protection/>
    </xf>
    <xf numFmtId="172" fontId="48" fillId="18" borderId="15" xfId="0" applyFont="1" applyFill="1" applyBorder="1" applyAlignment="1">
      <alignment horizontal="center"/>
    </xf>
    <xf numFmtId="172" fontId="48" fillId="18" borderId="7" xfId="0" applyFont="1" applyFill="1" applyBorder="1" applyAlignment="1">
      <alignment horizontal="center"/>
    </xf>
    <xf numFmtId="172" fontId="48" fillId="18" borderId="23" xfId="0" applyFont="1" applyFill="1" applyBorder="1" applyAlignment="1">
      <alignment horizontal="center"/>
    </xf>
    <xf numFmtId="0" fontId="48" fillId="18" borderId="15" xfId="229" applyFont="1" applyFill="1" applyBorder="1" applyAlignment="1">
      <alignment horizontal="center"/>
      <protection/>
    </xf>
    <xf numFmtId="0" fontId="48" fillId="18" borderId="7" xfId="229" applyFont="1" applyFill="1" applyBorder="1" applyAlignment="1">
      <alignment horizontal="center"/>
      <protection/>
    </xf>
    <xf numFmtId="0" fontId="48" fillId="18" borderId="23" xfId="229" applyFont="1" applyFill="1" applyBorder="1" applyAlignment="1">
      <alignment horizontal="center"/>
      <protection/>
    </xf>
    <xf numFmtId="172" fontId="48" fillId="0" borderId="0" xfId="0" applyFont="1" applyFill="1" applyAlignment="1">
      <alignment horizontal="center"/>
    </xf>
    <xf numFmtId="172" fontId="41" fillId="0" borderId="2" xfId="0" applyFont="1" applyFill="1" applyBorder="1" applyAlignment="1">
      <alignment horizontal="center"/>
    </xf>
    <xf numFmtId="0" fontId="70" fillId="0" borderId="0" xfId="205" applyNumberFormat="1" applyFont="1" applyFill="1" applyAlignment="1">
      <alignment horizontal="left" vertical="top" wrapText="1"/>
      <protection/>
    </xf>
    <xf numFmtId="0" fontId="88" fillId="0" borderId="0" xfId="405" applyFont="1" applyFill="1" applyAlignment="1">
      <alignment horizontal="center"/>
      <protection/>
    </xf>
    <xf numFmtId="49" fontId="89" fillId="0" borderId="0" xfId="405" applyNumberFormat="1" applyFont="1" applyFill="1" applyBorder="1" applyAlignment="1">
      <alignment horizontal="center"/>
      <protection/>
    </xf>
    <xf numFmtId="0" fontId="89" fillId="0" borderId="0" xfId="405" applyFont="1" applyFill="1" applyBorder="1" applyAlignment="1">
      <alignment horizontal="center"/>
      <protection/>
    </xf>
    <xf numFmtId="49" fontId="37" fillId="0" borderId="0" xfId="405" applyNumberFormat="1" applyFont="1" applyFill="1" applyBorder="1" applyAlignment="1">
      <alignment horizontal="center"/>
      <protection/>
    </xf>
    <xf numFmtId="0" fontId="37" fillId="0" borderId="0" xfId="405" applyFont="1" applyFill="1" applyBorder="1" applyAlignment="1">
      <alignment horizontal="center"/>
      <protection/>
    </xf>
    <xf numFmtId="0" fontId="89" fillId="0" borderId="0" xfId="201" applyFont="1" applyFill="1" applyAlignment="1">
      <alignment horizontal="center"/>
      <protection/>
    </xf>
    <xf numFmtId="172" fontId="89" fillId="0" borderId="0" xfId="0" applyFont="1" applyFill="1" applyAlignment="1">
      <alignment horizontal="center"/>
    </xf>
    <xf numFmtId="0" fontId="86" fillId="0" borderId="0" xfId="414" applyFont="1" applyFill="1" applyAlignment="1">
      <alignment horizontal="center"/>
      <protection/>
    </xf>
    <xf numFmtId="0" fontId="108" fillId="0" borderId="0" xfId="201" applyFont="1" applyFill="1" applyAlignment="1">
      <alignment horizontal="center"/>
      <protection/>
    </xf>
    <xf numFmtId="172" fontId="38" fillId="0" borderId="0" xfId="0" applyFont="1" applyFill="1" applyAlignment="1">
      <alignment horizontal="center"/>
    </xf>
    <xf numFmtId="172" fontId="92" fillId="0" borderId="0" xfId="0" applyFont="1" applyFill="1" applyAlignment="1">
      <alignment horizontal="center"/>
    </xf>
    <xf numFmtId="172" fontId="37" fillId="0" borderId="0" xfId="0" applyFont="1" applyFill="1" applyAlignment="1">
      <alignment horizontal="center"/>
    </xf>
    <xf numFmtId="0" fontId="89" fillId="0" borderId="0" xfId="201" applyFont="1" applyAlignment="1">
      <alignment horizontal="center"/>
      <protection/>
    </xf>
    <xf numFmtId="172" fontId="92" fillId="0" borderId="0" xfId="0" applyFont="1" applyAlignment="1">
      <alignment horizontal="center"/>
    </xf>
    <xf numFmtId="172" fontId="41" fillId="0" borderId="0" xfId="0" applyFont="1" applyFill="1" applyBorder="1" applyAlignment="1">
      <alignment horizontal="center"/>
    </xf>
    <xf numFmtId="0" fontId="80" fillId="0" borderId="0" xfId="414" applyFont="1" applyAlignment="1">
      <alignment horizontal="center"/>
      <protection/>
    </xf>
    <xf numFmtId="0" fontId="32" fillId="0" borderId="0" xfId="414" applyFont="1" applyAlignment="1">
      <alignment horizontal="left" vertical="top" wrapText="1"/>
      <protection/>
    </xf>
    <xf numFmtId="0" fontId="32" fillId="0" borderId="0" xfId="414" applyFont="1" applyFill="1" applyAlignment="1">
      <alignment horizontal="left" vertical="top" wrapText="1"/>
      <protection/>
    </xf>
    <xf numFmtId="49" fontId="32" fillId="0" borderId="0" xfId="414" applyNumberFormat="1" applyFont="1" applyAlignment="1">
      <alignment horizontal="left" vertical="top" wrapText="1"/>
      <protection/>
    </xf>
    <xf numFmtId="173" fontId="80" fillId="0" borderId="30" xfId="18" applyNumberFormat="1" applyFont="1" applyFill="1" applyBorder="1" applyAlignment="1">
      <alignment horizontal="center"/>
    </xf>
    <xf numFmtId="173" fontId="80" fillId="0" borderId="6" xfId="18" applyNumberFormat="1" applyFont="1" applyFill="1" applyBorder="1" applyAlignment="1">
      <alignment horizontal="center"/>
    </xf>
    <xf numFmtId="173" fontId="80" fillId="0" borderId="31" xfId="18" applyNumberFormat="1" applyFont="1" applyFill="1" applyBorder="1" applyAlignment="1">
      <alignment horizontal="center"/>
    </xf>
    <xf numFmtId="172" fontId="32" fillId="0" borderId="0" xfId="0" applyFont="1" applyAlignment="1">
      <alignment horizontal="left" vertical="center" wrapText="1"/>
    </xf>
    <xf numFmtId="172" fontId="32" fillId="0" borderId="0" xfId="0" applyFont="1" applyFill="1" applyAlignment="1">
      <alignment horizontal="left" wrapText="1"/>
    </xf>
    <xf numFmtId="0" fontId="37" fillId="0" borderId="0" xfId="0" applyNumberFormat="1" applyFont="1" applyAlignment="1">
      <alignment horizontal="left" wrapText="1"/>
    </xf>
    <xf numFmtId="0" fontId="32" fillId="0" borderId="0" xfId="218" applyNumberFormat="1" applyFont="1" applyFill="1" applyBorder="1" applyAlignment="1" applyProtection="1">
      <alignment horizontal="center"/>
      <protection locked="0"/>
    </xf>
    <xf numFmtId="0" fontId="32" fillId="0" borderId="0" xfId="229" applyFont="1" applyFill="1" applyAlignment="1">
      <alignment horizontal="center"/>
      <protection/>
    </xf>
    <xf numFmtId="0" fontId="32" fillId="0" borderId="0" xfId="228" applyNumberFormat="1" applyFont="1" applyFill="1" applyAlignment="1">
      <alignment horizontal="center"/>
    </xf>
    <xf numFmtId="172" fontId="32" fillId="0" borderId="0" xfId="0" applyFont="1" applyAlignment="1">
      <alignment horizontal="left" wrapText="1"/>
    </xf>
  </cellXfs>
  <cellStyles count="1133">
    <cellStyle name="Normal" xfId="0"/>
    <cellStyle name="Percent" xfId="15"/>
    <cellStyle name="Currency" xfId="16"/>
    <cellStyle name="Currency [0]" xfId="17"/>
    <cellStyle name="Comma" xfId="18"/>
    <cellStyle name="Comma [0]" xfId="19"/>
    <cellStyle name="=C:\WINNT35\SYSTEM32\COMMAND.COM" xfId="20"/>
    <cellStyle name="¢ Currency [1]" xfId="21"/>
    <cellStyle name="¢ Currency [2]" xfId="22"/>
    <cellStyle name="¢ Currency [3]" xfId="23"/>
    <cellStyle name="£ Currency [0]" xfId="24"/>
    <cellStyle name="£ Currency [1]" xfId="25"/>
    <cellStyle name="£ Currency [2]" xfId="26"/>
    <cellStyle name="Basic" xfId="27"/>
    <cellStyle name="black" xfId="28"/>
    <cellStyle name="blu" xfId="29"/>
    <cellStyle name="bot" xfId="30"/>
    <cellStyle name="Bullet" xfId="31"/>
    <cellStyle name="Bullet [0]" xfId="32"/>
    <cellStyle name="Bullet [2]" xfId="33"/>
    <cellStyle name="Bullet [4]" xfId="34"/>
    <cellStyle name="c" xfId="35"/>
    <cellStyle name="c," xfId="36"/>
    <cellStyle name="c_HardInc " xfId="37"/>
    <cellStyle name="c_HardInc _ITC Great Plains Formula 1-12-09a" xfId="38"/>
    <cellStyle name="C00A" xfId="39"/>
    <cellStyle name="C00B" xfId="40"/>
    <cellStyle name="C00L" xfId="41"/>
    <cellStyle name="C01A" xfId="42"/>
    <cellStyle name="C01B" xfId="43"/>
    <cellStyle name="C01H" xfId="44"/>
    <cellStyle name="C01L" xfId="45"/>
    <cellStyle name="C02A" xfId="46"/>
    <cellStyle name="C02B" xfId="47"/>
    <cellStyle name="C02H" xfId="48"/>
    <cellStyle name="C02L" xfId="49"/>
    <cellStyle name="C03A" xfId="50"/>
    <cellStyle name="C03B" xfId="51"/>
    <cellStyle name="C03H" xfId="52"/>
    <cellStyle name="C03L" xfId="53"/>
    <cellStyle name="C04A" xfId="54"/>
    <cellStyle name="C04B" xfId="55"/>
    <cellStyle name="C04H" xfId="56"/>
    <cellStyle name="C04L" xfId="57"/>
    <cellStyle name="C05A" xfId="58"/>
    <cellStyle name="C05B" xfId="59"/>
    <cellStyle name="C05H" xfId="60"/>
    <cellStyle name="C05L" xfId="61"/>
    <cellStyle name="C05L 2" xfId="62"/>
    <cellStyle name="C06A" xfId="63"/>
    <cellStyle name="C06B" xfId="64"/>
    <cellStyle name="C06H" xfId="65"/>
    <cellStyle name="C06L" xfId="66"/>
    <cellStyle name="C07A" xfId="67"/>
    <cellStyle name="C07B" xfId="68"/>
    <cellStyle name="C07H" xfId="69"/>
    <cellStyle name="C07L" xfId="70"/>
    <cellStyle name="c1" xfId="71"/>
    <cellStyle name="c1," xfId="72"/>
    <cellStyle name="c2" xfId="73"/>
    <cellStyle name="c2," xfId="74"/>
    <cellStyle name="c3" xfId="75"/>
    <cellStyle name="cas" xfId="76"/>
    <cellStyle name="Centered Heading" xfId="77"/>
    <cellStyle name="Comma  - Style1" xfId="78"/>
    <cellStyle name="Comma  - Style2" xfId="79"/>
    <cellStyle name="Comma  - Style3" xfId="80"/>
    <cellStyle name="Comma  - Style4" xfId="81"/>
    <cellStyle name="Comma  - Style5" xfId="82"/>
    <cellStyle name="Comma  - Style6" xfId="83"/>
    <cellStyle name="Comma  - Style7" xfId="84"/>
    <cellStyle name="Comma  - Style8" xfId="85"/>
    <cellStyle name="Comma [0] 2" xfId="86"/>
    <cellStyle name="Comma [1]" xfId="87"/>
    <cellStyle name="Comma [2]" xfId="88"/>
    <cellStyle name="Comma [3]" xfId="89"/>
    <cellStyle name="Comma 0.0" xfId="90"/>
    <cellStyle name="Comma 0.00" xfId="91"/>
    <cellStyle name="Comma 0.000" xfId="92"/>
    <cellStyle name="Comma 0.0000" xfId="93"/>
    <cellStyle name="Comma 10" xfId="94"/>
    <cellStyle name="Comma 11" xfId="95"/>
    <cellStyle name="Comma 2" xfId="96"/>
    <cellStyle name="Comma 2 2" xfId="97"/>
    <cellStyle name="Comma 3" xfId="98"/>
    <cellStyle name="Comma 3 2" xfId="99"/>
    <cellStyle name="Comma 4" xfId="100"/>
    <cellStyle name="Comma 5" xfId="101"/>
    <cellStyle name="Comma 6" xfId="102"/>
    <cellStyle name="Comma 7" xfId="103"/>
    <cellStyle name="Comma 8" xfId="104"/>
    <cellStyle name="Comma 8 2" xfId="105"/>
    <cellStyle name="Comma 9" xfId="106"/>
    <cellStyle name="Comma Input" xfId="107"/>
    <cellStyle name="Comma0" xfId="108"/>
    <cellStyle name="Company Name" xfId="109"/>
    <cellStyle name="Config Data" xfId="110"/>
    <cellStyle name="Currency [1]" xfId="111"/>
    <cellStyle name="Currency [2]" xfId="112"/>
    <cellStyle name="Currency [3]" xfId="113"/>
    <cellStyle name="Currency 0.0" xfId="114"/>
    <cellStyle name="Currency 0.00" xfId="115"/>
    <cellStyle name="Currency 0.000" xfId="116"/>
    <cellStyle name="Currency 0.0000" xfId="117"/>
    <cellStyle name="Currency 2" xfId="118"/>
    <cellStyle name="Currency 2 2" xfId="119"/>
    <cellStyle name="Currency 3" xfId="120"/>
    <cellStyle name="Currency 3 2" xfId="121"/>
    <cellStyle name="Currency 4" xfId="122"/>
    <cellStyle name="Currency Input" xfId="123"/>
    <cellStyle name="Currency0" xfId="124"/>
    <cellStyle name="d" xfId="125"/>
    <cellStyle name="d," xfId="126"/>
    <cellStyle name="d1" xfId="127"/>
    <cellStyle name="d1," xfId="128"/>
    <cellStyle name="d2" xfId="129"/>
    <cellStyle name="d2," xfId="130"/>
    <cellStyle name="d3" xfId="131"/>
    <cellStyle name="Dash" xfId="132"/>
    <cellStyle name="Date" xfId="133"/>
    <cellStyle name="Date [Abbreviated]" xfId="134"/>
    <cellStyle name="Date [Long Europe]" xfId="135"/>
    <cellStyle name="Date [Long U.S.]" xfId="136"/>
    <cellStyle name="Date [Short Europe]" xfId="137"/>
    <cellStyle name="Date [Short U.S.]" xfId="138"/>
    <cellStyle name="Date_ITCM 2010 Template" xfId="139"/>
    <cellStyle name="Define$0" xfId="140"/>
    <cellStyle name="Define$1" xfId="141"/>
    <cellStyle name="Define$2" xfId="142"/>
    <cellStyle name="Define0" xfId="143"/>
    <cellStyle name="Define1" xfId="144"/>
    <cellStyle name="Define1x" xfId="145"/>
    <cellStyle name="Define2" xfId="146"/>
    <cellStyle name="Define2x" xfId="147"/>
    <cellStyle name="Dollar" xfId="148"/>
    <cellStyle name="e" xfId="149"/>
    <cellStyle name="e1" xfId="150"/>
    <cellStyle name="e2" xfId="151"/>
    <cellStyle name="Euro" xfId="152"/>
    <cellStyle name="Fixed" xfId="153"/>
    <cellStyle name="FOOTER - Style1" xfId="154"/>
    <cellStyle name="g" xfId="155"/>
    <cellStyle name="general" xfId="156"/>
    <cellStyle name="General [C]" xfId="157"/>
    <cellStyle name="General [R]" xfId="158"/>
    <cellStyle name="Green" xfId="159"/>
    <cellStyle name="grey" xfId="160"/>
    <cellStyle name="Header1" xfId="161"/>
    <cellStyle name="Header2" xfId="162"/>
    <cellStyle name="Heading" xfId="163"/>
    <cellStyle name="Heading 1" xfId="164"/>
    <cellStyle name="Heading 2" xfId="165"/>
    <cellStyle name="Heading 2 2" xfId="166"/>
    <cellStyle name="Heading No Underline" xfId="167"/>
    <cellStyle name="Heading With Underline" xfId="168"/>
    <cellStyle name="Heading1" xfId="169"/>
    <cellStyle name="Heading2" xfId="170"/>
    <cellStyle name="Headline" xfId="171"/>
    <cellStyle name="Highlight" xfId="172"/>
    <cellStyle name="Hyperlink 2" xfId="173"/>
    <cellStyle name="in" xfId="174"/>
    <cellStyle name="Indented [0]" xfId="175"/>
    <cellStyle name="Indented [2]" xfId="176"/>
    <cellStyle name="Indented [4]" xfId="177"/>
    <cellStyle name="Indented [6]" xfId="178"/>
    <cellStyle name="Input [yellow]" xfId="179"/>
    <cellStyle name="Input$0" xfId="180"/>
    <cellStyle name="Input$1" xfId="181"/>
    <cellStyle name="Input$2" xfId="182"/>
    <cellStyle name="Input0" xfId="183"/>
    <cellStyle name="Input1" xfId="184"/>
    <cellStyle name="Input1x" xfId="185"/>
    <cellStyle name="Input2" xfId="186"/>
    <cellStyle name="Input2x" xfId="187"/>
    <cellStyle name="lborder" xfId="188"/>
    <cellStyle name="LeftSubtitle" xfId="189"/>
    <cellStyle name="Lines" xfId="190"/>
    <cellStyle name="m" xfId="191"/>
    <cellStyle name="m1" xfId="192"/>
    <cellStyle name="m2" xfId="193"/>
    <cellStyle name="m3" xfId="194"/>
    <cellStyle name="Multiple" xfId="195"/>
    <cellStyle name="Negative" xfId="196"/>
    <cellStyle name="no dec" xfId="197"/>
    <cellStyle name="Normal - Style1" xfId="198"/>
    <cellStyle name="Normal 10" xfId="199"/>
    <cellStyle name="Normal 11" xfId="200"/>
    <cellStyle name="Normal 2" xfId="201"/>
    <cellStyle name="Normal 2 2" xfId="202"/>
    <cellStyle name="Normal 3" xfId="203"/>
    <cellStyle name="Normal 3 2" xfId="204"/>
    <cellStyle name="Normal 3_Attach O, GG, Support -New Method 2-14-11" xfId="205"/>
    <cellStyle name="Normal 4" xfId="206"/>
    <cellStyle name="Normal 4 2" xfId="207"/>
    <cellStyle name="Normal 4_Attach O, GG, Support -New Method 2-14-11" xfId="208"/>
    <cellStyle name="Normal 5" xfId="209"/>
    <cellStyle name="Normal 6" xfId="210"/>
    <cellStyle name="Normal 6 2" xfId="211"/>
    <cellStyle name="Normal 6 2 2" xfId="212"/>
    <cellStyle name="Normal 6 2 2 2" xfId="213"/>
    <cellStyle name="Normal 6 2 3" xfId="214"/>
    <cellStyle name="Normal 6 3" xfId="215"/>
    <cellStyle name="Normal 6 3 2" xfId="216"/>
    <cellStyle name="Normal 6 4" xfId="217"/>
    <cellStyle name="Normal 7" xfId="218"/>
    <cellStyle name="Normal 8" xfId="219"/>
    <cellStyle name="Normal 8 2" xfId="220"/>
    <cellStyle name="Normal 9" xfId="221"/>
    <cellStyle name="Normal 9 2" xfId="222"/>
    <cellStyle name="Normal_21 Exh B" xfId="223"/>
    <cellStyle name="Normal_ATC Projected 2008 Monthly Plant Balances for Attachment O 2 (2)" xfId="224"/>
    <cellStyle name="Normal_Attachment GG Example 8 26 09" xfId="225"/>
    <cellStyle name="Normal_Attachment GG Template ER11-28 11-18-10" xfId="226"/>
    <cellStyle name="Normal_Attachment O Support - 2004 True-up" xfId="227"/>
    <cellStyle name="Normal_Attachment Os for 2002 True-up" xfId="228"/>
    <cellStyle name="Normal_Schedule O Info for Mike" xfId="229"/>
    <cellStyle name="Output1_Back" xfId="230"/>
    <cellStyle name="p" xfId="231"/>
    <cellStyle name="p_2010 Attachment O  GG_082709" xfId="232"/>
    <cellStyle name="p_2010 Attachment O Template Supporting Work Papers_ITC Midwest" xfId="233"/>
    <cellStyle name="p_2010 Attachment O Template Supporting Work Papers_ITCTransmission" xfId="234"/>
    <cellStyle name="p_2010 Attachment O Template Supporting Work Papers_METC" xfId="235"/>
    <cellStyle name="p_2Mod11" xfId="236"/>
    <cellStyle name="p_aavidmod11.xls Chart 1" xfId="237"/>
    <cellStyle name="p_aavidmod11.xls Chart 2" xfId="238"/>
    <cellStyle name="p_Attachment O &amp; GG" xfId="239"/>
    <cellStyle name="p_charts for capm" xfId="240"/>
    <cellStyle name="p_DCF" xfId="241"/>
    <cellStyle name="p_DCF_2Mod11" xfId="242"/>
    <cellStyle name="p_DCF_aavidmod11.xls Chart 1" xfId="243"/>
    <cellStyle name="p_DCF_aavidmod11.xls Chart 2" xfId="244"/>
    <cellStyle name="p_DCF_charts for capm" xfId="245"/>
    <cellStyle name="p_DCF_DCF5" xfId="246"/>
    <cellStyle name="p_DCF_Template2" xfId="247"/>
    <cellStyle name="p_DCF_Template2_1" xfId="248"/>
    <cellStyle name="p_DCF_VERA" xfId="249"/>
    <cellStyle name="p_DCF_VERA_1" xfId="250"/>
    <cellStyle name="p_DCF_VERA_1_Template2" xfId="251"/>
    <cellStyle name="p_DCF_VERA_aavidmod11.xls Chart 2" xfId="252"/>
    <cellStyle name="p_DCF_VERA_Model02" xfId="253"/>
    <cellStyle name="p_DCF_VERA_Template2" xfId="254"/>
    <cellStyle name="p_DCF_VERA_VERA" xfId="255"/>
    <cellStyle name="p_DCF_VERA_VERA_1" xfId="256"/>
    <cellStyle name="p_DCF_VERA_VERA_2" xfId="257"/>
    <cellStyle name="p_DCF_VERA_VERA_Template2" xfId="258"/>
    <cellStyle name="p_DCF5" xfId="259"/>
    <cellStyle name="p_ITC Great Plains Formula 1-12-09a" xfId="260"/>
    <cellStyle name="p_ITCM 2010 Template" xfId="261"/>
    <cellStyle name="p_ITCMW 2009 Rate" xfId="262"/>
    <cellStyle name="p_ITCMW 2010 Rate_083109" xfId="263"/>
    <cellStyle name="p_ITCOP 2010 Rate_083109" xfId="264"/>
    <cellStyle name="p_ITCT 2009 Rate" xfId="265"/>
    <cellStyle name="p_ITCT New 2010 Attachment O &amp; GG_111209NL" xfId="266"/>
    <cellStyle name="p_METC 2010 Rate_083109" xfId="267"/>
    <cellStyle name="p_Template2" xfId="268"/>
    <cellStyle name="p_Template2_1" xfId="269"/>
    <cellStyle name="p_VERA" xfId="270"/>
    <cellStyle name="p_VERA_1" xfId="271"/>
    <cellStyle name="p_VERA_1_Template2" xfId="272"/>
    <cellStyle name="p_VERA_aavidmod11.xls Chart 2" xfId="273"/>
    <cellStyle name="p_VERA_Model02" xfId="274"/>
    <cellStyle name="p_VERA_Template2" xfId="275"/>
    <cellStyle name="p_VERA_VERA" xfId="276"/>
    <cellStyle name="p_VERA_VERA_1" xfId="277"/>
    <cellStyle name="p_VERA_VERA_2" xfId="278"/>
    <cellStyle name="p_VERA_VERA_Template2" xfId="279"/>
    <cellStyle name="p1" xfId="280"/>
    <cellStyle name="p2" xfId="281"/>
    <cellStyle name="p3" xfId="282"/>
    <cellStyle name="Percent %" xfId="283"/>
    <cellStyle name="Percent % Long Underline" xfId="284"/>
    <cellStyle name="Percent (0)" xfId="285"/>
    <cellStyle name="Percent [0]" xfId="286"/>
    <cellStyle name="Percent [1]" xfId="287"/>
    <cellStyle name="Percent [2]" xfId="288"/>
    <cellStyle name="Percent [3]" xfId="289"/>
    <cellStyle name="Percent 0.0%" xfId="290"/>
    <cellStyle name="Percent 0.0% Long Underline" xfId="291"/>
    <cellStyle name="Percent 0.00%" xfId="292"/>
    <cellStyle name="Percent 0.00% Long Underline" xfId="293"/>
    <cellStyle name="Percent 0.000%" xfId="294"/>
    <cellStyle name="Percent 0.000% Long Underline" xfId="295"/>
    <cellStyle name="Percent 0.0000%" xfId="296"/>
    <cellStyle name="Percent 0.0000% Long Underline" xfId="297"/>
    <cellStyle name="Percent 2" xfId="298"/>
    <cellStyle name="Percent 2 2" xfId="299"/>
    <cellStyle name="Percent 3" xfId="300"/>
    <cellStyle name="Percent 3 2" xfId="301"/>
    <cellStyle name="Percent 4" xfId="302"/>
    <cellStyle name="Percent 5" xfId="303"/>
    <cellStyle name="Percent 6" xfId="304"/>
    <cellStyle name="Percent 7" xfId="305"/>
    <cellStyle name="Percent Input" xfId="306"/>
    <cellStyle name="Percent0" xfId="307"/>
    <cellStyle name="Percent1" xfId="308"/>
    <cellStyle name="Percent2" xfId="309"/>
    <cellStyle name="PSChar" xfId="310"/>
    <cellStyle name="PSDate" xfId="311"/>
    <cellStyle name="PSDec" xfId="312"/>
    <cellStyle name="PSdesc" xfId="313"/>
    <cellStyle name="PSHeading" xfId="314"/>
    <cellStyle name="PSInt" xfId="315"/>
    <cellStyle name="PSSpacer" xfId="316"/>
    <cellStyle name="PStest" xfId="317"/>
    <cellStyle name="R00A" xfId="318"/>
    <cellStyle name="R00B" xfId="319"/>
    <cellStyle name="R00L" xfId="320"/>
    <cellStyle name="R01A" xfId="321"/>
    <cellStyle name="R01B" xfId="322"/>
    <cellStyle name="R01H" xfId="323"/>
    <cellStyle name="R01L" xfId="324"/>
    <cellStyle name="R02A" xfId="325"/>
    <cellStyle name="R02B" xfId="326"/>
    <cellStyle name="R02H" xfId="327"/>
    <cellStyle name="R02L" xfId="328"/>
    <cellStyle name="R03A" xfId="329"/>
    <cellStyle name="R03B" xfId="330"/>
    <cellStyle name="R03H" xfId="331"/>
    <cellStyle name="R03L" xfId="332"/>
    <cellStyle name="R04A" xfId="333"/>
    <cellStyle name="R04B" xfId="334"/>
    <cellStyle name="R04H" xfId="335"/>
    <cellStyle name="R04L" xfId="336"/>
    <cellStyle name="R05A" xfId="337"/>
    <cellStyle name="R05B" xfId="338"/>
    <cellStyle name="R05H" xfId="339"/>
    <cellStyle name="R05L" xfId="340"/>
    <cellStyle name="R05L 2" xfId="341"/>
    <cellStyle name="R06A" xfId="342"/>
    <cellStyle name="R06B" xfId="343"/>
    <cellStyle name="R06H" xfId="344"/>
    <cellStyle name="R06L" xfId="345"/>
    <cellStyle name="R07A" xfId="346"/>
    <cellStyle name="R07B" xfId="347"/>
    <cellStyle name="R07H" xfId="348"/>
    <cellStyle name="R07L" xfId="349"/>
    <cellStyle name="rborder" xfId="350"/>
    <cellStyle name="red" xfId="351"/>
    <cellStyle name="s_HardInc " xfId="352"/>
    <cellStyle name="s_HardInc _ITC Great Plains Formula 1-12-09a" xfId="353"/>
    <cellStyle name="scenario" xfId="354"/>
    <cellStyle name="SECTION" xfId="355"/>
    <cellStyle name="Sheetmult" xfId="356"/>
    <cellStyle name="Shtmultx" xfId="357"/>
    <cellStyle name="Style 1" xfId="358"/>
    <cellStyle name="STYLE1" xfId="359"/>
    <cellStyle name="STYLE2" xfId="360"/>
    <cellStyle name="System Defined" xfId="361"/>
    <cellStyle name="TableHeading" xfId="362"/>
    <cellStyle name="tb" xfId="363"/>
    <cellStyle name="Tickmark" xfId="364"/>
    <cellStyle name="Title1" xfId="365"/>
    <cellStyle name="top" xfId="366"/>
    <cellStyle name="Total" xfId="367"/>
    <cellStyle name="w" xfId="368"/>
    <cellStyle name="XComma" xfId="369"/>
    <cellStyle name="XComma 0.0" xfId="370"/>
    <cellStyle name="XComma 0.00" xfId="371"/>
    <cellStyle name="XComma 0.000" xfId="372"/>
    <cellStyle name="XCurrency" xfId="373"/>
    <cellStyle name="XCurrency 0.0" xfId="374"/>
    <cellStyle name="XCurrency 0.00" xfId="375"/>
    <cellStyle name="XCurrency 0.000" xfId="376"/>
    <cellStyle name="yra" xfId="377"/>
    <cellStyle name="yrActual" xfId="378"/>
    <cellStyle name="yre" xfId="379"/>
    <cellStyle name="yrExpect" xfId="380"/>
    <cellStyle name="Comma 8 2 2" xfId="381"/>
    <cellStyle name="Comma 9 2" xfId="382"/>
    <cellStyle name="Normal 10 2" xfId="383"/>
    <cellStyle name="Normal 6 5" xfId="384"/>
    <cellStyle name="Normal 6 2 4" xfId="385"/>
    <cellStyle name="Normal 6 2 2 3" xfId="386"/>
    <cellStyle name="Normal 6 2 2 2 2" xfId="387"/>
    <cellStyle name="Normal 6 2 3 2" xfId="388"/>
    <cellStyle name="Normal 6 3 3" xfId="389"/>
    <cellStyle name="Normal 6 3 2 2" xfId="390"/>
    <cellStyle name="Normal 6 4 2" xfId="391"/>
    <cellStyle name="Normal 8 3" xfId="392"/>
    <cellStyle name="Normal 8 2 2" xfId="393"/>
    <cellStyle name="Normal 9 3" xfId="394"/>
    <cellStyle name="Normal 9 2 2" xfId="395"/>
    <cellStyle name="Normal 12" xfId="396"/>
    <cellStyle name="Comma 12" xfId="397"/>
    <cellStyle name="Percent 8" xfId="398"/>
    <cellStyle name="Normal_interest calc Book1" xfId="399"/>
    <cellStyle name="Normal 8 4" xfId="400"/>
    <cellStyle name="Comma 6 2" xfId="401"/>
    <cellStyle name="Normal 6 2 5" xfId="402"/>
    <cellStyle name="Normal 5 2" xfId="403"/>
    <cellStyle name="Normal 13" xfId="404"/>
    <cellStyle name="Normal 12 2" xfId="405"/>
    <cellStyle name="Normal 10 3" xfId="406"/>
    <cellStyle name="Percent 9 2 2" xfId="407"/>
    <cellStyle name="Comma 12 3" xfId="408"/>
    <cellStyle name="Normal 13 2" xfId="409"/>
    <cellStyle name="Comma 13 2" xfId="410"/>
    <cellStyle name="Comma [0] 3 2" xfId="411"/>
    <cellStyle name="Normal 16 2" xfId="412"/>
    <cellStyle name="Comma 13" xfId="413"/>
    <cellStyle name="Normal_Red Line and Clean Copy 5-5-2010 populated attachment 9 and supplement (2)" xfId="414"/>
    <cellStyle name="Normal_A" xfId="415"/>
    <cellStyle name="Normal 13 3" xfId="416"/>
    <cellStyle name="Normal 12 2 2" xfId="417"/>
    <cellStyle name="Percent 9 2 2 2" xfId="418"/>
    <cellStyle name="Comma 12 3 2" xfId="419"/>
    <cellStyle name="Normal 13 2 2" xfId="420"/>
    <cellStyle name="Comma 13 2 2" xfId="421"/>
    <cellStyle name="Normal 16 2 2" xfId="422"/>
    <cellStyle name="Normal 9 4" xfId="423"/>
    <cellStyle name="Normal 10 4" xfId="424"/>
    <cellStyle name="Normal 6 6" xfId="425"/>
    <cellStyle name="Normal 6 2 6" xfId="426"/>
    <cellStyle name="Normal 6 2 2 4" xfId="427"/>
    <cellStyle name="Normal 6 2 2 2 3" xfId="428"/>
    <cellStyle name="Normal 6 2 3 3" xfId="429"/>
    <cellStyle name="Normal 6 3 4" xfId="430"/>
    <cellStyle name="Normal 6 3 2 3" xfId="431"/>
    <cellStyle name="Normal 6 4 3" xfId="432"/>
    <cellStyle name="Normal 8 5" xfId="433"/>
    <cellStyle name="Normal 8 2 3" xfId="434"/>
    <cellStyle name="Normal 9 5" xfId="435"/>
    <cellStyle name="Normal 9 2 3" xfId="436"/>
    <cellStyle name="Normal 10 2 2" xfId="437"/>
    <cellStyle name="Normal 6 5 2" xfId="438"/>
    <cellStyle name="Normal 6 2 4 2" xfId="439"/>
    <cellStyle name="Normal 6 2 2 3 2" xfId="440"/>
    <cellStyle name="Normal 6 2 2 2 2 2" xfId="441"/>
    <cellStyle name="Normal 6 2 3 2 2" xfId="442"/>
    <cellStyle name="Normal 6 3 3 2" xfId="443"/>
    <cellStyle name="Normal 6 3 2 2 2" xfId="444"/>
    <cellStyle name="Normal 6 4 2 2" xfId="445"/>
    <cellStyle name="Normal 8 3 2" xfId="446"/>
    <cellStyle name="Normal 8 2 2 2" xfId="447"/>
    <cellStyle name="Normal 9 3 2" xfId="448"/>
    <cellStyle name="Normal 9 2 2 2" xfId="449"/>
    <cellStyle name="Normal 12 3" xfId="450"/>
    <cellStyle name="Comma 12 2" xfId="451"/>
    <cellStyle name="Percent 8 2" xfId="452"/>
    <cellStyle name="Normal 8 4 2" xfId="453"/>
    <cellStyle name="Comma 6 2 2" xfId="454"/>
    <cellStyle name="Normal 13 4" xfId="455"/>
    <cellStyle name="Normal 12 2 3" xfId="456"/>
    <cellStyle name="Percent 9 2 2 3" xfId="457"/>
    <cellStyle name="Comma 12 3 3" xfId="458"/>
    <cellStyle name="Normal 13 2 3" xfId="459"/>
    <cellStyle name="Comma 13 2 3" xfId="460"/>
    <cellStyle name="Comma [0] 3 2 2" xfId="461"/>
    <cellStyle name="Normal 16 2 3" xfId="462"/>
    <cellStyle name="Normal 13 3 2" xfId="463"/>
    <cellStyle name="Normal 12 2 2 2" xfId="464"/>
    <cellStyle name="Normal 13 2 2 2" xfId="465"/>
    <cellStyle name="Normal 16 2 2 2" xfId="466"/>
    <cellStyle name="Normal 9 4 2" xfId="467"/>
    <cellStyle name="Normal 10 5" xfId="468"/>
    <cellStyle name="Normal 6 7" xfId="469"/>
    <cellStyle name="Normal 6 2 7" xfId="470"/>
    <cellStyle name="Normal 6 2 2 5" xfId="471"/>
    <cellStyle name="Normal 6 2 2 2 4" xfId="472"/>
    <cellStyle name="Normal 6 2 3 4" xfId="473"/>
    <cellStyle name="Normal 6 3 5" xfId="474"/>
    <cellStyle name="Normal 6 3 2 4" xfId="475"/>
    <cellStyle name="Normal 6 4 4" xfId="476"/>
    <cellStyle name="Normal 8 6" xfId="477"/>
    <cellStyle name="Normal 8 2 4" xfId="478"/>
    <cellStyle name="Normal 9 6" xfId="479"/>
    <cellStyle name="Normal 9 2 4" xfId="480"/>
    <cellStyle name="Normal 10 2 3" xfId="481"/>
    <cellStyle name="Normal 6 5 3" xfId="482"/>
    <cellStyle name="Normal 6 2 4 3" xfId="483"/>
    <cellStyle name="Normal 6 2 2 3 3" xfId="484"/>
    <cellStyle name="Normal 6 2 2 2 2 3" xfId="485"/>
    <cellStyle name="Normal 6 2 3 2 3" xfId="486"/>
    <cellStyle name="Normal 6 3 3 3" xfId="487"/>
    <cellStyle name="Normal 6 3 2 2 3" xfId="488"/>
    <cellStyle name="Normal 6 4 2 3" xfId="489"/>
    <cellStyle name="Normal 8 3 3" xfId="490"/>
    <cellStyle name="Normal 8 2 2 3" xfId="491"/>
    <cellStyle name="Normal 9 3 3" xfId="492"/>
    <cellStyle name="Normal 9 2 2 3" xfId="493"/>
    <cellStyle name="Normal 12 4" xfId="494"/>
    <cellStyle name="Comma 12 4" xfId="495"/>
    <cellStyle name="Percent 8 3" xfId="496"/>
    <cellStyle name="Normal 8 4 3" xfId="497"/>
    <cellStyle name="Comma 6 2 3" xfId="498"/>
    <cellStyle name="Normal 13 5" xfId="499"/>
    <cellStyle name="Normal 12 2 4" xfId="500"/>
    <cellStyle name="Percent 9 2 2 4" xfId="501"/>
    <cellStyle name="Comma 12 3 4" xfId="502"/>
    <cellStyle name="Normal 13 2 4" xfId="503"/>
    <cellStyle name="Comma 13 2 4" xfId="504"/>
    <cellStyle name="Comma [0] 3 2 3" xfId="505"/>
    <cellStyle name="Normal 16 2 4" xfId="506"/>
    <cellStyle name="Normal 13 3 3" xfId="507"/>
    <cellStyle name="Normal 12 2 2 3" xfId="508"/>
    <cellStyle name="Normal 13 2 2 3" xfId="509"/>
    <cellStyle name="Normal 16 2 2 3" xfId="510"/>
    <cellStyle name="Normal 9 4 3" xfId="511"/>
    <cellStyle name="Normal 10 4 2" xfId="512"/>
    <cellStyle name="Normal 6 6 2" xfId="513"/>
    <cellStyle name="Normal 6 2 6 2" xfId="514"/>
    <cellStyle name="Normal 6 2 2 4 2" xfId="515"/>
    <cellStyle name="Normal 6 2 2 2 3 2" xfId="516"/>
    <cellStyle name="Normal 6 2 3 3 2" xfId="517"/>
    <cellStyle name="Normal 6 3 4 2" xfId="518"/>
    <cellStyle name="Normal 6 3 2 3 2" xfId="519"/>
    <cellStyle name="Normal 6 4 3 2" xfId="520"/>
    <cellStyle name="Normal 8 5 2" xfId="521"/>
    <cellStyle name="Normal 8 2 3 2" xfId="522"/>
    <cellStyle name="Normal 9 5 2" xfId="523"/>
    <cellStyle name="Normal 9 2 3 2" xfId="524"/>
    <cellStyle name="Normal 10 2 2 2" xfId="525"/>
    <cellStyle name="Normal 6 5 2 2" xfId="526"/>
    <cellStyle name="Normal 6 2 4 2 2" xfId="527"/>
    <cellStyle name="Normal 6 2 2 3 2 2" xfId="528"/>
    <cellStyle name="Normal 6 2 2 2 2 2 2" xfId="529"/>
    <cellStyle name="Normal 6 2 3 2 2 2" xfId="530"/>
    <cellStyle name="Normal 6 3 3 2 2" xfId="531"/>
    <cellStyle name="Normal 6 3 2 2 2 2" xfId="532"/>
    <cellStyle name="Normal 6 4 2 2 2" xfId="533"/>
    <cellStyle name="Normal 8 3 2 2" xfId="534"/>
    <cellStyle name="Normal 8 2 2 2 2" xfId="535"/>
    <cellStyle name="Normal 9 3 2 2" xfId="536"/>
    <cellStyle name="Normal 9 2 2 2 2" xfId="537"/>
    <cellStyle name="Normal 12 3 2" xfId="538"/>
    <cellStyle name="Comma 12 2 2" xfId="539"/>
    <cellStyle name="Percent 8 2 2" xfId="540"/>
    <cellStyle name="Normal 8 4 2 2" xfId="541"/>
    <cellStyle name="Comma 6 2 2 2" xfId="542"/>
    <cellStyle name="Normal 13 4 2" xfId="543"/>
    <cellStyle name="Normal 12 2 3 2" xfId="544"/>
    <cellStyle name="Percent 9 2 2 3 2" xfId="545"/>
    <cellStyle name="Comma 12 3 3 2" xfId="546"/>
    <cellStyle name="Normal 13 2 3 2" xfId="547"/>
    <cellStyle name="Comma 13 2 3 2" xfId="548"/>
    <cellStyle name="Comma [0] 3 2 2 2" xfId="549"/>
    <cellStyle name="Normal 16 2 3 2" xfId="550"/>
    <cellStyle name="Normal 13 3 2 2" xfId="551"/>
    <cellStyle name="Normal 12 2 2 2 2" xfId="552"/>
    <cellStyle name="Normal 13 2 2 2 2" xfId="553"/>
    <cellStyle name="Normal 16 2 2 2 2" xfId="554"/>
    <cellStyle name="Normal 9 4 2 2" xfId="555"/>
    <cellStyle name="Comma 14" xfId="556"/>
    <cellStyle name="Normal 16" xfId="557"/>
    <cellStyle name="Percent 11" xfId="558"/>
    <cellStyle name="Normal 14" xfId="559"/>
    <cellStyle name="Comma 15" xfId="560"/>
    <cellStyle name="Currency 5" xfId="561"/>
    <cellStyle name="Heading 1 2" xfId="562"/>
    <cellStyle name="Heading 2 3" xfId="563"/>
    <cellStyle name="Normal 10 6" xfId="564"/>
    <cellStyle name="Normal 6 8" xfId="565"/>
    <cellStyle name="Normal 6 2 8" xfId="566"/>
    <cellStyle name="Normal 6 2 2 6" xfId="567"/>
    <cellStyle name="Normal 6 2 2 2 5" xfId="568"/>
    <cellStyle name="Normal 6 2 3 5" xfId="569"/>
    <cellStyle name="Normal 6 3 6" xfId="570"/>
    <cellStyle name="Normal 6 3 2 5" xfId="571"/>
    <cellStyle name="Normal 6 4 5" xfId="572"/>
    <cellStyle name="Normal 8 7" xfId="573"/>
    <cellStyle name="Normal 8 2 5" xfId="574"/>
    <cellStyle name="Normal 9 7" xfId="575"/>
    <cellStyle name="Normal 9 2 5" xfId="576"/>
    <cellStyle name="Normal 15" xfId="577"/>
    <cellStyle name="Percent 9" xfId="578"/>
    <cellStyle name="Total 2" xfId="579"/>
    <cellStyle name="Percent 21" xfId="580"/>
    <cellStyle name="Normal 26" xfId="581"/>
    <cellStyle name="Normal 10 2 4" xfId="582"/>
    <cellStyle name="Normal 6 5 4" xfId="583"/>
    <cellStyle name="Normal 6 2 4 4" xfId="584"/>
    <cellStyle name="Normal 6 2 2 3 4" xfId="585"/>
    <cellStyle name="Normal 6 2 2 2 2 4" xfId="586"/>
    <cellStyle name="Normal 6 2 3 2 4" xfId="587"/>
    <cellStyle name="Normal 6 3 3 4" xfId="588"/>
    <cellStyle name="Normal 6 3 2 2 4" xfId="589"/>
    <cellStyle name="Normal 6 4 2 4" xfId="590"/>
    <cellStyle name="Normal 8 3 4" xfId="591"/>
    <cellStyle name="Normal 8 2 2 4" xfId="592"/>
    <cellStyle name="Normal 9 3 4" xfId="593"/>
    <cellStyle name="Normal 9 2 2 4" xfId="594"/>
    <cellStyle name="Normal 12 5" xfId="595"/>
    <cellStyle name="Comma 12 5" xfId="596"/>
    <cellStyle name="Percent 8 4" xfId="597"/>
    <cellStyle name="Normal 8 4 4" xfId="598"/>
    <cellStyle name="Comma 6 2 4" xfId="599"/>
    <cellStyle name="Normal 13 6" xfId="600"/>
    <cellStyle name="Normal 12 2 5" xfId="601"/>
    <cellStyle name="Percent 9 2 2 5" xfId="602"/>
    <cellStyle name="Comma 12 3 5" xfId="603"/>
    <cellStyle name="Normal 13 2 5" xfId="604"/>
    <cellStyle name="Comma 13 2 5" xfId="605"/>
    <cellStyle name="Comma [0] 3 2 4" xfId="606"/>
    <cellStyle name="Normal 16 2 5" xfId="607"/>
    <cellStyle name="Normal 13 3 4" xfId="608"/>
    <cellStyle name="Normal 12 2 2 4" xfId="609"/>
    <cellStyle name="Normal 13 2 2 4" xfId="610"/>
    <cellStyle name="Normal 16 2 2 4" xfId="611"/>
    <cellStyle name="Normal 9 4 4" xfId="612"/>
    <cellStyle name="Normal 10 4 3" xfId="613"/>
    <cellStyle name="Normal 6 6 3" xfId="614"/>
    <cellStyle name="Normal 6 2 6 3" xfId="615"/>
    <cellStyle name="Normal 6 2 2 4 3" xfId="616"/>
    <cellStyle name="Normal 6 2 2 2 3 3" xfId="617"/>
    <cellStyle name="Normal 6 2 3 3 3" xfId="618"/>
    <cellStyle name="Normal 6 3 4 3" xfId="619"/>
    <cellStyle name="Normal 6 3 2 3 3" xfId="620"/>
    <cellStyle name="Normal 6 4 3 3" xfId="621"/>
    <cellStyle name="Normal 8 5 3" xfId="622"/>
    <cellStyle name="Normal 8 2 3 3" xfId="623"/>
    <cellStyle name="Normal 9 5 3" xfId="624"/>
    <cellStyle name="Normal 9 2 3 3" xfId="625"/>
    <cellStyle name="Normal 10 2 2 3" xfId="626"/>
    <cellStyle name="Normal 6 5 2 3" xfId="627"/>
    <cellStyle name="Normal 6 2 4 2 3" xfId="628"/>
    <cellStyle name="Normal 6 2 2 3 2 3" xfId="629"/>
    <cellStyle name="Normal 6 2 2 2 2 2 3" xfId="630"/>
    <cellStyle name="Normal 6 2 3 2 2 3" xfId="631"/>
    <cellStyle name="Normal 6 3 3 2 3" xfId="632"/>
    <cellStyle name="Normal 6 3 2 2 2 3" xfId="633"/>
    <cellStyle name="Normal 6 4 2 2 3" xfId="634"/>
    <cellStyle name="Normal 8 3 2 3" xfId="635"/>
    <cellStyle name="Normal 8 2 2 2 3" xfId="636"/>
    <cellStyle name="Normal 9 3 2 3" xfId="637"/>
    <cellStyle name="Normal 9 2 2 2 3" xfId="638"/>
    <cellStyle name="Normal 12 3 3" xfId="639"/>
    <cellStyle name="Comma 12 2 3" xfId="640"/>
    <cellStyle name="Percent 8 2 3" xfId="641"/>
    <cellStyle name="Normal 8 4 2 3" xfId="642"/>
    <cellStyle name="Comma 6 2 2 3" xfId="643"/>
    <cellStyle name="Normal 13 4 3" xfId="644"/>
    <cellStyle name="Normal 12 2 3 3" xfId="645"/>
    <cellStyle name="Percent 9 2 2 3 3" xfId="646"/>
    <cellStyle name="Comma 12 3 3 3" xfId="647"/>
    <cellStyle name="Normal 13 2 3 3" xfId="648"/>
    <cellStyle name="Comma 13 2 3 3" xfId="649"/>
    <cellStyle name="Comma [0] 3 2 2 3" xfId="650"/>
    <cellStyle name="Normal 16 2 3 3" xfId="651"/>
    <cellStyle name="Normal 13 3 2 3" xfId="652"/>
    <cellStyle name="Normal 12 2 2 2 3" xfId="653"/>
    <cellStyle name="Normal 13 2 2 2 3" xfId="654"/>
    <cellStyle name="Normal 16 2 2 2 3" xfId="655"/>
    <cellStyle name="Normal 9 4 2 3" xfId="656"/>
    <cellStyle name="Normal 10 5 2" xfId="657"/>
    <cellStyle name="Normal 6 7 2" xfId="658"/>
    <cellStyle name="Normal 6 2 7 2" xfId="659"/>
    <cellStyle name="Normal 6 2 2 5 2" xfId="660"/>
    <cellStyle name="Normal 6 2 2 2 4 2" xfId="661"/>
    <cellStyle name="Normal 6 2 3 4 2" xfId="662"/>
    <cellStyle name="Normal 6 3 5 2" xfId="663"/>
    <cellStyle name="Normal 6 3 2 4 2" xfId="664"/>
    <cellStyle name="Normal 6 4 4 2" xfId="665"/>
    <cellStyle name="Normal 8 6 2" xfId="666"/>
    <cellStyle name="Normal 8 2 4 2" xfId="667"/>
    <cellStyle name="Normal 9 6 2" xfId="668"/>
    <cellStyle name="Normal 9 2 4 2" xfId="669"/>
    <cellStyle name="Normal 10 2 3 2" xfId="670"/>
    <cellStyle name="Normal 6 5 3 2" xfId="671"/>
    <cellStyle name="Normal 6 2 4 3 2" xfId="672"/>
    <cellStyle name="Normal 6 2 2 3 3 2" xfId="673"/>
    <cellStyle name="Normal 6 2 2 2 2 3 2" xfId="674"/>
    <cellStyle name="Normal 6 2 3 2 3 2" xfId="675"/>
    <cellStyle name="Normal 6 3 3 3 2" xfId="676"/>
    <cellStyle name="Normal 6 3 2 2 3 2" xfId="677"/>
    <cellStyle name="Normal 6 4 2 3 2" xfId="678"/>
    <cellStyle name="Normal 8 3 3 2" xfId="679"/>
    <cellStyle name="Normal 8 2 2 3 2" xfId="680"/>
    <cellStyle name="Normal 9 3 3 2" xfId="681"/>
    <cellStyle name="Normal 9 2 2 3 2" xfId="682"/>
    <cellStyle name="Normal 12 4 2" xfId="683"/>
    <cellStyle name="Comma 12 4 2" xfId="684"/>
    <cellStyle name="Percent 8 3 2" xfId="685"/>
    <cellStyle name="Normal 8 4 3 2" xfId="686"/>
    <cellStyle name="Comma 6 2 3 2" xfId="687"/>
    <cellStyle name="Normal 13 5 2" xfId="688"/>
    <cellStyle name="Normal 12 2 4 2" xfId="689"/>
    <cellStyle name="Percent 9 2 2 4 2" xfId="690"/>
    <cellStyle name="Comma 12 3 4 2" xfId="691"/>
    <cellStyle name="Normal 13 2 4 2" xfId="692"/>
    <cellStyle name="Comma 13 2 4 2" xfId="693"/>
    <cellStyle name="Comma [0] 3 2 3 2" xfId="694"/>
    <cellStyle name="Normal 16 2 4 2" xfId="695"/>
    <cellStyle name="Normal 13 3 3 2" xfId="696"/>
    <cellStyle name="Normal 12 2 2 3 2" xfId="697"/>
    <cellStyle name="Normal 13 2 2 3 2" xfId="698"/>
    <cellStyle name="Normal 16 2 2 3 2" xfId="699"/>
    <cellStyle name="Normal 9 4 3 2" xfId="700"/>
    <cellStyle name="Normal 10 4 2 2" xfId="701"/>
    <cellStyle name="Normal 6 6 2 2" xfId="702"/>
    <cellStyle name="Normal 6 2 6 2 2" xfId="703"/>
    <cellStyle name="Normal 6 2 2 4 2 2" xfId="704"/>
    <cellStyle name="Normal 6 2 2 2 3 2 2" xfId="705"/>
    <cellStyle name="Normal 6 2 3 3 2 2" xfId="706"/>
    <cellStyle name="Normal 6 3 4 2 2" xfId="707"/>
    <cellStyle name="Normal 6 3 2 3 2 2" xfId="708"/>
    <cellStyle name="Normal 6 4 3 2 2" xfId="709"/>
    <cellStyle name="Normal 8 5 2 2" xfId="710"/>
    <cellStyle name="Normal 8 2 3 2 2" xfId="711"/>
    <cellStyle name="Normal 9 5 2 2" xfId="712"/>
    <cellStyle name="Normal 9 2 3 2 2" xfId="713"/>
    <cellStyle name="Normal 10 2 2 2 2" xfId="714"/>
    <cellStyle name="Normal 6 5 2 2 2" xfId="715"/>
    <cellStyle name="Normal 6 2 4 2 2 2" xfId="716"/>
    <cellStyle name="Normal 6 2 2 3 2 2 2" xfId="717"/>
    <cellStyle name="Normal 6 2 2 2 2 2 2 2" xfId="718"/>
    <cellStyle name="Normal 6 2 3 2 2 2 2" xfId="719"/>
    <cellStyle name="Normal 6 3 3 2 2 2" xfId="720"/>
    <cellStyle name="Normal 6 3 2 2 2 2 2" xfId="721"/>
    <cellStyle name="Normal 6 4 2 2 2 2" xfId="722"/>
    <cellStyle name="Normal 8 3 2 2 2" xfId="723"/>
    <cellStyle name="Normal 8 2 2 2 2 2" xfId="724"/>
    <cellStyle name="Normal 9 3 2 2 2" xfId="725"/>
    <cellStyle name="Normal 9 2 2 2 2 2" xfId="726"/>
    <cellStyle name="Normal 12 3 2 2" xfId="727"/>
    <cellStyle name="Comma 12 2 2 2" xfId="728"/>
    <cellStyle name="Percent 8 2 2 2" xfId="729"/>
    <cellStyle name="Normal 8 4 2 2 2" xfId="730"/>
    <cellStyle name="Comma 6 2 2 2 2" xfId="731"/>
    <cellStyle name="Normal 13 4 2 2" xfId="732"/>
    <cellStyle name="Normal 12 2 3 2 2" xfId="733"/>
    <cellStyle name="Percent 9 2 2 3 2 2" xfId="734"/>
    <cellStyle name="Comma 12 3 3 2 2" xfId="735"/>
    <cellStyle name="Normal 13 2 3 2 2" xfId="736"/>
    <cellStyle name="Comma 13 2 3 2 2" xfId="737"/>
    <cellStyle name="Comma [0] 3 2 2 2 2" xfId="738"/>
    <cellStyle name="Normal 16 2 3 2 2" xfId="739"/>
    <cellStyle name="Normal 13 3 2 2 2" xfId="740"/>
    <cellStyle name="Normal 12 2 2 2 2 2" xfId="741"/>
    <cellStyle name="Normal 13 2 2 2 2 2" xfId="742"/>
    <cellStyle name="Normal 16 2 2 2 2 2" xfId="743"/>
    <cellStyle name="Normal 9 4 2 2 2" xfId="744"/>
    <cellStyle name="Comma 16" xfId="745"/>
    <cellStyle name="Currency 6" xfId="746"/>
    <cellStyle name="Percent 10" xfId="747"/>
    <cellStyle name="Comma 25" xfId="748"/>
    <cellStyle name="Comma 21" xfId="749"/>
    <cellStyle name="Comma 22" xfId="750"/>
    <cellStyle name="Comma 19" xfId="751"/>
    <cellStyle name="Normal 23" xfId="752"/>
    <cellStyle name="Percent 15" xfId="753"/>
    <cellStyle name="Normal 18" xfId="754"/>
    <cellStyle name="Comma 24" xfId="755"/>
    <cellStyle name="Currency 8" xfId="756"/>
    <cellStyle name="Currency 11" xfId="757"/>
    <cellStyle name="Normal 19" xfId="758"/>
    <cellStyle name="Currency 9" xfId="759"/>
    <cellStyle name="Currency 12" xfId="760"/>
    <cellStyle name="Normal 20" xfId="761"/>
    <cellStyle name="Normal 24" xfId="762"/>
    <cellStyle name="Percent 19" xfId="763"/>
    <cellStyle name="Currency 7" xfId="764"/>
    <cellStyle name="Comma 17" xfId="765"/>
    <cellStyle name="Comma 20" xfId="766"/>
    <cellStyle name="Percent 20" xfId="767"/>
    <cellStyle name="Normal 17" xfId="768"/>
    <cellStyle name="Percent 13" xfId="769"/>
    <cellStyle name="Comma 18" xfId="770"/>
    <cellStyle name="Currency 10" xfId="771"/>
    <cellStyle name="Currency 13" xfId="772"/>
    <cellStyle name="Percent 12" xfId="773"/>
    <cellStyle name="Percent 18" xfId="774"/>
    <cellStyle name="Normal 21" xfId="775"/>
    <cellStyle name="Percent 14" xfId="776"/>
    <cellStyle name="Currency 15" xfId="777"/>
    <cellStyle name="Percent 17" xfId="778"/>
    <cellStyle name="Normal 22" xfId="779"/>
    <cellStyle name="Normal 25" xfId="780"/>
    <cellStyle name="Comma 23" xfId="781"/>
    <cellStyle name="Currency 14" xfId="782"/>
    <cellStyle name="Percent 16" xfId="783"/>
    <cellStyle name="Normal 27" xfId="784"/>
    <cellStyle name="Percent 22" xfId="785"/>
    <cellStyle name="Currency 16" xfId="786"/>
    <cellStyle name="Currency [0] 2" xfId="787"/>
    <cellStyle name="Comma 26" xfId="788"/>
    <cellStyle name="PSChar 2" xfId="789"/>
    <cellStyle name="Comma 158" xfId="790"/>
    <cellStyle name="Normal 10 7" xfId="791"/>
    <cellStyle name="Normal 6 9" xfId="792"/>
    <cellStyle name="Normal 6 2 9" xfId="793"/>
    <cellStyle name="Normal 6 2 2 7" xfId="794"/>
    <cellStyle name="Normal 6 2 2 2 6" xfId="795"/>
    <cellStyle name="Normal 6 2 3 6" xfId="796"/>
    <cellStyle name="Normal 6 3 7" xfId="797"/>
    <cellStyle name="Normal 6 3 2 6" xfId="798"/>
    <cellStyle name="Normal 6 4 6" xfId="799"/>
    <cellStyle name="Normal 8 8" xfId="800"/>
    <cellStyle name="Normal 8 2 6" xfId="801"/>
    <cellStyle name="Normal 9 8" xfId="802"/>
    <cellStyle name="Normal 9 2 6" xfId="803"/>
    <cellStyle name="Normal 10 2 5" xfId="804"/>
    <cellStyle name="Normal 6 5 5" xfId="805"/>
    <cellStyle name="Normal 6 2 4 5" xfId="806"/>
    <cellStyle name="Normal 6 2 2 3 5" xfId="807"/>
    <cellStyle name="Normal 6 2 2 2 2 5" xfId="808"/>
    <cellStyle name="Normal 6 2 3 2 5" xfId="809"/>
    <cellStyle name="Normal 6 3 3 5" xfId="810"/>
    <cellStyle name="Normal 6 3 2 2 5" xfId="811"/>
    <cellStyle name="Normal 6 4 2 5" xfId="812"/>
    <cellStyle name="Normal 8 3 5" xfId="813"/>
    <cellStyle name="Normal 8 2 2 5" xfId="814"/>
    <cellStyle name="Normal 9 3 5" xfId="815"/>
    <cellStyle name="Normal 9 2 2 5" xfId="816"/>
    <cellStyle name="Normal 12 6" xfId="817"/>
    <cellStyle name="Comma 12 6" xfId="818"/>
    <cellStyle name="Percent 8 5" xfId="819"/>
    <cellStyle name="Normal 8 4 5" xfId="820"/>
    <cellStyle name="Comma 6 2 5" xfId="821"/>
    <cellStyle name="Normal 13 7" xfId="822"/>
    <cellStyle name="Normal 12 2 6" xfId="823"/>
    <cellStyle name="Percent 9 2 2 6" xfId="824"/>
    <cellStyle name="Comma 12 3 6" xfId="825"/>
    <cellStyle name="Normal 13 2 6" xfId="826"/>
    <cellStyle name="Comma 13 2 6" xfId="827"/>
    <cellStyle name="Comma [0] 3 2 5" xfId="828"/>
    <cellStyle name="Normal 16 2 6" xfId="829"/>
    <cellStyle name="Normal 13 3 5" xfId="830"/>
    <cellStyle name="Normal 12 2 2 5" xfId="831"/>
    <cellStyle name="Normal 13 2 2 5" xfId="832"/>
    <cellStyle name="Normal 16 2 2 5" xfId="833"/>
    <cellStyle name="Normal 9 4 5" xfId="834"/>
    <cellStyle name="Normal 10 4 4" xfId="835"/>
    <cellStyle name="Normal 6 6 4" xfId="836"/>
    <cellStyle name="Normal 6 2 6 4" xfId="837"/>
    <cellStyle name="Normal 6 2 2 4 4" xfId="838"/>
    <cellStyle name="Normal 6 2 2 2 3 4" xfId="839"/>
    <cellStyle name="Normal 6 2 3 3 4" xfId="840"/>
    <cellStyle name="Normal 6 3 4 4" xfId="841"/>
    <cellStyle name="Normal 6 3 2 3 4" xfId="842"/>
    <cellStyle name="Normal 6 4 3 4" xfId="843"/>
    <cellStyle name="Normal 8 5 4" xfId="844"/>
    <cellStyle name="Normal 8 2 3 4" xfId="845"/>
    <cellStyle name="Normal 9 5 4" xfId="846"/>
    <cellStyle name="Normal 9 2 3 4" xfId="847"/>
    <cellStyle name="Normal 10 2 2 4" xfId="848"/>
    <cellStyle name="Normal 6 5 2 4" xfId="849"/>
    <cellStyle name="Normal 6 2 4 2 4" xfId="850"/>
    <cellStyle name="Normal 6 2 2 3 2 4" xfId="851"/>
    <cellStyle name="Normal 6 2 2 2 2 2 4" xfId="852"/>
    <cellStyle name="Normal 6 2 3 2 2 4" xfId="853"/>
    <cellStyle name="Normal 6 3 3 2 4" xfId="854"/>
    <cellStyle name="Normal 6 3 2 2 2 4" xfId="855"/>
    <cellStyle name="Normal 6 4 2 2 4" xfId="856"/>
    <cellStyle name="Normal 8 3 2 4" xfId="857"/>
    <cellStyle name="Normal 8 2 2 2 4" xfId="858"/>
    <cellStyle name="Normal 9 3 2 4" xfId="859"/>
    <cellStyle name="Normal 9 2 2 2 4" xfId="860"/>
    <cellStyle name="Normal 12 3 4" xfId="861"/>
    <cellStyle name="Comma 12 2 4" xfId="862"/>
    <cellStyle name="Percent 8 2 4" xfId="863"/>
    <cellStyle name="Normal 8 4 2 4" xfId="864"/>
    <cellStyle name="Comma 6 2 2 4" xfId="865"/>
    <cellStyle name="Normal 13 4 4" xfId="866"/>
    <cellStyle name="Normal 12 2 3 4" xfId="867"/>
    <cellStyle name="Percent 9 2 2 3 4" xfId="868"/>
    <cellStyle name="Comma 12 3 3 4" xfId="869"/>
    <cellStyle name="Normal 13 2 3 4" xfId="870"/>
    <cellStyle name="Comma 13 2 3 4" xfId="871"/>
    <cellStyle name="Comma [0] 3 2 2 4" xfId="872"/>
    <cellStyle name="Normal 16 2 3 4" xfId="873"/>
    <cellStyle name="Normal 13 3 2 4" xfId="874"/>
    <cellStyle name="Normal 12 2 2 2 4" xfId="875"/>
    <cellStyle name="Normal 13 2 2 2 4" xfId="876"/>
    <cellStyle name="Normal 16 2 2 2 4" xfId="877"/>
    <cellStyle name="Normal 9 4 2 4" xfId="878"/>
    <cellStyle name="Normal 10 5 3" xfId="879"/>
    <cellStyle name="Normal 6 7 3" xfId="880"/>
    <cellStyle name="Normal 6 2 7 3" xfId="881"/>
    <cellStyle name="Normal 6 2 2 5 3" xfId="882"/>
    <cellStyle name="Normal 6 2 2 2 4 3" xfId="883"/>
    <cellStyle name="Normal 6 2 3 4 3" xfId="884"/>
    <cellStyle name="Normal 6 3 5 3" xfId="885"/>
    <cellStyle name="Normal 6 3 2 4 3" xfId="886"/>
    <cellStyle name="Normal 6 4 4 3" xfId="887"/>
    <cellStyle name="Normal 8 6 3" xfId="888"/>
    <cellStyle name="Normal 8 2 4 3" xfId="889"/>
    <cellStyle name="Normal 9 6 3" xfId="890"/>
    <cellStyle name="Normal 9 2 4 3" xfId="891"/>
    <cellStyle name="Normal 10 2 3 3" xfId="892"/>
    <cellStyle name="Normal 6 5 3 3" xfId="893"/>
    <cellStyle name="Normal 6 2 4 3 3" xfId="894"/>
    <cellStyle name="Normal 6 2 2 3 3 3" xfId="895"/>
    <cellStyle name="Normal 6 2 2 2 2 3 3" xfId="896"/>
    <cellStyle name="Normal 6 2 3 2 3 3" xfId="897"/>
    <cellStyle name="Normal 6 3 3 3 3" xfId="898"/>
    <cellStyle name="Normal 6 3 2 2 3 3" xfId="899"/>
    <cellStyle name="Normal 6 4 2 3 3" xfId="900"/>
    <cellStyle name="Normal 8 3 3 3" xfId="901"/>
    <cellStyle name="Normal 8 2 2 3 3" xfId="902"/>
    <cellStyle name="Normal 9 3 3 3" xfId="903"/>
    <cellStyle name="Normal 9 2 2 3 3" xfId="904"/>
    <cellStyle name="Normal 12 4 3" xfId="905"/>
    <cellStyle name="Comma 12 4 3" xfId="906"/>
    <cellStyle name="Percent 8 3 3" xfId="907"/>
    <cellStyle name="Normal 8 4 3 3" xfId="908"/>
    <cellStyle name="Comma 6 2 3 3" xfId="909"/>
    <cellStyle name="Normal 13 5 3" xfId="910"/>
    <cellStyle name="Normal 12 2 4 3" xfId="911"/>
    <cellStyle name="Percent 9 2 2 4 3" xfId="912"/>
    <cellStyle name="Comma 12 3 4 3" xfId="913"/>
    <cellStyle name="Normal 13 2 4 3" xfId="914"/>
    <cellStyle name="Comma 13 2 4 3" xfId="915"/>
    <cellStyle name="Comma [0] 3 2 3 3" xfId="916"/>
    <cellStyle name="Normal 16 2 4 3" xfId="917"/>
    <cellStyle name="Normal 13 3 3 3" xfId="918"/>
    <cellStyle name="Normal 12 2 2 3 3" xfId="919"/>
    <cellStyle name="Normal 13 2 2 3 3" xfId="920"/>
    <cellStyle name="Normal 16 2 2 3 3" xfId="921"/>
    <cellStyle name="Normal 9 4 3 3" xfId="922"/>
    <cellStyle name="Normal 10 4 2 3" xfId="923"/>
    <cellStyle name="Normal 6 6 2 3" xfId="924"/>
    <cellStyle name="Normal 6 2 6 2 3" xfId="925"/>
    <cellStyle name="Normal 6 2 2 4 2 3" xfId="926"/>
    <cellStyle name="Normal 6 2 2 2 3 2 3" xfId="927"/>
    <cellStyle name="Normal 6 2 3 3 2 3" xfId="928"/>
    <cellStyle name="Normal 6 3 4 2 3" xfId="929"/>
    <cellStyle name="Normal 6 3 2 3 2 3" xfId="930"/>
    <cellStyle name="Normal 6 4 3 2 3" xfId="931"/>
    <cellStyle name="Normal 8 5 2 3" xfId="932"/>
    <cellStyle name="Normal 8 2 3 2 3" xfId="933"/>
    <cellStyle name="Normal 9 5 2 3" xfId="934"/>
    <cellStyle name="Normal 9 2 3 2 3" xfId="935"/>
    <cellStyle name="Normal 10 2 2 2 3" xfId="936"/>
    <cellStyle name="Normal 6 5 2 2 3" xfId="937"/>
    <cellStyle name="Normal 6 2 4 2 2 3" xfId="938"/>
    <cellStyle name="Normal 6 2 2 3 2 2 3" xfId="939"/>
    <cellStyle name="Normal 6 2 2 2 2 2 2 3" xfId="940"/>
    <cellStyle name="Normal 6 2 3 2 2 2 3" xfId="941"/>
    <cellStyle name="Normal 6 3 3 2 2 3" xfId="942"/>
    <cellStyle name="Normal 6 3 2 2 2 2 3" xfId="943"/>
    <cellStyle name="Normal 6 4 2 2 2 3" xfId="944"/>
    <cellStyle name="Normal 8 3 2 2 3" xfId="945"/>
    <cellStyle name="Normal 8 2 2 2 2 3" xfId="946"/>
    <cellStyle name="Normal 9 3 2 2 3" xfId="947"/>
    <cellStyle name="Normal 9 2 2 2 2 3" xfId="948"/>
    <cellStyle name="Normal 12 3 2 3" xfId="949"/>
    <cellStyle name="Comma 12 2 2 3" xfId="950"/>
    <cellStyle name="Percent 8 2 2 3" xfId="951"/>
    <cellStyle name="Normal 8 4 2 2 3" xfId="952"/>
    <cellStyle name="Comma 6 2 2 2 3" xfId="953"/>
    <cellStyle name="Normal 13 4 2 3" xfId="954"/>
    <cellStyle name="Normal 12 2 3 2 3" xfId="955"/>
    <cellStyle name="Percent 9 2 2 3 2 3" xfId="956"/>
    <cellStyle name="Comma 12 3 3 2 3" xfId="957"/>
    <cellStyle name="Normal 13 2 3 2 3" xfId="958"/>
    <cellStyle name="Comma 13 2 3 2 3" xfId="959"/>
    <cellStyle name="Comma [0] 3 2 2 2 3" xfId="960"/>
    <cellStyle name="Normal 16 2 3 2 3" xfId="961"/>
    <cellStyle name="Normal 13 3 2 2 3" xfId="962"/>
    <cellStyle name="Normal 12 2 2 2 2 3" xfId="963"/>
    <cellStyle name="Normal 13 2 2 2 2 3" xfId="964"/>
    <cellStyle name="Normal 16 2 2 2 2 3" xfId="965"/>
    <cellStyle name="Normal 9 4 2 2 3" xfId="966"/>
    <cellStyle name="Normal 16 3" xfId="967"/>
    <cellStyle name="Percent 11 2" xfId="968"/>
    <cellStyle name="Normal 10 6 2" xfId="969"/>
    <cellStyle name="Normal 6 8 2" xfId="970"/>
    <cellStyle name="Normal 6 2 8 2" xfId="971"/>
    <cellStyle name="Normal 6 2 2 6 2" xfId="972"/>
    <cellStyle name="Normal 6 2 2 2 5 2" xfId="973"/>
    <cellStyle name="Normal 6 2 3 5 2" xfId="974"/>
    <cellStyle name="Normal 6 3 6 2" xfId="975"/>
    <cellStyle name="Normal 6 3 2 5 2" xfId="976"/>
    <cellStyle name="Normal 6 4 5 2" xfId="977"/>
    <cellStyle name="Normal 8 7 2" xfId="978"/>
    <cellStyle name="Normal 8 2 5 2" xfId="979"/>
    <cellStyle name="Normal 9 7 2" xfId="980"/>
    <cellStyle name="Normal 9 2 5 2" xfId="981"/>
    <cellStyle name="Percent 21 2" xfId="982"/>
    <cellStyle name="Normal 26 2" xfId="983"/>
    <cellStyle name="Normal 10 2 4 2" xfId="984"/>
    <cellStyle name="Normal 6 5 4 2" xfId="985"/>
    <cellStyle name="Normal 6 2 4 4 2" xfId="986"/>
    <cellStyle name="Normal 6 2 2 3 4 2" xfId="987"/>
    <cellStyle name="Normal 6 2 2 2 2 4 2" xfId="988"/>
    <cellStyle name="Normal 6 2 3 2 4 2" xfId="989"/>
    <cellStyle name="Normal 6 3 3 4 2" xfId="990"/>
    <cellStyle name="Normal 6 3 2 2 4 2" xfId="991"/>
    <cellStyle name="Normal 6 4 2 4 2" xfId="992"/>
    <cellStyle name="Normal 8 3 4 2" xfId="993"/>
    <cellStyle name="Normal 8 2 2 4 2" xfId="994"/>
    <cellStyle name="Normal 9 3 4 2" xfId="995"/>
    <cellStyle name="Normal 9 2 2 4 2" xfId="996"/>
    <cellStyle name="Normal 12 5 2" xfId="997"/>
    <cellStyle name="Comma 12 5 2" xfId="998"/>
    <cellStyle name="Percent 8 4 2" xfId="999"/>
    <cellStyle name="Normal 8 4 4 2" xfId="1000"/>
    <cellStyle name="Comma 6 2 4 2" xfId="1001"/>
    <cellStyle name="Normal 13 6 2" xfId="1002"/>
    <cellStyle name="Normal 12 2 5 2" xfId="1003"/>
    <cellStyle name="Percent 9 2 2 5 2" xfId="1004"/>
    <cellStyle name="Comma 12 3 5 2" xfId="1005"/>
    <cellStyle name="Normal 13 2 5 2" xfId="1006"/>
    <cellStyle name="Comma 13 2 5 2" xfId="1007"/>
    <cellStyle name="Comma [0] 3 2 4 2" xfId="1008"/>
    <cellStyle name="Normal 16 2 5 2" xfId="1009"/>
    <cellStyle name="Normal 13 3 4 2" xfId="1010"/>
    <cellStyle name="Normal 12 2 2 4 2" xfId="1011"/>
    <cellStyle name="Normal 13 2 2 4 2" xfId="1012"/>
    <cellStyle name="Normal 16 2 2 4 2" xfId="1013"/>
    <cellStyle name="Normal 9 4 4 2" xfId="1014"/>
    <cellStyle name="Normal 10 4 3 2" xfId="1015"/>
    <cellStyle name="Normal 6 6 3 2" xfId="1016"/>
    <cellStyle name="Normal 6 2 6 3 2" xfId="1017"/>
    <cellStyle name="Normal 6 2 2 4 3 2" xfId="1018"/>
    <cellStyle name="Normal 6 2 2 2 3 3 2" xfId="1019"/>
    <cellStyle name="Normal 6 2 3 3 3 2" xfId="1020"/>
    <cellStyle name="Normal 6 3 4 3 2" xfId="1021"/>
    <cellStyle name="Normal 6 3 2 3 3 2" xfId="1022"/>
    <cellStyle name="Normal 6 4 3 3 2" xfId="1023"/>
    <cellStyle name="Normal 8 5 3 2" xfId="1024"/>
    <cellStyle name="Normal 8 2 3 3 2" xfId="1025"/>
    <cellStyle name="Normal 9 5 3 2" xfId="1026"/>
    <cellStyle name="Normal 9 2 3 3 2" xfId="1027"/>
    <cellStyle name="Normal 10 2 2 3 2" xfId="1028"/>
    <cellStyle name="Normal 6 5 2 3 2" xfId="1029"/>
    <cellStyle name="Normal 6 2 4 2 3 2" xfId="1030"/>
    <cellStyle name="Normal 6 2 2 3 2 3 2" xfId="1031"/>
    <cellStyle name="Normal 6 2 2 2 2 2 3 2" xfId="1032"/>
    <cellStyle name="Normal 6 2 3 2 2 3 2" xfId="1033"/>
    <cellStyle name="Normal 6 3 3 2 3 2" xfId="1034"/>
    <cellStyle name="Normal 6 3 2 2 2 3 2" xfId="1035"/>
    <cellStyle name="Normal 6 4 2 2 3 2" xfId="1036"/>
    <cellStyle name="Normal 8 3 2 3 2" xfId="1037"/>
    <cellStyle name="Normal 8 2 2 2 3 2" xfId="1038"/>
    <cellStyle name="Normal 9 3 2 3 2" xfId="1039"/>
    <cellStyle name="Normal 9 2 2 2 3 2" xfId="1040"/>
    <cellStyle name="Normal 12 3 3 2" xfId="1041"/>
    <cellStyle name="Comma 12 2 3 2" xfId="1042"/>
    <cellStyle name="Percent 8 2 3 2" xfId="1043"/>
    <cellStyle name="Normal 8 4 2 3 2" xfId="1044"/>
    <cellStyle name="Comma 6 2 2 3 2" xfId="1045"/>
    <cellStyle name="Normal 13 4 3 2" xfId="1046"/>
    <cellStyle name="Normal 12 2 3 3 2" xfId="1047"/>
    <cellStyle name="Percent 9 2 2 3 3 2" xfId="1048"/>
    <cellStyle name="Comma 12 3 3 3 2" xfId="1049"/>
    <cellStyle name="Normal 13 2 3 3 2" xfId="1050"/>
    <cellStyle name="Comma 13 2 3 3 2" xfId="1051"/>
    <cellStyle name="Comma [0] 3 2 2 3 2" xfId="1052"/>
    <cellStyle name="Normal 16 2 3 3 2" xfId="1053"/>
    <cellStyle name="Normal 13 3 2 3 2" xfId="1054"/>
    <cellStyle name="Normal 12 2 2 2 3 2" xfId="1055"/>
    <cellStyle name="Normal 13 2 2 2 3 2" xfId="1056"/>
    <cellStyle name="Normal 16 2 2 2 3 2" xfId="1057"/>
    <cellStyle name="Normal 9 4 2 3 2" xfId="1058"/>
    <cellStyle name="Normal 10 5 2 2" xfId="1059"/>
    <cellStyle name="Normal 6 7 2 2" xfId="1060"/>
    <cellStyle name="Normal 6 2 7 2 2" xfId="1061"/>
    <cellStyle name="Normal 6 2 2 5 2 2" xfId="1062"/>
    <cellStyle name="Normal 6 2 2 2 4 2 2" xfId="1063"/>
    <cellStyle name="Normal 6 2 3 4 2 2" xfId="1064"/>
    <cellStyle name="Normal 6 3 5 2 2" xfId="1065"/>
    <cellStyle name="Normal 6 3 2 4 2 2" xfId="1066"/>
    <cellStyle name="Normal 6 4 4 2 2" xfId="1067"/>
    <cellStyle name="Normal 8 6 2 2" xfId="1068"/>
    <cellStyle name="Normal 8 2 4 2 2" xfId="1069"/>
    <cellStyle name="Normal 9 6 2 2" xfId="1070"/>
    <cellStyle name="Normal 9 2 4 2 2" xfId="1071"/>
    <cellStyle name="Normal 10 2 3 2 2" xfId="1072"/>
    <cellStyle name="Normal 6 5 3 2 2" xfId="1073"/>
    <cellStyle name="Normal 6 2 4 3 2 2" xfId="1074"/>
    <cellStyle name="Normal 6 2 2 3 3 2 2" xfId="1075"/>
    <cellStyle name="Normal 6 2 2 2 2 3 2 2" xfId="1076"/>
    <cellStyle name="Normal 6 2 3 2 3 2 2" xfId="1077"/>
    <cellStyle name="Normal 6 3 3 3 2 2" xfId="1078"/>
    <cellStyle name="Normal 6 3 2 2 3 2 2" xfId="1079"/>
    <cellStyle name="Normal 6 4 2 3 2 2" xfId="1080"/>
    <cellStyle name="Normal 8 3 3 2 2" xfId="1081"/>
    <cellStyle name="Normal 8 2 2 3 2 2" xfId="1082"/>
    <cellStyle name="Normal 9 3 3 2 2" xfId="1083"/>
    <cellStyle name="Normal 9 2 2 3 2 2" xfId="1084"/>
    <cellStyle name="Normal 12 4 2 2" xfId="1085"/>
    <cellStyle name="Comma 12 4 2 2" xfId="1086"/>
    <cellStyle name="Percent 8 3 2 2" xfId="1087"/>
    <cellStyle name="Normal 8 4 3 2 2" xfId="1088"/>
    <cellStyle name="Comma 6 2 3 2 2" xfId="1089"/>
    <cellStyle name="Normal 13 5 2 2" xfId="1090"/>
    <cellStyle name="Normal 12 2 4 2 2" xfId="1091"/>
    <cellStyle name="Percent 9 2 2 4 2 2" xfId="1092"/>
    <cellStyle name="Comma 12 3 4 2 2" xfId="1093"/>
    <cellStyle name="Normal 13 2 4 2 2" xfId="1094"/>
    <cellStyle name="Comma 13 2 4 2 2" xfId="1095"/>
    <cellStyle name="Comma [0] 3 2 3 2 2" xfId="1096"/>
    <cellStyle name="Normal 16 2 4 2 2" xfId="1097"/>
    <cellStyle name="Normal 13 3 3 2 2" xfId="1098"/>
    <cellStyle name="Normal 12 2 2 3 2 2" xfId="1099"/>
    <cellStyle name="Normal 13 2 2 3 2 2" xfId="1100"/>
    <cellStyle name="Normal 16 2 2 3 2 2" xfId="1101"/>
    <cellStyle name="Normal 9 4 3 2 2" xfId="1102"/>
    <cellStyle name="Normal 10 4 2 2 2" xfId="1103"/>
    <cellStyle name="Normal 6 6 2 2 2" xfId="1104"/>
    <cellStyle name="Normal 6 2 6 2 2 2" xfId="1105"/>
    <cellStyle name="Normal 6 2 2 4 2 2 2" xfId="1106"/>
    <cellStyle name="Normal 6 2 2 2 3 2 2 2" xfId="1107"/>
    <cellStyle name="Normal 6 2 3 3 2 2 2" xfId="1108"/>
    <cellStyle name="Normal 6 3 4 2 2 2" xfId="1109"/>
    <cellStyle name="Normal 6 3 2 3 2 2 2" xfId="1110"/>
    <cellStyle name="Normal 6 4 3 2 2 2" xfId="1111"/>
    <cellStyle name="Normal 8 5 2 2 2" xfId="1112"/>
    <cellStyle name="Normal 8 2 3 2 2 2" xfId="1113"/>
    <cellStyle name="Normal 9 5 2 2 2" xfId="1114"/>
    <cellStyle name="Normal 9 2 3 2 2 2" xfId="1115"/>
    <cellStyle name="Normal 10 2 2 2 2 2" xfId="1116"/>
    <cellStyle name="Normal 6 5 2 2 2 2" xfId="1117"/>
    <cellStyle name="Normal 6 2 4 2 2 2 2" xfId="1118"/>
    <cellStyle name="Normal 6 2 2 3 2 2 2 2" xfId="1119"/>
    <cellStyle name="Normal 6 2 2 2 2 2 2 2 2" xfId="1120"/>
    <cellStyle name="Normal 6 2 3 2 2 2 2 2" xfId="1121"/>
    <cellStyle name="Normal 6 3 3 2 2 2 2" xfId="1122"/>
    <cellStyle name="Normal 6 3 2 2 2 2 2 2" xfId="1123"/>
    <cellStyle name="Normal 6 4 2 2 2 2 2" xfId="1124"/>
    <cellStyle name="Normal 8 3 2 2 2 2" xfId="1125"/>
    <cellStyle name="Normal 8 2 2 2 2 2 2" xfId="1126"/>
    <cellStyle name="Normal 9 3 2 2 2 2" xfId="1127"/>
    <cellStyle name="Normal 9 2 2 2 2 2 2" xfId="1128"/>
    <cellStyle name="Normal 12 3 2 2 2" xfId="1129"/>
    <cellStyle name="Comma 12 2 2 2 2" xfId="1130"/>
    <cellStyle name="Percent 8 2 2 2 2" xfId="1131"/>
    <cellStyle name="Normal 8 4 2 2 2 2" xfId="1132"/>
    <cellStyle name="Comma 6 2 2 2 2 2" xfId="1133"/>
    <cellStyle name="Normal 13 4 2 2 2" xfId="1134"/>
    <cellStyle name="Normal 12 2 3 2 2 2" xfId="1135"/>
    <cellStyle name="Percent 9 2 2 3 2 2 2" xfId="1136"/>
    <cellStyle name="Comma 12 3 3 2 2 2" xfId="1137"/>
    <cellStyle name="Normal 13 2 3 2 2 2" xfId="1138"/>
    <cellStyle name="Comma 13 2 3 2 2 2" xfId="1139"/>
    <cellStyle name="Comma [0] 3 2 2 2 2 2" xfId="1140"/>
    <cellStyle name="Normal 16 2 3 2 2 2" xfId="1141"/>
    <cellStyle name="Normal 13 3 2 2 2 2" xfId="1142"/>
    <cellStyle name="Normal 12 2 2 2 2 2 2" xfId="1143"/>
    <cellStyle name="Normal 13 2 2 2 2 2 2" xfId="1144"/>
    <cellStyle name="Normal 16 2 2 2 2 2 2" xfId="1145"/>
    <cellStyle name="Normal 9 4 2 2 2 2" xfId="114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6.xml" /><Relationship Id="rId34" Type="http://schemas.openxmlformats.org/officeDocument/2006/relationships/externalLink" Target="externalLinks/externalLink7.xml" /><Relationship Id="rId35" Type="http://schemas.openxmlformats.org/officeDocument/2006/relationships/externalLink" Target="externalLinks/externalLink8.xml" /><Relationship Id="rId36" Type="http://schemas.openxmlformats.org/officeDocument/2006/relationships/externalLink" Target="externalLinks/externalLink9.xml" /><Relationship Id="rId37" Type="http://schemas.openxmlformats.org/officeDocument/2006/relationships/externalLink" Target="externalLinks/externalLink10.xml" /><Relationship Id="rId30" Type="http://schemas.openxmlformats.org/officeDocument/2006/relationships/externalLink" Target="externalLinks/externalLink3.xml" /><Relationship Id="rId31" Type="http://schemas.openxmlformats.org/officeDocument/2006/relationships/externalLink" Target="externalLinks/externalLink4.xml" /><Relationship Id="rId32" Type="http://schemas.openxmlformats.org/officeDocument/2006/relationships/externalLink" Target="externalLinks/externalLink5.xml" /><Relationship Id="rId33" Type="http://schemas.openxmlformats.org/officeDocument/2006/relationships/externalLink" Target="externalLinks/externalLink6.xml" /><Relationship Id="rId5" Type="http://schemas.openxmlformats.org/officeDocument/2006/relationships/worksheet" Target="worksheets/sheet5.xml" /><Relationship Id="rId38" Type="http://schemas.openxmlformats.org/officeDocument/2006/relationships/externalLink" Target="externalLinks/externalLink11.xml" /><Relationship Id="rId39" Type="http://schemas.openxmlformats.org/officeDocument/2006/relationships/externalLink" Target="externalLinks/externalLink12.xml" /><Relationship Id="rId9" Type="http://schemas.openxmlformats.org/officeDocument/2006/relationships/worksheet" Target="worksheets/sheet9.xml" /><Relationship Id="rId24" Type="http://schemas.openxmlformats.org/officeDocument/2006/relationships/theme" Target="theme/theme1.xml" /><Relationship Id="rId25" Type="http://schemas.openxmlformats.org/officeDocument/2006/relationships/customXml" Target="../customXml/item1.xml" /><Relationship Id="rId26" Type="http://schemas.openxmlformats.org/officeDocument/2006/relationships/customXml" Target="../customXml/item2.xml" /><Relationship Id="rId27" Type="http://schemas.openxmlformats.org/officeDocument/2006/relationships/customXml" Target="../customXml/item3.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4" Type="http://schemas.openxmlformats.org/officeDocument/2006/relationships/worksheet" Target="worksheets/sheet4.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8" Type="http://schemas.openxmlformats.org/officeDocument/2006/relationships/worksheet" Target="worksheets/sheet8.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3" Type="http://schemas.openxmlformats.org/officeDocument/2006/relationships/worksheet" Target="worksheets/sheet3.xml" /><Relationship Id="rId18" Type="http://schemas.openxmlformats.org/officeDocument/2006/relationships/worksheet" Target="worksheets/sheet18.xml" /><Relationship Id="rId19" Type="http://schemas.openxmlformats.org/officeDocument/2006/relationships/worksheet" Target="worksheets/sheet19.xml" /><Relationship Id="rId1" Type="http://schemas.openxmlformats.org/officeDocument/2006/relationships/worksheet" Target="worksheets/sheet1.xml" /><Relationship Id="rId2" Type="http://schemas.openxmlformats.org/officeDocument/2006/relationships/worksheet" Target="worksheets/sheet2.xml" /><Relationship Id="rId7" Type="http://schemas.openxmlformats.org/officeDocument/2006/relationships/worksheet" Target="worksheets/sheet7.xml" /><Relationship Id="rId40" Type="http://schemas.openxmlformats.org/officeDocument/2006/relationships/externalLink" Target="externalLinks/externalLink13.xml" /><Relationship Id="rId41" Type="http://schemas.openxmlformats.org/officeDocument/2006/relationships/externalLink" Target="externalLinks/externalLink1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Masterdata"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A:\PAWATER\WATERA.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u000sy0\AppData\Local\Microsoft\Windows\Temporary%20Internet%20Files\Content.Outlook\7ENS6EE6\Formula%20December%202017%20True-up%20with%20Interest.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FNBNW301\VOL5\STAFF\jdm\misc\2001%202Q\MERGER2.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FNBNW301\VOL5\STAFF\jdm\KMH\Merge\FERC%20Filing\FERC%20stmts2.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Rev_Req"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Formula%20Update\Formula%20Updates%20with%20Links\2018%20Actual%20Rev%20Requirement.xlsx"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Formula%20Update\Formula%20Updates%20with%20Links\2019%20Projected%20Rev%20Requirement.xlsx"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20with%20Final%20Settlement\Source%20Data\T%20M&amp;S%20Suppoprt%20Q4%2018%20True%20up.xlsx"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20with%20Final%20Settlement\Source%20Data\2018%20Prepaids.xlsx"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Formula%20Data\Data%20Responses\Controller\UNFUNDED%20-%20to%20be%20used%20for%20Annual%20Filing.xlsx"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8\Formula%20Updates%20for%20Annual%20Filing\Final%20Filing%20Documents%20051118\2017%20True%20Up%20Adjustment%20for%202017%20Ben's%20Test.xlsx"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Formula%20Data\Data%20Responses\Controller\Final%20Q4%20DEBT.xlsx"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file:///U:\RATES\Revenue%20Policy\Transmission%20Formula%20Annual%20Updates\2019\Formula%20Data\Data%20Responses\Controller\Equity%20for%20TFR.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tle Page"/>
      <sheetName val="204"/>
      <sheetName val="222"/>
      <sheetName val="876"/>
    </sheetNames>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und Amount Calculation"/>
      <sheetName val="Formula December 2017 True-up w"/>
    </sheetNames>
    <definedNames>
      <definedName name="DATAFEEDER" refersTo="#REF!"/>
    </definedNames>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externalBook>
</externalLink>
</file>

<file path=xl/externalLinks/externalLink5.xml><?xml version="1.0" encoding="utf-8"?>
<externalLink xmlns="http://schemas.openxmlformats.org/spreadsheetml/2006/main">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_Req"/>
    </sheetNames>
  </externalBook>
</externalLink>
</file>

<file path=xl/externalLinks/externalLink7.xml><?xml version="1.0" encoding="utf-8"?>
<externalLink xmlns="http://schemas.openxmlformats.org/spreadsheetml/2006/main">
  <externalBook xmlns:r="http://schemas.openxmlformats.org/officeDocument/2006/relationships" r:id="rId1">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6-True-Up Interest"/>
      <sheetName val="7 - PBOP"/>
      <sheetName val="8 - Depreciation Rates"/>
    </sheetNames>
  </externalBook>
</externalLink>
</file>

<file path=xl/externalLinks/externalLink8.xml><?xml version="1.0" encoding="utf-8"?>
<externalLink xmlns="http://schemas.openxmlformats.org/spreadsheetml/2006/main">
  <externalBook xmlns:r="http://schemas.openxmlformats.org/officeDocument/2006/relationships" r:id="rId1">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6-True-Up Interest"/>
      <sheetName val="7 - PBOP"/>
      <sheetName val="8 - Depreciation Rates"/>
    </sheetNames>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G INPUT"/>
      <sheetName val="Summary"/>
      <sheetName val="Stores"/>
      <sheetName val="Alloc"/>
      <sheetName val="Transmission Calc"/>
      <sheetName val="GL Tie-out"/>
      <sheetName val="SV"/>
      <sheetName val="FERC Form 1"/>
      <sheetName val="SL1"/>
      <sheetName val="SL2"/>
      <sheetName val="SL3"/>
      <sheetName val="SL4"/>
      <sheetName val="SL5"/>
      <sheetName val="SL6"/>
      <sheetName val="SL7"/>
      <sheetName val="SL8"/>
      <sheetName val="SL9"/>
      <sheetName val="SL10"/>
      <sheetName val="SL11"/>
      <sheetName val="SL12"/>
      <sheetName val="SL13"/>
      <sheetName val="RD1"/>
      <sheetName val="RD2"/>
      <sheetName val="RD3"/>
      <sheetName val="RD4"/>
      <sheetName val="RD5"/>
    </sheetNames>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_Summary"/>
      <sheetName val="Sheet1"/>
      <sheetName val="For Tieout"/>
    </sheetNames>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gulatory Input"/>
      <sheetName val="Update"/>
    </sheetNames>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6-True-Up Interest"/>
      <sheetName val="7 - PBOP"/>
      <sheetName val="8 - Depreciation Rates"/>
    </sheetNames>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rocedures"/>
      <sheetName val="1. Final Submission"/>
      <sheetName val="2. Close Pack"/>
      <sheetName val="3. FERC Form Tieout"/>
      <sheetName val="4. FERC Pages"/>
      <sheetName val="Data"/>
      <sheetName val="5. Smart View"/>
      <sheetName val="FERC Pivot"/>
      <sheetName val="FERC Detail"/>
      <sheetName val="Detail"/>
      <sheetName val="9F26A1D286E94570A9C3B15E06132AE"/>
    </sheetNames>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bmission(A-1)"/>
      <sheetName val="Tieout to FERC Forms (F-1)"/>
      <sheetName val="FERC Revised Equity (B-1)"/>
      <sheetName val="C-1 Earnings of Subs Revision"/>
      <sheetName val="C-2 - ATNP monthly Tax"/>
      <sheetName val="E-1 - Dividends"/>
      <sheetName val="GL-Equity and Income"/>
      <sheetName val="SV-1 Equity"/>
      <sheetName val="SV-2 Earnings of Subs"/>
      <sheetName val="1F2002AD3E8B45FEBCD779D71DC72AC"/>
      <sheetName val="7DCEF41AF8A145E8978251B1A830CF2"/>
      <sheetName val="07085575F010415498569AE3C66AC2D"/>
      <sheetName val="788C9D001E34487381C7D013F611A10"/>
      <sheetName val="39B8FAD2D52A4B2B8738F9DC6797365"/>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view="pageBreakPreview" zoomScaleSheetLayoutView="100" workbookViewId="0" topLeftCell="A1">
      <selection pane="topLeft" activeCell="A1" sqref="A1"/>
    </sheetView>
  </sheetViews>
  <sheetFormatPr defaultColWidth="8.765625" defaultRowHeight="15.5"/>
  <cols>
    <col min="1" max="16384" width="8.78571428571429" style="117"/>
  </cols>
  <sheetData>
    <row r="1" ht="20">
      <c r="A1" s="923"/>
    </row>
    <row r="2" ht="20">
      <c r="A2" s="923"/>
    </row>
    <row r="4" ht="15.5">
      <c r="D4" s="574" t="s">
        <v>1179</v>
      </c>
    </row>
    <row r="5" ht="15.5">
      <c r="D5" s="574" t="s">
        <v>1180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5"/>
  <sheetViews>
    <sheetView tabSelected="1" view="pageBreakPreview" zoomScale="80" zoomScaleNormal="80" zoomScaleSheetLayoutView="80" workbookViewId="0" topLeftCell="D1">
      <selection pane="topLeft" activeCell="A1" sqref="A1"/>
    </sheetView>
  </sheetViews>
  <sheetFormatPr defaultColWidth="8.84375" defaultRowHeight="13"/>
  <cols>
    <col min="1" max="1" width="5.78571428571429" style="109" customWidth="1"/>
    <col min="2" max="2" width="63.2142857142857" style="109" customWidth="1"/>
    <col min="3" max="3" width="47.4285714285714" style="109" bestFit="1" customWidth="1"/>
    <col min="4" max="4" width="16.2857142857143" style="109" customWidth="1"/>
    <col min="5" max="5" width="5.78571428571429" style="109" customWidth="1"/>
    <col min="6" max="6" width="8.28571428571429" style="109" customWidth="1"/>
    <col min="7" max="7" width="16.7857142857143" style="109" customWidth="1"/>
    <col min="8" max="8" width="4.85714285714286" style="109" customWidth="1"/>
    <col min="9" max="9" width="18.7142857142857" style="109" customWidth="1"/>
    <col min="10" max="10" width="2.71428571428571" style="109" customWidth="1"/>
    <col min="11" max="11" width="13.2142857142857" style="109" customWidth="1"/>
    <col min="12" max="16384" width="8.85714285714286" style="109"/>
  </cols>
  <sheetData>
    <row r="1" spans="1:11" ht="13">
      <c r="A1" s="18"/>
      <c r="B1" s="18"/>
      <c r="C1" s="521"/>
      <c r="D1" s="18"/>
      <c r="E1" s="18"/>
      <c r="F1" s="18"/>
      <c r="G1" s="18"/>
      <c r="H1" s="18"/>
      <c r="I1" s="18"/>
      <c r="J1" s="18"/>
      <c r="K1" s="244" t="s">
        <v>102</v>
      </c>
    </row>
    <row r="2" spans="1:11" ht="13">
      <c r="A2" s="18"/>
      <c r="B2" s="18" t="s">
        <v>971</v>
      </c>
      <c r="C2" s="18"/>
      <c r="D2" s="18"/>
      <c r="E2" s="18"/>
      <c r="F2" s="18"/>
      <c r="G2" s="18"/>
      <c r="H2" s="18"/>
      <c r="I2" s="18"/>
      <c r="J2" s="18"/>
      <c r="K2" s="18"/>
    </row>
    <row r="3" spans="1:11" ht="13">
      <c r="A3" s="7"/>
      <c r="B3" s="76" t="s">
        <v>1</v>
      </c>
      <c r="C3" s="245"/>
      <c r="D3" s="176" t="s">
        <v>72</v>
      </c>
      <c r="E3" s="76"/>
      <c r="F3" s="76"/>
      <c r="G3" s="76"/>
      <c r="H3" s="199"/>
      <c r="I3" s="18"/>
      <c r="J3" s="77"/>
      <c r="K3" s="544" t="s">
        <v>1617</v>
      </c>
    </row>
    <row r="4" spans="1:11" ht="13">
      <c r="A4" s="7"/>
      <c r="C4" s="8"/>
      <c r="D4" s="98" t="s">
        <v>98</v>
      </c>
      <c r="E4" s="8"/>
      <c r="F4" s="8"/>
      <c r="G4" s="8"/>
      <c r="H4" s="199"/>
      <c r="I4" s="199"/>
      <c r="J4" s="77"/>
      <c r="K4" s="77"/>
    </row>
    <row r="5" spans="1:11" ht="15">
      <c r="A5" s="7"/>
      <c r="B5" s="246"/>
      <c r="C5" s="77"/>
      <c r="D5" s="377" t="s">
        <v>681</v>
      </c>
      <c r="E5" s="77"/>
      <c r="F5" s="77"/>
      <c r="G5" s="77"/>
      <c r="H5" s="77"/>
      <c r="I5" s="77"/>
      <c r="J5" s="77"/>
      <c r="K5" s="77"/>
    </row>
    <row r="6" spans="2:11" ht="13.5">
      <c r="B6" s="246"/>
      <c r="J6" s="100"/>
      <c r="K6" s="100"/>
    </row>
    <row r="7" spans="1:11" ht="13">
      <c r="A7" s="176"/>
      <c r="C7" s="77"/>
      <c r="D7" s="101"/>
      <c r="E7" s="77"/>
      <c r="F7" s="77"/>
      <c r="G7" s="77"/>
      <c r="H7" s="77"/>
      <c r="I7" s="236"/>
      <c r="J7" s="77"/>
      <c r="K7" s="77"/>
    </row>
    <row r="8" spans="1:11" ht="13">
      <c r="A8" s="176"/>
      <c r="B8" s="202" t="s">
        <v>3</v>
      </c>
      <c r="C8" s="202" t="s">
        <v>4</v>
      </c>
      <c r="D8" s="202" t="s">
        <v>5</v>
      </c>
      <c r="E8" s="8" t="s">
        <v>2</v>
      </c>
      <c r="F8" s="8"/>
      <c r="G8" s="101" t="s">
        <v>6</v>
      </c>
      <c r="H8" s="8"/>
      <c r="I8" s="103" t="s">
        <v>7</v>
      </c>
      <c r="J8" s="77"/>
      <c r="K8" s="77"/>
    </row>
    <row r="9" spans="1:11" ht="13">
      <c r="A9" s="176" t="s">
        <v>8</v>
      </c>
      <c r="B9" s="77"/>
      <c r="C9" s="77"/>
      <c r="D9" s="99"/>
      <c r="E9" s="77"/>
      <c r="F9" s="77"/>
      <c r="G9" s="77"/>
      <c r="H9" s="77"/>
      <c r="I9" s="247" t="s">
        <v>9</v>
      </c>
      <c r="J9" s="77"/>
      <c r="K9" s="77"/>
    </row>
    <row r="10" spans="1:11" ht="13.5" thickBot="1">
      <c r="A10" s="241" t="s">
        <v>10</v>
      </c>
      <c r="B10" s="77"/>
      <c r="C10" s="77"/>
      <c r="D10" s="77"/>
      <c r="E10" s="77"/>
      <c r="F10" s="77"/>
      <c r="G10" s="77"/>
      <c r="H10" s="77"/>
      <c r="I10" s="248" t="s">
        <v>11</v>
      </c>
      <c r="J10" s="77"/>
      <c r="K10" s="77"/>
    </row>
    <row r="11" spans="1:11" ht="13">
      <c r="A11" s="176">
        <v>1</v>
      </c>
      <c r="B11" s="77" t="s">
        <v>215</v>
      </c>
      <c r="C11" s="77" t="str">
        <f>"(page 3, line "&amp;A170&amp;")"</f>
        <v>(page 3, line 48)</v>
      </c>
      <c r="D11" s="249"/>
      <c r="E11" s="77"/>
      <c r="F11" s="77"/>
      <c r="G11" s="77"/>
      <c r="H11" s="77"/>
      <c r="I11" s="236">
        <f>+I170</f>
        <v>194769818.27344123</v>
      </c>
      <c r="J11" s="77"/>
      <c r="K11" s="552"/>
    </row>
    <row r="12" spans="1:11" ht="13">
      <c r="A12" s="176" t="s">
        <v>1267</v>
      </c>
      <c r="B12" s="109" t="s">
        <v>1268</v>
      </c>
      <c r="C12" s="77" t="s">
        <v>1269</v>
      </c>
      <c r="D12" s="77"/>
      <c r="E12" s="77"/>
      <c r="F12" s="77"/>
      <c r="G12" s="77"/>
      <c r="H12" s="77"/>
      <c r="I12" s="90">
        <f>-'1-Project Rev Req'!S64</f>
        <v>850000</v>
      </c>
      <c r="J12" s="77"/>
      <c r="K12" s="236"/>
    </row>
    <row r="13" spans="1:11" ht="13.5" thickBot="1">
      <c r="A13" s="176" t="s">
        <v>2</v>
      </c>
      <c r="C13" s="8"/>
      <c r="D13" s="241" t="s">
        <v>13</v>
      </c>
      <c r="E13" s="8"/>
      <c r="F13" s="250" t="s">
        <v>14</v>
      </c>
      <c r="G13" s="250"/>
      <c r="H13" s="77"/>
      <c r="I13" s="236"/>
      <c r="J13" s="77"/>
      <c r="K13" s="236"/>
    </row>
    <row r="14" spans="1:11" ht="13">
      <c r="A14" s="176">
        <f>+A11+1</f>
        <v>2</v>
      </c>
      <c r="B14" s="9" t="s">
        <v>12</v>
      </c>
      <c r="C14" s="8" t="str">
        <f>"Attachment 5A, line "&amp;'5A - Revenue Credits'!A24</f>
        <v>Attachment 5A, line 15</v>
      </c>
      <c r="D14" s="78">
        <f>+'5A - Revenue Credits'!D24</f>
        <v>9658757.6675326191</v>
      </c>
      <c r="E14" s="8"/>
      <c r="F14" s="8" t="s">
        <v>15</v>
      </c>
      <c r="G14" s="525">
        <f>I189</f>
        <v>1</v>
      </c>
      <c r="H14" s="91"/>
      <c r="I14" s="90">
        <f>+'5A - Revenue Credits'!D24</f>
        <v>9658757.6675326191</v>
      </c>
      <c r="J14" s="77"/>
      <c r="K14" s="236"/>
    </row>
    <row r="15" spans="1:11" ht="13.5" thickBot="1">
      <c r="A15" s="176"/>
      <c r="B15" s="79"/>
      <c r="C15" s="251"/>
      <c r="D15" s="90"/>
      <c r="E15" s="8"/>
      <c r="F15" s="8"/>
      <c r="G15" s="78"/>
      <c r="H15" s="91"/>
      <c r="I15" s="93"/>
      <c r="J15" s="77"/>
      <c r="K15" s="236"/>
    </row>
    <row r="16" spans="1:11" ht="13.5" thickBot="1">
      <c r="A16" s="176">
        <f>+A14+1</f>
        <v>3</v>
      </c>
      <c r="B16" s="9" t="s">
        <v>16</v>
      </c>
      <c r="C16" s="77" t="s">
        <v>1273</v>
      </c>
      <c r="D16" s="252" t="s">
        <v>2</v>
      </c>
      <c r="E16" s="8"/>
      <c r="F16" s="8"/>
      <c r="G16" s="8"/>
      <c r="H16" s="8"/>
      <c r="I16" s="253">
        <f>+I11-I14-I12</f>
        <v>184261060.6059086</v>
      </c>
      <c r="J16" s="77"/>
      <c r="K16" s="601"/>
    </row>
    <row r="17" spans="1:11" ht="13.5" thickTop="1">
      <c r="A17" s="176"/>
      <c r="B17" s="7"/>
      <c r="C17" s="77"/>
      <c r="D17" s="252"/>
      <c r="E17" s="8"/>
      <c r="F17" s="8"/>
      <c r="G17" s="8"/>
      <c r="H17" s="8"/>
      <c r="I17" s="90"/>
      <c r="J17" s="77"/>
      <c r="K17" s="77"/>
    </row>
    <row r="18" spans="1:11" ht="13">
      <c r="A18" s="176">
        <f>+A16+1</f>
        <v>4</v>
      </c>
      <c r="B18" s="7" t="s">
        <v>439</v>
      </c>
      <c r="C18" s="254" t="s">
        <v>1066</v>
      </c>
      <c r="D18" s="255"/>
      <c r="E18" s="256"/>
      <c r="F18" s="256"/>
      <c r="G18" s="256"/>
      <c r="H18" s="256"/>
      <c r="I18" s="197">
        <f>+'1-Project Rev Req'!Q95-'1-Project Rev Req'!Q66++'1-Project Rev Req'!S95-'1-Project Rev Req'!S66</f>
        <v>30267076.528271589</v>
      </c>
      <c r="J18" s="80"/>
      <c r="K18" s="80"/>
    </row>
    <row r="19" spans="1:11" ht="13">
      <c r="A19" s="176">
        <f>+A18+1</f>
        <v>5</v>
      </c>
      <c r="B19" s="92" t="s">
        <v>441</v>
      </c>
      <c r="C19" s="254" t="s">
        <v>1067</v>
      </c>
      <c r="D19" s="255"/>
      <c r="E19" s="256"/>
      <c r="F19" s="256"/>
      <c r="G19" s="256"/>
      <c r="H19" s="256"/>
      <c r="I19" s="197">
        <f>+'1-Project Rev Req'!R95-'1-Project Rev Req'!R66</f>
        <v>1510551.1948807866</v>
      </c>
      <c r="J19" s="80"/>
      <c r="K19" s="80"/>
    </row>
    <row r="20" spans="1:11" ht="13">
      <c r="A20" s="176">
        <f>+A19+1</f>
        <v>6</v>
      </c>
      <c r="B20" s="7" t="s">
        <v>442</v>
      </c>
      <c r="C20" s="254" t="s">
        <v>1068</v>
      </c>
      <c r="D20" s="255"/>
      <c r="E20" s="256"/>
      <c r="F20" s="256"/>
      <c r="G20" s="256"/>
      <c r="H20" s="256"/>
      <c r="I20" s="173">
        <f>+I18+I19</f>
        <v>31777627.723152377</v>
      </c>
      <c r="J20" s="80"/>
      <c r="K20" s="80"/>
    </row>
    <row r="21" spans="1:11" ht="13">
      <c r="A21" s="526"/>
      <c r="C21" s="206"/>
      <c r="D21" s="15"/>
      <c r="E21" s="254"/>
      <c r="F21" s="257"/>
      <c r="G21" s="258"/>
      <c r="H21" s="254"/>
      <c r="I21" s="197"/>
      <c r="J21" s="162"/>
      <c r="K21" s="80"/>
    </row>
    <row r="22" spans="1:11" ht="13">
      <c r="A22" s="526">
        <f>+A20+1</f>
        <v>7</v>
      </c>
      <c r="B22" s="7" t="s">
        <v>440</v>
      </c>
      <c r="C22" s="254" t="s">
        <v>1126</v>
      </c>
      <c r="D22" s="88"/>
      <c r="E22" s="88"/>
      <c r="F22" s="88"/>
      <c r="G22" s="88"/>
      <c r="H22" s="88"/>
      <c r="I22" s="197">
        <f>+'1-Project Rev Req'!Q66++'1-Project Rev Req'!S66-I14</f>
        <v>153993984.07763699</v>
      </c>
      <c r="J22" s="162"/>
      <c r="K22" s="214"/>
    </row>
    <row r="23" spans="1:11" ht="13">
      <c r="A23" s="526">
        <f>+A22+1</f>
        <v>8</v>
      </c>
      <c r="B23" s="92" t="s">
        <v>444</v>
      </c>
      <c r="C23" s="254" t="s">
        <v>756</v>
      </c>
      <c r="D23" s="88"/>
      <c r="E23" s="87"/>
      <c r="F23" s="87"/>
      <c r="G23" s="87"/>
      <c r="H23" s="87"/>
      <c r="I23" s="259">
        <f>+'1-Project Rev Req'!R66</f>
        <v>-863026.05708798592</v>
      </c>
      <c r="J23" s="162"/>
      <c r="K23" s="80"/>
    </row>
    <row r="24" spans="1:11" ht="13">
      <c r="A24" s="526">
        <f>+A23+1</f>
        <v>9</v>
      </c>
      <c r="B24" s="7" t="s">
        <v>443</v>
      </c>
      <c r="C24" s="254" t="s">
        <v>1137</v>
      </c>
      <c r="D24" s="80"/>
      <c r="E24" s="80"/>
      <c r="F24" s="82"/>
      <c r="G24" s="83"/>
      <c r="H24" s="80"/>
      <c r="I24" s="173">
        <f>+I22+I23</f>
        <v>153130958.020549</v>
      </c>
      <c r="J24" s="80"/>
      <c r="K24" s="214"/>
    </row>
    <row r="25" spans="1:11" ht="13">
      <c r="A25" s="81"/>
      <c r="B25" s="84"/>
      <c r="C25" s="80"/>
      <c r="D25" s="80"/>
      <c r="E25" s="80"/>
      <c r="F25" s="82"/>
      <c r="G25" s="83"/>
      <c r="H25" s="80"/>
      <c r="I25" s="79"/>
      <c r="J25" s="80"/>
      <c r="K25" s="80"/>
    </row>
    <row r="26" spans="1:11" ht="13">
      <c r="A26" s="81">
        <v>10</v>
      </c>
      <c r="B26" s="79" t="s">
        <v>663</v>
      </c>
      <c r="C26" s="80" t="s">
        <v>757</v>
      </c>
      <c r="D26" s="80"/>
      <c r="E26" s="80"/>
      <c r="F26" s="80"/>
      <c r="G26" s="83"/>
      <c r="H26" s="80"/>
      <c r="I26" s="173">
        <f>+'1-Project Rev Req'!P95</f>
        <v>0</v>
      </c>
      <c r="J26" s="80"/>
      <c r="K26" s="80"/>
    </row>
    <row r="27" spans="1:11" ht="13">
      <c r="A27" s="81"/>
      <c r="B27" s="79"/>
      <c r="C27" s="80"/>
      <c r="D27" s="80"/>
      <c r="E27" s="80"/>
      <c r="F27" s="80"/>
      <c r="G27" s="83"/>
      <c r="H27" s="80"/>
      <c r="I27" s="79"/>
      <c r="J27" s="80"/>
      <c r="K27" s="80"/>
    </row>
    <row r="28" spans="1:11" ht="13">
      <c r="A28" s="81">
        <v>11</v>
      </c>
      <c r="B28" s="84" t="s">
        <v>1128</v>
      </c>
      <c r="C28" s="80" t="s">
        <v>1129</v>
      </c>
      <c r="D28" s="85"/>
      <c r="E28" s="85"/>
      <c r="F28" s="85"/>
      <c r="G28" s="85"/>
      <c r="H28" s="85"/>
      <c r="I28" s="562">
        <v>8607.8809999999994</v>
      </c>
      <c r="J28" s="85"/>
      <c r="K28" s="80"/>
    </row>
    <row r="29" spans="1:11" ht="13">
      <c r="A29" s="176"/>
      <c r="B29" s="9"/>
      <c r="C29" s="77"/>
      <c r="D29" s="86"/>
      <c r="E29" s="86"/>
      <c r="F29" s="86"/>
      <c r="G29" s="86"/>
      <c r="H29" s="86"/>
      <c r="I29" s="86"/>
      <c r="J29" s="86"/>
      <c r="K29" s="77"/>
    </row>
    <row r="30" spans="1:11" ht="13">
      <c r="A30" s="176">
        <v>12</v>
      </c>
      <c r="B30" s="9" t="s">
        <v>1130</v>
      </c>
      <c r="C30" s="77" t="s">
        <v>1131</v>
      </c>
      <c r="D30" s="86"/>
      <c r="E30" s="86"/>
      <c r="F30" s="86"/>
      <c r="G30" s="86"/>
      <c r="H30" s="86"/>
      <c r="I30" s="295">
        <f>+I24/I28</f>
        <v>17789.623023430391</v>
      </c>
      <c r="J30" s="86"/>
      <c r="K30" s="77"/>
    </row>
    <row r="31" spans="1:11" ht="13">
      <c r="A31" s="176"/>
      <c r="B31" s="9"/>
      <c r="C31" s="77"/>
      <c r="D31" s="560"/>
      <c r="E31" s="86"/>
      <c r="F31" s="86"/>
      <c r="G31" s="86"/>
      <c r="H31" s="86"/>
      <c r="I31" s="86"/>
      <c r="J31" s="86"/>
      <c r="K31" s="77"/>
    </row>
    <row r="32" spans="1:11" ht="13">
      <c r="A32" s="176"/>
      <c r="B32" s="9"/>
      <c r="C32" s="77"/>
      <c r="D32" s="86"/>
      <c r="E32" s="86"/>
      <c r="F32" s="86"/>
      <c r="G32" s="86"/>
      <c r="H32" s="86"/>
      <c r="I32" s="86"/>
      <c r="J32" s="86"/>
      <c r="K32" s="77"/>
    </row>
    <row r="33" spans="1:11" ht="13">
      <c r="A33" s="176"/>
      <c r="B33" s="9"/>
      <c r="C33" s="77"/>
      <c r="D33" s="86"/>
      <c r="E33" s="86"/>
      <c r="F33" s="86"/>
      <c r="G33" s="86"/>
      <c r="H33" s="86"/>
      <c r="I33" s="86"/>
      <c r="J33" s="86"/>
      <c r="K33" s="77"/>
    </row>
    <row r="34" spans="1:11" ht="13">
      <c r="A34" s="176"/>
      <c r="B34" s="9"/>
      <c r="C34" s="77"/>
      <c r="D34" s="86"/>
      <c r="E34" s="86"/>
      <c r="F34" s="86"/>
      <c r="G34" s="86"/>
      <c r="H34" s="86"/>
      <c r="I34" s="86"/>
      <c r="J34" s="86"/>
      <c r="K34" s="77"/>
    </row>
    <row r="35" spans="1:11" ht="13">
      <c r="A35" s="7"/>
      <c r="B35" s="9"/>
      <c r="C35" s="77"/>
      <c r="D35" s="77"/>
      <c r="E35" s="77"/>
      <c r="F35" s="77"/>
      <c r="G35" s="77"/>
      <c r="H35" s="77"/>
      <c r="I35" s="260"/>
      <c r="J35" s="77"/>
      <c r="K35" s="261" t="s">
        <v>105</v>
      </c>
    </row>
    <row r="36" spans="1:11" ht="13">
      <c r="A36" s="7"/>
      <c r="B36" s="77"/>
      <c r="C36" s="77"/>
      <c r="D36" s="77"/>
      <c r="E36" s="77"/>
      <c r="F36" s="77"/>
      <c r="G36" s="77"/>
      <c r="H36" s="77"/>
      <c r="I36" s="77"/>
      <c r="J36" s="77"/>
      <c r="K36" s="77"/>
    </row>
    <row r="37" spans="1:11" ht="13">
      <c r="A37" s="7"/>
      <c r="B37" s="9" t="s">
        <v>1</v>
      </c>
      <c r="C37" s="9"/>
      <c r="D37" s="202" t="s">
        <v>72</v>
      </c>
      <c r="E37" s="9"/>
      <c r="F37" s="9"/>
      <c r="G37" s="9"/>
      <c r="H37" s="9"/>
      <c r="I37" s="18"/>
      <c r="J37" s="9"/>
      <c r="K37" s="261" t="str">
        <f>K3</f>
        <v>For  the 12 months ended 12/31/2019</v>
      </c>
    </row>
    <row r="38" spans="1:11" ht="13">
      <c r="A38" s="7"/>
      <c r="B38" s="9"/>
      <c r="C38" s="8"/>
      <c r="D38" s="98" t="s">
        <v>98</v>
      </c>
      <c r="E38" s="8"/>
      <c r="F38" s="8"/>
      <c r="G38" s="8"/>
      <c r="H38" s="8"/>
      <c r="I38" s="8"/>
      <c r="J38" s="8"/>
      <c r="K38" s="8"/>
    </row>
    <row r="39" spans="1:11" ht="13">
      <c r="A39" s="7"/>
      <c r="B39" s="9"/>
      <c r="C39" s="8"/>
      <c r="D39" s="98" t="str">
        <f>+D5</f>
        <v>PECO Energy Company</v>
      </c>
      <c r="E39" s="8"/>
      <c r="F39" s="8"/>
      <c r="G39" s="8" t="s">
        <v>2</v>
      </c>
      <c r="H39" s="8"/>
      <c r="I39" s="8"/>
      <c r="J39" s="8"/>
      <c r="K39" s="8"/>
    </row>
    <row r="40" spans="1:11" ht="13">
      <c r="A40" s="1048"/>
      <c r="B40" s="1048"/>
      <c r="C40" s="1048"/>
      <c r="D40" s="1048"/>
      <c r="E40" s="1048"/>
      <c r="F40" s="1048"/>
      <c r="G40" s="1048"/>
      <c r="H40" s="1048"/>
      <c r="I40" s="1048"/>
      <c r="J40" s="1048"/>
      <c r="K40" s="1048"/>
    </row>
    <row r="41" spans="1:11" ht="13">
      <c r="A41" s="7"/>
      <c r="B41" s="202" t="s">
        <v>3</v>
      </c>
      <c r="C41" s="202" t="s">
        <v>4</v>
      </c>
      <c r="D41" s="202" t="s">
        <v>5</v>
      </c>
      <c r="E41" s="8" t="s">
        <v>2</v>
      </c>
      <c r="F41" s="8"/>
      <c r="G41" s="101" t="s">
        <v>6</v>
      </c>
      <c r="H41" s="8"/>
      <c r="I41" s="101" t="s">
        <v>7</v>
      </c>
      <c r="J41" s="8"/>
      <c r="K41" s="202"/>
    </row>
    <row r="42" spans="1:11" ht="13">
      <c r="A42" s="7"/>
      <c r="B42" s="9"/>
      <c r="C42" s="262"/>
      <c r="D42" s="8"/>
      <c r="E42" s="8"/>
      <c r="F42" s="8"/>
      <c r="G42" s="176"/>
      <c r="H42" s="8"/>
      <c r="I42" s="263" t="s">
        <v>17</v>
      </c>
      <c r="J42" s="8"/>
      <c r="K42" s="202"/>
    </row>
    <row r="43" spans="1:11" ht="13">
      <c r="A43" s="176" t="s">
        <v>8</v>
      </c>
      <c r="B43" s="9"/>
      <c r="C43" s="264" t="s">
        <v>207</v>
      </c>
      <c r="D43" s="263" t="s">
        <v>19</v>
      </c>
      <c r="E43" s="265"/>
      <c r="F43" s="263" t="s">
        <v>20</v>
      </c>
      <c r="G43" s="7"/>
      <c r="H43" s="265"/>
      <c r="I43" s="176" t="s">
        <v>21</v>
      </c>
      <c r="J43" s="8"/>
      <c r="K43" s="202"/>
    </row>
    <row r="44" spans="1:11" ht="13.5" thickBot="1">
      <c r="A44" s="241" t="s">
        <v>10</v>
      </c>
      <c r="B44" s="266" t="s">
        <v>313</v>
      </c>
      <c r="C44" s="8"/>
      <c r="D44" s="8"/>
      <c r="E44" s="8"/>
      <c r="F44" s="8"/>
      <c r="G44" s="8"/>
      <c r="H44" s="8"/>
      <c r="I44" s="8"/>
      <c r="J44" s="8"/>
      <c r="K44" s="8"/>
    </row>
    <row r="45" spans="1:11" ht="13">
      <c r="A45" s="176"/>
      <c r="B45" s="9" t="s">
        <v>361</v>
      </c>
      <c r="C45" s="8"/>
      <c r="D45" s="8"/>
      <c r="E45" s="8"/>
      <c r="F45" s="8"/>
      <c r="G45" s="8"/>
      <c r="H45" s="8"/>
      <c r="I45" s="8"/>
      <c r="J45" s="8"/>
      <c r="K45" s="8"/>
    </row>
    <row r="46" spans="1:11" ht="13">
      <c r="A46" s="176">
        <v>1</v>
      </c>
      <c r="B46" s="9" t="s">
        <v>264</v>
      </c>
      <c r="C46" s="91" t="s">
        <v>427</v>
      </c>
      <c r="D46" s="371">
        <v>0</v>
      </c>
      <c r="E46" s="8"/>
      <c r="F46" s="8" t="s">
        <v>22</v>
      </c>
      <c r="G46" s="267" t="s">
        <v>2</v>
      </c>
      <c r="H46" s="8"/>
      <c r="I46" s="90">
        <v>0</v>
      </c>
      <c r="J46" s="8"/>
      <c r="K46" s="8"/>
    </row>
    <row r="47" spans="1:11" ht="13">
      <c r="A47" s="176">
        <f>+A46+1</f>
        <v>2</v>
      </c>
      <c r="B47" s="9" t="s">
        <v>23</v>
      </c>
      <c r="C47" s="91" t="s">
        <v>266</v>
      </c>
      <c r="D47" s="90">
        <f>'4- Rate Base'!C24</f>
        <v>1659200189.1210401</v>
      </c>
      <c r="E47" s="8"/>
      <c r="F47" s="8" t="s">
        <v>15</v>
      </c>
      <c r="G47" s="525">
        <f>I189</f>
        <v>1</v>
      </c>
      <c r="H47" s="91"/>
      <c r="I47" s="90">
        <f>+G47*D47</f>
        <v>1659200189.1210401</v>
      </c>
      <c r="J47" s="8"/>
      <c r="K47" s="8"/>
    </row>
    <row r="48" spans="1:11" ht="13">
      <c r="A48" s="176">
        <f>+A47+1</f>
        <v>3</v>
      </c>
      <c r="B48" s="9" t="s">
        <v>265</v>
      </c>
      <c r="C48" s="91" t="s">
        <v>268</v>
      </c>
      <c r="D48" s="371">
        <v>6533310281.1189432</v>
      </c>
      <c r="E48" s="8"/>
      <c r="F48" s="8" t="s">
        <v>22</v>
      </c>
      <c r="G48" s="525">
        <v>0</v>
      </c>
      <c r="H48" s="91"/>
      <c r="I48" s="90">
        <f>+G48*D48</f>
        <v>0</v>
      </c>
      <c r="J48" s="8"/>
      <c r="K48" s="8"/>
    </row>
    <row r="49" spans="1:11" ht="13">
      <c r="A49" s="176">
        <f>+A48+1</f>
        <v>4</v>
      </c>
      <c r="B49" s="9" t="s">
        <v>714</v>
      </c>
      <c r="C49" s="91" t="s">
        <v>267</v>
      </c>
      <c r="D49" s="90">
        <f>'4- Rate Base'!D24</f>
        <v>276521152.31076914</v>
      </c>
      <c r="E49" s="8"/>
      <c r="F49" s="8" t="s">
        <v>24</v>
      </c>
      <c r="G49" s="525">
        <f>I197</f>
        <v>0.09880621410235467</v>
      </c>
      <c r="H49" s="91"/>
      <c r="I49" s="90">
        <f>+G49*D49</f>
        <v>27322008.179047681</v>
      </c>
      <c r="J49" s="8"/>
      <c r="K49" s="8"/>
    </row>
    <row r="50" spans="1:11" ht="13">
      <c r="A50" s="176">
        <f t="shared" si="0" ref="A50:A51">+A49+1</f>
        <v>5</v>
      </c>
      <c r="B50" s="9" t="s">
        <v>715</v>
      </c>
      <c r="C50" s="91" t="s">
        <v>1069</v>
      </c>
      <c r="D50" s="90">
        <f>+'4D - Intangible Pnt'!T27</f>
        <v>180221841.48403412</v>
      </c>
      <c r="E50" s="8"/>
      <c r="F50" s="8" t="s">
        <v>76</v>
      </c>
      <c r="G50" s="525"/>
      <c r="H50" s="91"/>
      <c r="I50" s="197">
        <f>'4D - Intangible Pnt'!T29</f>
        <v>20241324.357894506</v>
      </c>
      <c r="J50" s="8"/>
      <c r="K50" s="8"/>
    </row>
    <row r="51" spans="1:11" ht="13">
      <c r="A51" s="176">
        <f t="shared" si="0"/>
        <v>6</v>
      </c>
      <c r="B51" s="9" t="s">
        <v>1123</v>
      </c>
      <c r="C51" s="91" t="s">
        <v>1070</v>
      </c>
      <c r="D51" s="197">
        <f>'4- Rate Base'!E24</f>
        <v>657475390.06528974</v>
      </c>
      <c r="E51" s="8"/>
      <c r="F51" s="8" t="str">
        <f>F49</f>
        <v>W/S</v>
      </c>
      <c r="G51" s="525">
        <f>G49</f>
        <v>0.09880621410235467</v>
      </c>
      <c r="H51" s="91"/>
      <c r="I51" s="197">
        <f>+G51*D51</f>
        <v>64962654.157820165</v>
      </c>
      <c r="J51" s="8"/>
      <c r="K51" s="8"/>
    </row>
    <row r="52" spans="1:11" ht="13.5" thickBot="1">
      <c r="A52" s="176">
        <f t="shared" si="1" ref="A52:A53">+A51+1</f>
        <v>7</v>
      </c>
      <c r="B52" s="9" t="s">
        <v>1125</v>
      </c>
      <c r="C52" s="8" t="s">
        <v>1071</v>
      </c>
      <c r="D52" s="93">
        <f>-'4E COA'!H34</f>
        <v>-3229861.3401600001</v>
      </c>
      <c r="E52" s="8"/>
      <c r="F52" s="8" t="str">
        <f>F51</f>
        <v>W/S</v>
      </c>
      <c r="G52" s="525">
        <f>G51</f>
        <v>0.09880621410235467</v>
      </c>
      <c r="H52" s="91"/>
      <c r="I52" s="93">
        <f>D52*G52</f>
        <v>-319130.37109676714</v>
      </c>
      <c r="J52" s="8"/>
      <c r="K52" s="8"/>
    </row>
    <row r="53" spans="1:11" ht="13">
      <c r="A53" s="176">
        <f t="shared" si="1"/>
        <v>8</v>
      </c>
      <c r="B53" s="76" t="s">
        <v>219</v>
      </c>
      <c r="C53" s="8" t="s">
        <v>1072</v>
      </c>
      <c r="D53" s="90">
        <f>SUM(D46:D52)</f>
        <v>9303498992.7599163</v>
      </c>
      <c r="E53" s="8"/>
      <c r="F53" s="8" t="s">
        <v>25</v>
      </c>
      <c r="G53" s="426">
        <f>IF(I53&gt;0,I53/D53,0)</f>
        <v>0.19040223971897385</v>
      </c>
      <c r="H53" s="91"/>
      <c r="I53" s="90">
        <f>SUM(I46:I52)</f>
        <v>1771407045.4447055</v>
      </c>
      <c r="J53" s="8"/>
      <c r="K53" s="177"/>
    </row>
    <row r="54" spans="1:11" ht="13">
      <c r="A54" s="176"/>
      <c r="B54" s="9"/>
      <c r="C54" s="8"/>
      <c r="D54" s="90"/>
      <c r="E54" s="8"/>
      <c r="F54" s="8"/>
      <c r="G54" s="426"/>
      <c r="H54" s="8"/>
      <c r="I54" s="90"/>
      <c r="J54" s="8"/>
      <c r="K54" s="177"/>
    </row>
    <row r="55" spans="1:11" ht="13">
      <c r="A55" s="176">
        <f>+A53+1</f>
        <v>9</v>
      </c>
      <c r="B55" s="9" t="s">
        <v>362</v>
      </c>
      <c r="C55" s="8"/>
      <c r="D55" s="90"/>
      <c r="E55" s="8"/>
      <c r="F55" s="8"/>
      <c r="G55" s="525"/>
      <c r="H55" s="8"/>
      <c r="I55" s="90"/>
      <c r="J55" s="8"/>
      <c r="K55" s="8"/>
    </row>
    <row r="56" spans="1:11" ht="13">
      <c r="A56" s="176">
        <f>+A55+1</f>
        <v>10</v>
      </c>
      <c r="B56" s="9" t="s">
        <v>264</v>
      </c>
      <c r="C56" s="8" t="s">
        <v>269</v>
      </c>
      <c r="D56" s="371">
        <v>0</v>
      </c>
      <c r="E56" s="8"/>
      <c r="F56" s="8" t="s">
        <v>22</v>
      </c>
      <c r="G56" s="525" t="s">
        <v>2</v>
      </c>
      <c r="H56" s="8"/>
      <c r="I56" s="90">
        <v>0</v>
      </c>
      <c r="J56" s="8"/>
      <c r="K56" s="8"/>
    </row>
    <row r="57" spans="1:11" ht="13">
      <c r="A57" s="176">
        <f>+A56+1</f>
        <v>11</v>
      </c>
      <c r="B57" s="9" t="s">
        <v>23</v>
      </c>
      <c r="C57" s="8" t="s">
        <v>1558</v>
      </c>
      <c r="D57" s="90">
        <f>'8 - Depreciation Rates'!G121</f>
        <v>516141465.19694614</v>
      </c>
      <c r="E57" s="8"/>
      <c r="F57" s="8" t="s">
        <v>15</v>
      </c>
      <c r="G57" s="525">
        <f>+G47</f>
        <v>1</v>
      </c>
      <c r="H57" s="91"/>
      <c r="I57" s="90">
        <f>+G57*D57</f>
        <v>516141465.19694614</v>
      </c>
      <c r="J57" s="8"/>
      <c r="K57" s="8"/>
    </row>
    <row r="58" spans="1:11" ht="13">
      <c r="A58" s="176">
        <f>+A57+1</f>
        <v>12</v>
      </c>
      <c r="B58" s="9" t="s">
        <v>265</v>
      </c>
      <c r="C58" s="8" t="s">
        <v>270</v>
      </c>
      <c r="D58" s="371">
        <v>1799359435.3258259</v>
      </c>
      <c r="E58" s="8"/>
      <c r="F58" s="8" t="s">
        <v>22</v>
      </c>
      <c r="G58" s="525">
        <f>+G48</f>
        <v>0</v>
      </c>
      <c r="H58" s="91"/>
      <c r="I58" s="90">
        <f>+G58*D58</f>
        <v>0</v>
      </c>
      <c r="J58" s="8"/>
      <c r="K58" s="8"/>
    </row>
    <row r="59" spans="1:11" ht="13">
      <c r="A59" s="176">
        <f>+A58+1</f>
        <v>13</v>
      </c>
      <c r="B59" s="9" t="s">
        <v>714</v>
      </c>
      <c r="C59" s="8" t="s">
        <v>1559</v>
      </c>
      <c r="D59" s="90">
        <f>'8 - Depreciation Rates'!G122</f>
        <v>82113018.075872928</v>
      </c>
      <c r="E59" s="8"/>
      <c r="F59" s="8" t="s">
        <v>24</v>
      </c>
      <c r="G59" s="525">
        <f>+G49</f>
        <v>0.09880621410235467</v>
      </c>
      <c r="H59" s="91"/>
      <c r="I59" s="90">
        <f>+G59*D59</f>
        <v>8113276.4445952196</v>
      </c>
      <c r="J59" s="8"/>
      <c r="K59" s="8"/>
    </row>
    <row r="60" spans="1:11" ht="13">
      <c r="A60" s="176">
        <f t="shared" si="2" ref="A60:A61">+A59+1</f>
        <v>14</v>
      </c>
      <c r="B60" s="9" t="s">
        <v>715</v>
      </c>
      <c r="C60" s="8" t="s">
        <v>1560</v>
      </c>
      <c r="D60" s="90">
        <f>'8 - Depreciation Rates'!G127</f>
        <v>121546006.16311133</v>
      </c>
      <c r="E60" s="8"/>
      <c r="F60" s="8" t="s">
        <v>76</v>
      </c>
      <c r="G60" s="525"/>
      <c r="H60" s="91"/>
      <c r="I60" s="197">
        <f>'8 - Depreciation Rates'!I127</f>
        <v>11085000.342121169</v>
      </c>
      <c r="J60" s="8"/>
      <c r="K60" s="8"/>
    </row>
    <row r="61" spans="1:11" ht="13">
      <c r="A61" s="176">
        <f t="shared" si="2"/>
        <v>15</v>
      </c>
      <c r="B61" s="9" t="s">
        <v>1123</v>
      </c>
      <c r="C61" s="8" t="s">
        <v>1561</v>
      </c>
      <c r="D61" s="197">
        <f>'8 - Depreciation Rates'!G123</f>
        <v>300168304.63152939</v>
      </c>
      <c r="E61" s="8"/>
      <c r="F61" s="8" t="str">
        <f>F52</f>
        <v>W/S</v>
      </c>
      <c r="G61" s="525">
        <f>+G51</f>
        <v>0.09880621410235467</v>
      </c>
      <c r="H61" s="91"/>
      <c r="I61" s="197">
        <f>+G61*D61</f>
        <v>29658493.774163712</v>
      </c>
      <c r="J61" s="8"/>
      <c r="K61" s="8"/>
    </row>
    <row r="62" spans="1:11" ht="13.5" thickBot="1">
      <c r="A62" s="176">
        <f t="shared" si="3" ref="A62:A63">+A61+1</f>
        <v>16</v>
      </c>
      <c r="B62" s="9" t="s">
        <v>1125</v>
      </c>
      <c r="C62" s="8" t="s">
        <v>1073</v>
      </c>
      <c r="D62" s="93">
        <f>-'4E COA'!H51</f>
        <v>-1030927.6755048449</v>
      </c>
      <c r="E62" s="8"/>
      <c r="F62" s="8" t="str">
        <f>F61</f>
        <v>W/S</v>
      </c>
      <c r="G62" s="525">
        <f>G61</f>
        <v>0.09880621410235467</v>
      </c>
      <c r="H62" s="91"/>
      <c r="I62" s="93">
        <f>+G62*D62</f>
        <v>-101862.06062997453</v>
      </c>
      <c r="J62" s="8"/>
      <c r="K62" s="8"/>
    </row>
    <row r="63" spans="1:11" ht="13">
      <c r="A63" s="176">
        <f t="shared" si="3"/>
        <v>17</v>
      </c>
      <c r="B63" s="9" t="s">
        <v>220</v>
      </c>
      <c r="C63" s="8" t="s">
        <v>1074</v>
      </c>
      <c r="D63" s="90">
        <f>SUM(D56:D62)</f>
        <v>2818297301.7177806</v>
      </c>
      <c r="E63" s="8"/>
      <c r="F63" s="8"/>
      <c r="G63" s="426"/>
      <c r="H63" s="91"/>
      <c r="I63" s="90">
        <f>SUM(I56:I62)</f>
        <v>564896373.69719625</v>
      </c>
      <c r="J63" s="8"/>
      <c r="K63" s="8"/>
    </row>
    <row r="64" spans="1:11" ht="13">
      <c r="A64" s="176"/>
      <c r="B64" s="7"/>
      <c r="C64" s="8" t="s">
        <v>2</v>
      </c>
      <c r="D64" s="90"/>
      <c r="E64" s="8"/>
      <c r="F64" s="8"/>
      <c r="G64" s="426"/>
      <c r="H64" s="8"/>
      <c r="I64" s="90"/>
      <c r="J64" s="8"/>
      <c r="K64" s="177"/>
    </row>
    <row r="65" spans="1:11" ht="13">
      <c r="A65" s="176">
        <f>+A63+1</f>
        <v>18</v>
      </c>
      <c r="B65" s="9" t="s">
        <v>26</v>
      </c>
      <c r="C65" s="8"/>
      <c r="D65" s="90"/>
      <c r="E65" s="8"/>
      <c r="F65" s="8"/>
      <c r="G65" s="525"/>
      <c r="H65" s="8"/>
      <c r="I65" s="90"/>
      <c r="J65" s="8"/>
      <c r="K65" s="8"/>
    </row>
    <row r="66" spans="1:11" ht="13">
      <c r="A66" s="176">
        <f>+A65+1</f>
        <v>19</v>
      </c>
      <c r="B66" s="9" t="s">
        <v>264</v>
      </c>
      <c r="C66" s="8" t="str">
        <f>"(line "&amp;A46&amp;" minus line "&amp;A56&amp;")"</f>
        <v>(line 1 minus line 10)</v>
      </c>
      <c r="D66" s="90">
        <f t="shared" si="4" ref="D66:D72">D46-D56</f>
        <v>0</v>
      </c>
      <c r="E66" s="91"/>
      <c r="F66" s="91"/>
      <c r="G66" s="426"/>
      <c r="H66" s="91"/>
      <c r="I66" s="90">
        <f t="shared" si="5" ref="I66:I72">I46-I56</f>
        <v>0</v>
      </c>
      <c r="J66" s="8"/>
      <c r="K66" s="177"/>
    </row>
    <row r="67" spans="1:11" ht="13">
      <c r="A67" s="176">
        <f>+A66+1</f>
        <v>20</v>
      </c>
      <c r="B67" s="9" t="s">
        <v>23</v>
      </c>
      <c r="C67" s="8" t="str">
        <f t="shared" si="6" ref="C67:C72">"(line "&amp;A47&amp;" minus line "&amp;A57&amp;")"</f>
        <v>(line 2 minus line 11)</v>
      </c>
      <c r="D67" s="90">
        <f t="shared" si="4"/>
        <v>1143058723.924094</v>
      </c>
      <c r="E67" s="91"/>
      <c r="F67" s="91"/>
      <c r="G67" s="525"/>
      <c r="H67" s="91"/>
      <c r="I67" s="90">
        <f t="shared" si="5"/>
        <v>1143058723.924094</v>
      </c>
      <c r="J67" s="8"/>
      <c r="K67" s="177"/>
    </row>
    <row r="68" spans="1:11" ht="13">
      <c r="A68" s="176">
        <f>+A67+1</f>
        <v>21</v>
      </c>
      <c r="B68" s="9" t="s">
        <v>265</v>
      </c>
      <c r="C68" s="8" t="str">
        <f t="shared" si="6"/>
        <v>(line 3 minus line 12)</v>
      </c>
      <c r="D68" s="90">
        <f t="shared" si="4"/>
        <v>4733950845.7931175</v>
      </c>
      <c r="E68" s="91"/>
      <c r="F68" s="91"/>
      <c r="G68" s="426"/>
      <c r="H68" s="91"/>
      <c r="I68" s="90">
        <f t="shared" si="5"/>
        <v>0</v>
      </c>
      <c r="J68" s="8"/>
      <c r="K68" s="177"/>
    </row>
    <row r="69" spans="1:11" ht="13">
      <c r="A69" s="176">
        <f>+A68+1</f>
        <v>22</v>
      </c>
      <c r="B69" s="9" t="s">
        <v>714</v>
      </c>
      <c r="C69" s="8" t="str">
        <f t="shared" si="6"/>
        <v>(line 4 minus line 13)</v>
      </c>
      <c r="D69" s="90">
        <f t="shared" si="4"/>
        <v>194408134.23489621</v>
      </c>
      <c r="E69" s="91"/>
      <c r="F69" s="91"/>
      <c r="G69" s="426"/>
      <c r="H69" s="91"/>
      <c r="I69" s="90">
        <f t="shared" si="5"/>
        <v>19208731.734452464</v>
      </c>
      <c r="J69" s="8"/>
      <c r="K69" s="177"/>
    </row>
    <row r="70" spans="1:11" ht="13">
      <c r="A70" s="176">
        <f t="shared" si="7" ref="A70:A71">+A69+1</f>
        <v>23</v>
      </c>
      <c r="B70" s="9" t="s">
        <v>715</v>
      </c>
      <c r="C70" s="8" t="str">
        <f t="shared" si="6"/>
        <v>(line 5 minus line 14)</v>
      </c>
      <c r="D70" s="90">
        <f t="shared" si="4"/>
        <v>58675835.320922792</v>
      </c>
      <c r="E70" s="91"/>
      <c r="F70" s="91"/>
      <c r="G70" s="426"/>
      <c r="H70" s="91"/>
      <c r="I70" s="90">
        <f t="shared" si="5"/>
        <v>9156324.0157733373</v>
      </c>
      <c r="J70" s="8"/>
      <c r="K70" s="177"/>
    </row>
    <row r="71" spans="1:11" ht="13">
      <c r="A71" s="176">
        <f t="shared" si="7"/>
        <v>24</v>
      </c>
      <c r="B71" s="9" t="s">
        <v>1123</v>
      </c>
      <c r="C71" s="8" t="str">
        <f t="shared" si="6"/>
        <v>(line 6 minus line 15)</v>
      </c>
      <c r="D71" s="197">
        <f t="shared" si="4"/>
        <v>357307085.43376034</v>
      </c>
      <c r="E71" s="8"/>
      <c r="F71" s="91"/>
      <c r="G71" s="426"/>
      <c r="H71" s="91"/>
      <c r="I71" s="197">
        <f t="shared" si="5"/>
        <v>35304160.383656457</v>
      </c>
      <c r="J71" s="8"/>
      <c r="K71" s="177"/>
    </row>
    <row r="72" spans="1:11" ht="13.5" thickBot="1">
      <c r="A72" s="176">
        <f t="shared" si="8" ref="A72:A73">+A71+1</f>
        <v>25</v>
      </c>
      <c r="B72" s="9" t="s">
        <v>1125</v>
      </c>
      <c r="C72" s="8" t="str">
        <f t="shared" si="6"/>
        <v>(line 7 minus line 16)</v>
      </c>
      <c r="D72" s="93">
        <f t="shared" si="4"/>
        <v>-2198933.6646551555</v>
      </c>
      <c r="E72" s="8"/>
      <c r="F72" s="91"/>
      <c r="G72" s="426"/>
      <c r="H72" s="91"/>
      <c r="I72" s="93">
        <f t="shared" si="5"/>
        <v>-217268.31046679261</v>
      </c>
      <c r="J72" s="8"/>
      <c r="K72" s="177"/>
    </row>
    <row r="73" spans="1:11" ht="13">
      <c r="A73" s="176">
        <f t="shared" si="8"/>
        <v>26</v>
      </c>
      <c r="B73" s="9" t="s">
        <v>222</v>
      </c>
      <c r="C73" s="8" t="s">
        <v>1075</v>
      </c>
      <c r="D73" s="90">
        <f>SUM(D66:D72)</f>
        <v>6485201691.0421371</v>
      </c>
      <c r="E73" s="8"/>
      <c r="F73" s="8" t="s">
        <v>27</v>
      </c>
      <c r="G73" s="426">
        <f>IF(I73&gt;0,I73/D73,0)</f>
        <v>0.18604057810785368</v>
      </c>
      <c r="H73" s="91"/>
      <c r="I73" s="90">
        <f>SUM(I66:I72)</f>
        <v>1206510671.7475095</v>
      </c>
      <c r="J73" s="8"/>
      <c r="K73" s="8"/>
    </row>
    <row r="74" spans="1:11" ht="13">
      <c r="A74" s="176"/>
      <c r="B74" s="7"/>
      <c r="C74" s="8"/>
      <c r="D74" s="90"/>
      <c r="E74" s="8"/>
      <c r="F74" s="7"/>
      <c r="G74" s="525"/>
      <c r="H74" s="8"/>
      <c r="I74" s="90"/>
      <c r="J74" s="8"/>
      <c r="K74" s="177"/>
    </row>
    <row r="75" spans="1:11" ht="13">
      <c r="A75" s="176">
        <f>+A73+1</f>
        <v>27</v>
      </c>
      <c r="B75" s="76" t="s">
        <v>363</v>
      </c>
      <c r="C75" s="8"/>
      <c r="D75" s="90"/>
      <c r="E75" s="8"/>
      <c r="F75" s="8"/>
      <c r="G75" s="525"/>
      <c r="H75" s="8"/>
      <c r="I75" s="90"/>
      <c r="J75" s="8"/>
      <c r="K75" s="8"/>
    </row>
    <row r="76" spans="1:11" ht="13">
      <c r="A76" s="176">
        <f>+A75+1</f>
        <v>28</v>
      </c>
      <c r="B76" s="9" t="s">
        <v>87</v>
      </c>
      <c r="C76" s="8" t="s">
        <v>1076</v>
      </c>
      <c r="D76" s="90" t="str">
        <f>+'4- Rate Base'!E44</f>
        <v>Zero</v>
      </c>
      <c r="E76" s="8"/>
      <c r="F76" s="8" t="s">
        <v>22</v>
      </c>
      <c r="G76" s="205" t="s">
        <v>106</v>
      </c>
      <c r="H76" s="91"/>
      <c r="I76" s="90">
        <v>0</v>
      </c>
      <c r="J76" s="8"/>
      <c r="K76" s="177"/>
    </row>
    <row r="77" spans="1:11" ht="13">
      <c r="A77" s="176">
        <f>+A76+1</f>
        <v>29</v>
      </c>
      <c r="B77" s="9" t="s">
        <v>88</v>
      </c>
      <c r="C77" s="8" t="s">
        <v>1138</v>
      </c>
      <c r="D77" s="197">
        <f>'4- Rate Base'!F44</f>
        <v>-200013163.04214197</v>
      </c>
      <c r="E77" s="8"/>
      <c r="F77" s="8" t="s">
        <v>15</v>
      </c>
      <c r="G77" s="525">
        <f>G84</f>
        <v>1</v>
      </c>
      <c r="H77" s="91"/>
      <c r="I77" s="90">
        <f>D77*G77</f>
        <v>-200013163.04214197</v>
      </c>
      <c r="J77" s="8"/>
      <c r="K77" s="177"/>
    </row>
    <row r="78" spans="1:11" ht="13">
      <c r="A78" s="176">
        <f>+A77+1</f>
        <v>30</v>
      </c>
      <c r="B78" s="9" t="s">
        <v>89</v>
      </c>
      <c r="C78" s="8" t="s">
        <v>1139</v>
      </c>
      <c r="D78" s="197">
        <f>'4- Rate Base'!G44</f>
        <v>-11806600.003910126</v>
      </c>
      <c r="E78" s="8"/>
      <c r="F78" s="8" t="s">
        <v>15</v>
      </c>
      <c r="G78" s="525">
        <f>+G77</f>
        <v>1</v>
      </c>
      <c r="H78" s="91"/>
      <c r="I78" s="90">
        <f>D78*G78</f>
        <v>-11806600.003910126</v>
      </c>
      <c r="J78" s="8"/>
      <c r="K78" s="177"/>
    </row>
    <row r="79" spans="1:11" ht="13">
      <c r="A79" s="176">
        <f>+A78+1</f>
        <v>31</v>
      </c>
      <c r="B79" s="9" t="s">
        <v>94</v>
      </c>
      <c r="C79" s="8" t="s">
        <v>1140</v>
      </c>
      <c r="D79" s="197">
        <f>'4- Rate Base'!H44</f>
        <v>15676016.413377274</v>
      </c>
      <c r="E79" s="8"/>
      <c r="F79" s="8" t="s">
        <v>15</v>
      </c>
      <c r="G79" s="525">
        <f>+G78</f>
        <v>1</v>
      </c>
      <c r="H79" s="91"/>
      <c r="I79" s="90">
        <f>D79*G79</f>
        <v>15676016.413377274</v>
      </c>
      <c r="J79" s="8"/>
      <c r="K79" s="177"/>
    </row>
    <row r="80" spans="1:11" ht="13">
      <c r="A80" s="176" t="s">
        <v>1411</v>
      </c>
      <c r="B80" s="9" t="s">
        <v>1414</v>
      </c>
      <c r="C80" s="8" t="s">
        <v>1415</v>
      </c>
      <c r="D80" s="197">
        <f>-'9 - EDIT'!P40</f>
        <v>-80402291.279378772</v>
      </c>
      <c r="E80" s="8"/>
      <c r="F80" s="8" t="s">
        <v>15</v>
      </c>
      <c r="G80" s="525">
        <f t="shared" si="9" ref="G80:G82">+G79</f>
        <v>1</v>
      </c>
      <c r="H80" s="91"/>
      <c r="I80" s="90">
        <f>D80*G80</f>
        <v>-80402291.279378772</v>
      </c>
      <c r="J80" s="8"/>
      <c r="K80" s="177"/>
    </row>
    <row r="81" spans="1:11" ht="13">
      <c r="A81" s="176" t="s">
        <v>1412</v>
      </c>
      <c r="B81" s="9" t="s">
        <v>1416</v>
      </c>
      <c r="C81" s="8" t="s">
        <v>1418</v>
      </c>
      <c r="D81" s="197">
        <f>-'9 - EDIT'!P42</f>
        <v>-15751190.928571429</v>
      </c>
      <c r="E81" s="8"/>
      <c r="F81" s="8" t="s">
        <v>15</v>
      </c>
      <c r="G81" s="525">
        <f t="shared" si="9"/>
        <v>1</v>
      </c>
      <c r="H81" s="91"/>
      <c r="I81" s="90">
        <f>D81*G81</f>
        <v>-15751190.928571429</v>
      </c>
      <c r="J81" s="8"/>
      <c r="K81" s="177"/>
    </row>
    <row r="82" spans="1:11" ht="13">
      <c r="A82" s="176" t="s">
        <v>1413</v>
      </c>
      <c r="B82" s="9" t="s">
        <v>1417</v>
      </c>
      <c r="C82" s="8" t="s">
        <v>1419</v>
      </c>
      <c r="D82" s="197">
        <f>-'9 - EDIT'!P46</f>
        <v>234018.89999999851</v>
      </c>
      <c r="E82" s="8"/>
      <c r="F82" s="8" t="s">
        <v>15</v>
      </c>
      <c r="G82" s="525">
        <f t="shared" si="9"/>
        <v>1</v>
      </c>
      <c r="H82" s="91"/>
      <c r="I82" s="90">
        <f t="shared" si="10" ref="I82">D82*G82</f>
        <v>234018.89999999851</v>
      </c>
      <c r="J82" s="8"/>
      <c r="K82" s="177"/>
    </row>
    <row r="83" spans="1:11" ht="13">
      <c r="A83" s="176">
        <f>+A79+1</f>
        <v>32</v>
      </c>
      <c r="B83" s="7" t="s">
        <v>90</v>
      </c>
      <c r="C83" s="8" t="s">
        <v>366</v>
      </c>
      <c r="D83" s="197">
        <f>'4- Rate Base'!I44</f>
        <v>0</v>
      </c>
      <c r="E83" s="8"/>
      <c r="F83" s="8" t="s">
        <v>15</v>
      </c>
      <c r="G83" s="525">
        <f>+G78</f>
        <v>1</v>
      </c>
      <c r="H83" s="91"/>
      <c r="I83" s="197">
        <f>D83*G83</f>
        <v>0</v>
      </c>
      <c r="J83" s="8"/>
      <c r="K83" s="177"/>
    </row>
    <row r="84" spans="1:11" ht="13">
      <c r="A84" s="176">
        <f t="shared" si="11" ref="A84:A91">+A83+1</f>
        <v>33</v>
      </c>
      <c r="B84" s="7" t="s">
        <v>360</v>
      </c>
      <c r="C84" s="7" t="s">
        <v>438</v>
      </c>
      <c r="D84" s="197">
        <f>'4- Rate Base'!I71</f>
        <v>-5918001.2716338281</v>
      </c>
      <c r="E84" s="8"/>
      <c r="F84" s="8" t="s">
        <v>76</v>
      </c>
      <c r="G84" s="525">
        <f>G85</f>
        <v>1</v>
      </c>
      <c r="H84" s="91"/>
      <c r="I84" s="197">
        <f t="shared" si="12" ref="I84:I90">+G84*D84</f>
        <v>-5918001.2716338281</v>
      </c>
      <c r="J84" s="8"/>
      <c r="K84" s="177"/>
    </row>
    <row r="85" spans="1:11" ht="13">
      <c r="A85" s="176">
        <f t="shared" si="11"/>
        <v>34</v>
      </c>
      <c r="B85" s="268" t="s">
        <v>86</v>
      </c>
      <c r="C85" s="89" t="s">
        <v>709</v>
      </c>
      <c r="D85" s="197">
        <f>'4- Rate Base'!F24</f>
        <v>0</v>
      </c>
      <c r="E85" s="87"/>
      <c r="F85" s="87" t="str">
        <f>+F87</f>
        <v>DA</v>
      </c>
      <c r="G85" s="379">
        <v>1</v>
      </c>
      <c r="H85" s="87"/>
      <c r="I85" s="197">
        <f t="shared" si="12"/>
        <v>0</v>
      </c>
      <c r="K85" s="177"/>
    </row>
    <row r="86" spans="1:11" ht="13">
      <c r="A86" s="176">
        <f t="shared" si="11"/>
        <v>35</v>
      </c>
      <c r="B86" s="268" t="s">
        <v>791</v>
      </c>
      <c r="C86" s="89" t="s">
        <v>1077</v>
      </c>
      <c r="D86" s="197">
        <f>+'4- Rate Base'!J44</f>
        <v>27945369.123580255</v>
      </c>
      <c r="E86" s="87"/>
      <c r="F86" s="87" t="str">
        <f>+F88</f>
        <v>DA</v>
      </c>
      <c r="G86" s="379">
        <v>1</v>
      </c>
      <c r="H86" s="87"/>
      <c r="I86" s="197">
        <f t="shared" si="12"/>
        <v>27945369.123580255</v>
      </c>
      <c r="K86" s="177"/>
    </row>
    <row r="87" spans="1:11" ht="13">
      <c r="A87" s="176">
        <f t="shared" si="11"/>
        <v>36</v>
      </c>
      <c r="B87" s="88" t="s">
        <v>100</v>
      </c>
      <c r="C87" s="89" t="s">
        <v>1078</v>
      </c>
      <c r="D87" s="197">
        <f>+'4- Rate Base'!C44</f>
        <v>0</v>
      </c>
      <c r="E87" s="87"/>
      <c r="F87" s="87" t="str">
        <f>+F88</f>
        <v>DA</v>
      </c>
      <c r="G87" s="379">
        <v>1</v>
      </c>
      <c r="H87" s="87"/>
      <c r="I87" s="197">
        <f t="shared" si="12"/>
        <v>0</v>
      </c>
      <c r="K87" s="177"/>
    </row>
    <row r="88" spans="1:11" ht="13">
      <c r="A88" s="176">
        <f t="shared" si="11"/>
        <v>37</v>
      </c>
      <c r="B88" s="88" t="s">
        <v>101</v>
      </c>
      <c r="C88" s="89" t="s">
        <v>1079</v>
      </c>
      <c r="D88" s="197">
        <f>+'4- Rate Base'!D44</f>
        <v>0</v>
      </c>
      <c r="E88" s="87"/>
      <c r="F88" s="87" t="s">
        <v>76</v>
      </c>
      <c r="G88" s="379">
        <v>1</v>
      </c>
      <c r="H88" s="87"/>
      <c r="I88" s="197">
        <f t="shared" si="12"/>
        <v>0</v>
      </c>
      <c r="K88" s="177"/>
    </row>
    <row r="89" spans="1:11" ht="13">
      <c r="A89" s="176">
        <f t="shared" si="11"/>
        <v>38</v>
      </c>
      <c r="B89" s="110" t="s">
        <v>656</v>
      </c>
      <c r="C89" s="110" t="s">
        <v>655</v>
      </c>
      <c r="D89" s="373">
        <v>0</v>
      </c>
      <c r="E89" s="87"/>
      <c r="F89" s="87" t="str">
        <f>+F90</f>
        <v>DA</v>
      </c>
      <c r="G89" s="379">
        <v>1</v>
      </c>
      <c r="H89" s="87"/>
      <c r="I89" s="197">
        <f t="shared" si="12"/>
        <v>0</v>
      </c>
      <c r="K89" s="177"/>
    </row>
    <row r="90" spans="1:11" ht="13.5" thickBot="1">
      <c r="A90" s="176">
        <f t="shared" si="11"/>
        <v>39</v>
      </c>
      <c r="B90" s="111" t="s">
        <v>658</v>
      </c>
      <c r="C90" s="110" t="s">
        <v>655</v>
      </c>
      <c r="D90" s="457">
        <v>0</v>
      </c>
      <c r="E90" s="87"/>
      <c r="F90" s="87" t="s">
        <v>76</v>
      </c>
      <c r="G90" s="379">
        <v>1</v>
      </c>
      <c r="H90" s="87"/>
      <c r="I90" s="93">
        <f t="shared" si="12"/>
        <v>0</v>
      </c>
      <c r="K90" s="177"/>
    </row>
    <row r="91" spans="1:11" ht="13">
      <c r="A91" s="176">
        <f t="shared" si="11"/>
        <v>40</v>
      </c>
      <c r="B91" s="9" t="s">
        <v>221</v>
      </c>
      <c r="C91" s="8" t="s">
        <v>1080</v>
      </c>
      <c r="D91" s="90">
        <f>SUM(D76:D90)</f>
        <v>-270035842.08867854</v>
      </c>
      <c r="E91" s="8"/>
      <c r="F91" s="8"/>
      <c r="G91" s="525"/>
      <c r="H91" s="91"/>
      <c r="I91" s="90">
        <f>SUM(I76:I90)</f>
        <v>-270035842.08867854</v>
      </c>
      <c r="J91" s="8"/>
      <c r="K91" s="8"/>
    </row>
    <row r="92" spans="1:11" ht="13">
      <c r="A92" s="176"/>
      <c r="B92" s="7"/>
      <c r="C92" s="8"/>
      <c r="D92" s="90"/>
      <c r="E92" s="8"/>
      <c r="F92" s="8"/>
      <c r="G92" s="426"/>
      <c r="H92" s="8"/>
      <c r="I92" s="90"/>
      <c r="J92" s="8"/>
      <c r="K92" s="177"/>
    </row>
    <row r="93" spans="1:11" ht="13">
      <c r="A93" s="176">
        <f>+A91+1</f>
        <v>41</v>
      </c>
      <c r="B93" s="76" t="s">
        <v>367</v>
      </c>
      <c r="C93" s="226" t="s">
        <v>282</v>
      </c>
      <c r="D93" s="90">
        <f>+'4- Rate Base'!G24</f>
        <v>685204.34999999986</v>
      </c>
      <c r="E93" s="8"/>
      <c r="F93" s="8" t="s">
        <v>15</v>
      </c>
      <c r="G93" s="525">
        <f>+G57</f>
        <v>1</v>
      </c>
      <c r="H93" s="91"/>
      <c r="I93" s="90">
        <f>+G93*D93</f>
        <v>685204.34999999986</v>
      </c>
      <c r="J93" s="8"/>
      <c r="K93" s="8"/>
    </row>
    <row r="94" spans="1:11" ht="13">
      <c r="A94" s="176"/>
      <c r="B94" s="9"/>
      <c r="C94" s="8"/>
      <c r="D94" s="90"/>
      <c r="E94" s="8"/>
      <c r="F94" s="8"/>
      <c r="G94" s="525"/>
      <c r="H94" s="91"/>
      <c r="I94" s="90"/>
      <c r="J94" s="8"/>
      <c r="K94" s="8"/>
    </row>
    <row r="95" spans="1:11" ht="13">
      <c r="A95" s="176">
        <f>+A93+1</f>
        <v>42</v>
      </c>
      <c r="B95" s="9" t="s">
        <v>224</v>
      </c>
      <c r="C95" s="8" t="s">
        <v>104</v>
      </c>
      <c r="D95" s="90"/>
      <c r="E95" s="8"/>
      <c r="F95" s="8"/>
      <c r="G95" s="525"/>
      <c r="H95" s="91"/>
      <c r="I95" s="90"/>
      <c r="J95" s="8"/>
      <c r="K95" s="8"/>
    </row>
    <row r="96" spans="1:11" ht="13">
      <c r="A96" s="176">
        <f>+A95+1</f>
        <v>43</v>
      </c>
      <c r="B96" s="9" t="s">
        <v>107</v>
      </c>
      <c r="C96" s="7" t="s">
        <v>1081</v>
      </c>
      <c r="D96" s="90">
        <f>(D125-D120)/8</f>
        <v>30999461.263345875</v>
      </c>
      <c r="E96" s="8"/>
      <c r="F96" s="8"/>
      <c r="G96" s="525"/>
      <c r="H96" s="91"/>
      <c r="I96" s="90">
        <f>(I125-I120)/8</f>
        <v>8716158.863536289</v>
      </c>
      <c r="J96" s="77"/>
      <c r="K96" s="177"/>
    </row>
    <row r="97" spans="1:11" ht="13">
      <c r="A97" s="176">
        <f>+A96+1</f>
        <v>44</v>
      </c>
      <c r="B97" s="9" t="s">
        <v>169</v>
      </c>
      <c r="C97" s="226" t="s">
        <v>774</v>
      </c>
      <c r="D97" s="90">
        <f>+'4- Rate Base'!H24</f>
        <v>13305123.278387321</v>
      </c>
      <c r="E97" s="8"/>
      <c r="F97" s="8" t="s">
        <v>15</v>
      </c>
      <c r="G97" s="525">
        <f>+G114</f>
        <v>1</v>
      </c>
      <c r="H97" s="91"/>
      <c r="I97" s="90">
        <f>+G97*D97</f>
        <v>13305123.278387321</v>
      </c>
      <c r="J97" s="8" t="s">
        <v>2</v>
      </c>
      <c r="K97" s="177"/>
    </row>
    <row r="98" spans="1:11" ht="13.5" thickBot="1">
      <c r="A98" s="176">
        <f>+A97+1</f>
        <v>45</v>
      </c>
      <c r="B98" s="9" t="s">
        <v>91</v>
      </c>
      <c r="C98" s="91" t="s">
        <v>271</v>
      </c>
      <c r="D98" s="93">
        <f>+'4- Rate Base'!I24</f>
        <v>1438555.5488216993</v>
      </c>
      <c r="E98" s="8"/>
      <c r="F98" s="8" t="s">
        <v>76</v>
      </c>
      <c r="G98" s="525">
        <v>1</v>
      </c>
      <c r="H98" s="91"/>
      <c r="I98" s="93">
        <f>+G98*D98</f>
        <v>1438555.5488216993</v>
      </c>
      <c r="J98" s="8"/>
      <c r="K98" s="177"/>
    </row>
    <row r="99" spans="1:11" ht="13">
      <c r="A99" s="176">
        <f>+A98+1</f>
        <v>46</v>
      </c>
      <c r="B99" s="9" t="s">
        <v>223</v>
      </c>
      <c r="C99" s="77" t="s">
        <v>758</v>
      </c>
      <c r="D99" s="90">
        <f>SUM(D96:D98)</f>
        <v>45743140.0905549</v>
      </c>
      <c r="E99" s="77"/>
      <c r="F99" s="77"/>
      <c r="G99" s="269"/>
      <c r="H99" s="269"/>
      <c r="I99" s="90">
        <f>SUM(I96:I98)</f>
        <v>23459837.690745309</v>
      </c>
      <c r="J99" s="77"/>
      <c r="K99" s="77"/>
    </row>
    <row r="100" spans="1:11" ht="13.5" thickBot="1">
      <c r="A100" s="176"/>
      <c r="B100" s="7"/>
      <c r="C100" s="8"/>
      <c r="D100" s="93"/>
      <c r="E100" s="8"/>
      <c r="F100" s="8"/>
      <c r="G100" s="8"/>
      <c r="H100" s="8"/>
      <c r="I100" s="93"/>
      <c r="J100" s="8"/>
      <c r="K100" s="8"/>
    </row>
    <row r="101" spans="1:11" ht="13.5" thickBot="1">
      <c r="A101" s="176">
        <f>+A99+1</f>
        <v>47</v>
      </c>
      <c r="B101" s="9" t="s">
        <v>225</v>
      </c>
      <c r="C101" s="8" t="s">
        <v>759</v>
      </c>
      <c r="D101" s="270">
        <f>+D99+D93+D91+D73</f>
        <v>6261594193.3940134</v>
      </c>
      <c r="E101" s="91"/>
      <c r="F101" s="91"/>
      <c r="G101" s="271"/>
      <c r="H101" s="91"/>
      <c r="I101" s="270">
        <f>+I99+I93+I91+I73</f>
        <v>960619871.69957626</v>
      </c>
      <c r="J101" s="8"/>
      <c r="K101" s="177"/>
    </row>
    <row r="102" spans="1:11" ht="16" thickTop="1">
      <c r="A102" s="176"/>
      <c r="B102" s="916"/>
      <c r="C102" s="593"/>
      <c r="D102" s="917"/>
      <c r="E102" s="593"/>
      <c r="F102" s="918"/>
      <c r="G102" s="919"/>
      <c r="H102" s="920"/>
      <c r="I102" s="95"/>
      <c r="J102" s="8"/>
      <c r="K102" s="177"/>
    </row>
    <row r="103" spans="1:11" ht="15.5" hidden="1">
      <c r="A103" s="176"/>
      <c r="B103" s="593"/>
      <c r="D103" s="593"/>
      <c r="E103" s="921"/>
      <c r="G103" s="593"/>
      <c r="I103" s="95"/>
      <c r="J103" s="8"/>
      <c r="K103" s="177"/>
    </row>
    <row r="104" spans="1:11" ht="15.5">
      <c r="A104" s="176"/>
      <c r="B104" s="593"/>
      <c r="D104" s="919"/>
      <c r="E104" s="921"/>
      <c r="F104" s="162"/>
      <c r="G104" s="919"/>
      <c r="I104" s="8"/>
      <c r="J104" s="8"/>
      <c r="K104" s="272" t="s">
        <v>108</v>
      </c>
    </row>
    <row r="105" spans="1:11" ht="15.5">
      <c r="A105" s="176"/>
      <c r="B105" s="593"/>
      <c r="C105" s="593"/>
      <c r="D105" s="593"/>
      <c r="E105" s="922"/>
      <c r="F105" s="918"/>
      <c r="G105" s="593"/>
      <c r="H105" s="593"/>
      <c r="I105" s="8"/>
      <c r="J105" s="8"/>
      <c r="K105" s="272"/>
    </row>
    <row r="106" spans="1:11" ht="13">
      <c r="A106" s="176"/>
      <c r="B106" s="9" t="s">
        <v>1</v>
      </c>
      <c r="C106" s="8"/>
      <c r="D106" s="98" t="s">
        <v>72</v>
      </c>
      <c r="E106" s="8"/>
      <c r="F106" s="8"/>
      <c r="G106" s="8"/>
      <c r="H106" s="8"/>
      <c r="I106" s="18"/>
      <c r="J106" s="8"/>
      <c r="K106" s="272" t="str">
        <f>K3</f>
        <v>For  the 12 months ended 12/31/2019</v>
      </c>
    </row>
    <row r="107" spans="1:11" ht="13">
      <c r="A107" s="176"/>
      <c r="B107" s="9"/>
      <c r="C107" s="8"/>
      <c r="D107" s="98" t="s">
        <v>98</v>
      </c>
      <c r="E107" s="8"/>
      <c r="F107" s="8"/>
      <c r="G107" s="8"/>
      <c r="H107" s="8"/>
      <c r="I107" s="8"/>
      <c r="J107" s="8"/>
      <c r="K107" s="8"/>
    </row>
    <row r="108" spans="1:11" ht="13">
      <c r="A108" s="176"/>
      <c r="B108" s="7"/>
      <c r="C108" s="8"/>
      <c r="D108" s="98" t="str">
        <f>+D39</f>
        <v>PECO Energy Company</v>
      </c>
      <c r="E108" s="8"/>
      <c r="F108" s="8"/>
      <c r="G108" s="8"/>
      <c r="H108" s="8"/>
      <c r="I108" s="8"/>
      <c r="J108" s="8"/>
      <c r="K108" s="8"/>
    </row>
    <row r="109" spans="1:11" ht="13">
      <c r="A109" s="1049"/>
      <c r="B109" s="1049"/>
      <c r="C109" s="1049"/>
      <c r="D109" s="1049"/>
      <c r="E109" s="1049"/>
      <c r="F109" s="1049"/>
      <c r="G109" s="1049"/>
      <c r="H109" s="1049"/>
      <c r="I109" s="1049"/>
      <c r="J109" s="1049"/>
      <c r="K109" s="1049"/>
    </row>
    <row r="110" spans="1:11" ht="13">
      <c r="A110" s="176"/>
      <c r="B110" s="202" t="s">
        <v>3</v>
      </c>
      <c r="C110" s="202" t="s">
        <v>4</v>
      </c>
      <c r="D110" s="202" t="s">
        <v>5</v>
      </c>
      <c r="E110" s="8" t="s">
        <v>2</v>
      </c>
      <c r="F110" s="8"/>
      <c r="G110" s="101" t="s">
        <v>6</v>
      </c>
      <c r="H110" s="8"/>
      <c r="I110" s="101" t="s">
        <v>7</v>
      </c>
      <c r="J110" s="8"/>
      <c r="K110" s="8"/>
    </row>
    <row r="111" spans="1:11" ht="13">
      <c r="A111" s="176" t="s">
        <v>8</v>
      </c>
      <c r="B111" s="9"/>
      <c r="C111" s="262"/>
      <c r="D111" s="8"/>
      <c r="E111" s="8"/>
      <c r="F111" s="8"/>
      <c r="G111" s="176"/>
      <c r="H111" s="8"/>
      <c r="I111" s="263" t="s">
        <v>17</v>
      </c>
      <c r="J111" s="8"/>
      <c r="K111" s="263"/>
    </row>
    <row r="112" spans="1:11" ht="13.5" thickBot="1">
      <c r="A112" s="241" t="s">
        <v>10</v>
      </c>
      <c r="B112" s="9"/>
      <c r="C112" s="264" t="s">
        <v>207</v>
      </c>
      <c r="D112" s="263" t="s">
        <v>19</v>
      </c>
      <c r="E112" s="265"/>
      <c r="F112" s="263" t="s">
        <v>20</v>
      </c>
      <c r="G112" s="7"/>
      <c r="H112" s="265"/>
      <c r="I112" s="176" t="s">
        <v>21</v>
      </c>
      <c r="J112" s="8"/>
      <c r="K112" s="263"/>
    </row>
    <row r="113" spans="1:11" ht="13">
      <c r="A113" s="176"/>
      <c r="B113" s="9" t="s">
        <v>0</v>
      </c>
      <c r="C113" s="8"/>
      <c r="D113" s="8"/>
      <c r="E113" s="8"/>
      <c r="F113" s="8"/>
      <c r="G113" s="8"/>
      <c r="H113" s="8"/>
      <c r="I113" s="8"/>
      <c r="J113" s="8"/>
      <c r="K113" s="8"/>
    </row>
    <row r="114" spans="1:11" ht="13">
      <c r="A114" s="176">
        <v>1</v>
      </c>
      <c r="B114" s="9" t="s">
        <v>29</v>
      </c>
      <c r="C114" s="8" t="s">
        <v>1082</v>
      </c>
      <c r="D114" s="90">
        <f>'5-P3 Support'!C12</f>
        <v>188583461</v>
      </c>
      <c r="E114" s="8"/>
      <c r="F114" s="8" t="s">
        <v>15</v>
      </c>
      <c r="G114" s="525">
        <f>+I189</f>
        <v>1</v>
      </c>
      <c r="H114" s="91"/>
      <c r="I114" s="90">
        <f>+G114*D114</f>
        <v>188583461</v>
      </c>
      <c r="J114" s="77"/>
      <c r="K114" s="8"/>
    </row>
    <row r="115" spans="1:11" ht="13">
      <c r="A115" s="526">
        <f>+A114+1</f>
        <v>2</v>
      </c>
      <c r="B115" s="92" t="s">
        <v>1324</v>
      </c>
      <c r="C115" s="8" t="s">
        <v>1083</v>
      </c>
      <c r="D115" s="90">
        <f>-'5-P3 Support'!D12</f>
        <v>-11664574</v>
      </c>
      <c r="E115" s="89"/>
      <c r="F115" s="89" t="str">
        <f>+F114</f>
        <v>TP</v>
      </c>
      <c r="G115" s="525">
        <f>+G114</f>
        <v>1</v>
      </c>
      <c r="H115" s="89"/>
      <c r="I115" s="90">
        <f>+G115*D115</f>
        <v>-11664574</v>
      </c>
      <c r="K115" s="8"/>
    </row>
    <row r="116" spans="1:11" ht="13">
      <c r="A116" s="526">
        <f t="shared" si="13" ref="A116:A164">+A115+1</f>
        <v>3</v>
      </c>
      <c r="B116" s="9" t="s">
        <v>1325</v>
      </c>
      <c r="C116" s="8" t="s">
        <v>1084</v>
      </c>
      <c r="D116" s="90">
        <f>-'5-P3 Support'!E12</f>
        <v>0</v>
      </c>
      <c r="E116" s="8"/>
      <c r="F116" s="8" t="str">
        <f>+F115</f>
        <v>TP</v>
      </c>
      <c r="G116" s="525">
        <f>+G115</f>
        <v>1</v>
      </c>
      <c r="H116" s="91"/>
      <c r="I116" s="90">
        <f>+G116*D116</f>
        <v>0</v>
      </c>
      <c r="J116" s="77"/>
      <c r="K116" s="8"/>
    </row>
    <row r="117" spans="1:11" ht="13">
      <c r="A117" s="526">
        <f t="shared" si="13"/>
        <v>4</v>
      </c>
      <c r="B117" s="9" t="s">
        <v>1326</v>
      </c>
      <c r="C117" s="9" t="s">
        <v>1085</v>
      </c>
      <c r="D117" s="90">
        <f>-'5-P3 Support'!F12</f>
        <v>-136634127</v>
      </c>
      <c r="E117" s="8"/>
      <c r="F117" s="9" t="str">
        <f>+F116</f>
        <v>TP</v>
      </c>
      <c r="G117" s="525">
        <v>1</v>
      </c>
      <c r="H117" s="91"/>
      <c r="I117" s="90">
        <f>+D117*G117</f>
        <v>-136634127</v>
      </c>
      <c r="J117" s="77"/>
      <c r="K117" s="8"/>
    </row>
    <row r="118" spans="1:11" ht="13">
      <c r="A118" s="526">
        <f t="shared" si="13"/>
        <v>5</v>
      </c>
      <c r="B118" s="9" t="s">
        <v>30</v>
      </c>
      <c r="C118" s="242" t="s">
        <v>1141</v>
      </c>
      <c r="D118" s="90">
        <f>+'5B - A&amp;G'!E24</f>
        <v>195655730</v>
      </c>
      <c r="E118" s="8"/>
      <c r="F118" s="8" t="s">
        <v>76</v>
      </c>
      <c r="G118" s="525"/>
      <c r="H118" s="91"/>
      <c r="I118" s="90">
        <f>+'5B - A&amp;G'!J28</f>
        <v>17741340.621551134</v>
      </c>
      <c r="J118" s="8"/>
      <c r="K118" s="8" t="s">
        <v>2</v>
      </c>
    </row>
    <row r="119" spans="1:11" ht="13">
      <c r="A119" s="526">
        <f>+A118+1</f>
        <v>6</v>
      </c>
      <c r="B119" s="92" t="s">
        <v>716</v>
      </c>
      <c r="C119" s="89"/>
      <c r="D119" s="197"/>
      <c r="E119" s="89"/>
      <c r="F119" s="89"/>
      <c r="G119" s="525"/>
      <c r="H119" s="89"/>
      <c r="I119" s="197"/>
      <c r="K119" s="8"/>
    </row>
    <row r="120" spans="1:11" ht="13">
      <c r="A120" s="526">
        <f t="shared" si="13"/>
        <v>7</v>
      </c>
      <c r="B120" s="92" t="s">
        <v>97</v>
      </c>
      <c r="C120" s="89" t="s">
        <v>1086</v>
      </c>
      <c r="D120" s="197">
        <f>'5-P3 Support'!G12</f>
        <v>0</v>
      </c>
      <c r="E120" s="87"/>
      <c r="F120" s="87" t="s">
        <v>76</v>
      </c>
      <c r="G120" s="379">
        <v>1</v>
      </c>
      <c r="H120" s="87"/>
      <c r="I120" s="197">
        <f>+G120*D120</f>
        <v>0</v>
      </c>
      <c r="K120" s="8"/>
    </row>
    <row r="121" spans="1:11" ht="13">
      <c r="A121" s="526">
        <f t="shared" si="13"/>
        <v>8</v>
      </c>
      <c r="B121" s="92" t="s">
        <v>322</v>
      </c>
      <c r="C121" s="8" t="s">
        <v>1087</v>
      </c>
      <c r="D121" s="197">
        <f>'5-P3 Support'!H12</f>
        <v>11664574</v>
      </c>
      <c r="E121" s="87"/>
      <c r="F121" s="87" t="s">
        <v>15</v>
      </c>
      <c r="G121" s="379">
        <f>+G114</f>
        <v>1</v>
      </c>
      <c r="H121" s="87"/>
      <c r="I121" s="197">
        <f>+G121*D121</f>
        <v>11664574</v>
      </c>
      <c r="K121" s="8"/>
    </row>
    <row r="122" spans="1:11" ht="13">
      <c r="A122" s="526">
        <f>+A121+1</f>
        <v>9</v>
      </c>
      <c r="B122" s="92" t="s">
        <v>96</v>
      </c>
      <c r="C122" s="89" t="s">
        <v>760</v>
      </c>
      <c r="D122" s="197">
        <f>+D120+D121</f>
        <v>11664574</v>
      </c>
      <c r="E122" s="87"/>
      <c r="F122" s="87"/>
      <c r="G122" s="379"/>
      <c r="H122" s="87"/>
      <c r="I122" s="197">
        <f>+I120+I121</f>
        <v>11664574</v>
      </c>
      <c r="K122" s="8"/>
    </row>
    <row r="123" spans="1:11" ht="13">
      <c r="A123" s="526">
        <f>+A122+1</f>
        <v>10</v>
      </c>
      <c r="B123" s="92" t="s">
        <v>717</v>
      </c>
      <c r="C123" s="89" t="s">
        <v>1092</v>
      </c>
      <c r="D123" s="197">
        <f>+'7 - PBOP'!F12</f>
        <v>999784.50676701707</v>
      </c>
      <c r="E123" s="87"/>
      <c r="F123" s="256" t="s">
        <v>24</v>
      </c>
      <c r="G123" s="379">
        <f>$I$197</f>
        <v>0.09880621410235467</v>
      </c>
      <c r="H123" s="95"/>
      <c r="I123" s="197">
        <f>+G123*D123</f>
        <v>98784.922031838956</v>
      </c>
      <c r="K123" s="8"/>
    </row>
    <row r="124" spans="1:11" ht="13.5" thickBot="1">
      <c r="A124" s="526">
        <f>+A123+1</f>
        <v>11</v>
      </c>
      <c r="B124" s="92" t="s">
        <v>1327</v>
      </c>
      <c r="C124" s="8" t="s">
        <v>1183</v>
      </c>
      <c r="D124" s="93">
        <f>-'4E COA'!H17</f>
        <v>-609158.39999999991</v>
      </c>
      <c r="E124" s="87"/>
      <c r="F124" s="256" t="s">
        <v>24</v>
      </c>
      <c r="G124" s="379">
        <f>$I$197</f>
        <v>0.09880621410235467</v>
      </c>
      <c r="H124" s="95"/>
      <c r="I124" s="93">
        <f>D124*G124</f>
        <v>-60188.635292647799</v>
      </c>
      <c r="K124" s="8"/>
    </row>
    <row r="125" spans="1:11" ht="13">
      <c r="A125" s="526">
        <f>A124+1</f>
        <v>12</v>
      </c>
      <c r="B125" s="273" t="s">
        <v>226</v>
      </c>
      <c r="C125" s="225" t="s">
        <v>1328</v>
      </c>
      <c r="D125" s="90">
        <f>SUM(D114:D118)+D122+D123+D124</f>
        <v>247995690.106767</v>
      </c>
      <c r="E125" s="90"/>
      <c r="F125" s="90"/>
      <c r="G125" s="525"/>
      <c r="H125" s="90"/>
      <c r="I125" s="90">
        <f>SUM(I114:I118)+I122+I123+I124</f>
        <v>69729270.908290312</v>
      </c>
      <c r="J125" s="8"/>
      <c r="K125" s="8"/>
    </row>
    <row r="126" spans="1:11" ht="13">
      <c r="A126" s="526"/>
      <c r="B126" s="7"/>
      <c r="C126" s="8"/>
      <c r="D126" s="90"/>
      <c r="E126" s="90"/>
      <c r="F126" s="90"/>
      <c r="G126" s="525"/>
      <c r="H126" s="90"/>
      <c r="I126" s="90"/>
      <c r="J126" s="8"/>
      <c r="K126" s="8"/>
    </row>
    <row r="127" spans="1:11" ht="13">
      <c r="A127" s="526">
        <f>+A125+1</f>
        <v>13</v>
      </c>
      <c r="B127" s="9" t="s">
        <v>314</v>
      </c>
      <c r="C127" s="226"/>
      <c r="D127" s="90"/>
      <c r="E127" s="90"/>
      <c r="F127" s="90"/>
      <c r="G127" s="525"/>
      <c r="H127" s="90"/>
      <c r="I127" s="90"/>
      <c r="J127" s="8"/>
      <c r="K127" s="8"/>
    </row>
    <row r="128" spans="1:11" ht="13">
      <c r="A128" s="526">
        <f t="shared" si="13"/>
        <v>14</v>
      </c>
      <c r="B128" s="9" t="s">
        <v>29</v>
      </c>
      <c r="C128" s="226" t="s">
        <v>1088</v>
      </c>
      <c r="D128" s="90">
        <f>'5-P3 Support'!I12</f>
        <v>25205171.438255999</v>
      </c>
      <c r="E128" s="90"/>
      <c r="F128" s="90" t="s">
        <v>15</v>
      </c>
      <c r="G128" s="525">
        <f>+G93</f>
        <v>1</v>
      </c>
      <c r="H128" s="90"/>
      <c r="I128" s="90">
        <f>+G128*D128</f>
        <v>25205171.438255999</v>
      </c>
      <c r="J128" s="8"/>
      <c r="K128" s="177"/>
    </row>
    <row r="129" spans="1:11" ht="13">
      <c r="A129" s="526">
        <f t="shared" si="13"/>
        <v>15</v>
      </c>
      <c r="B129" s="274" t="s">
        <v>714</v>
      </c>
      <c r="C129" s="226" t="s">
        <v>1089</v>
      </c>
      <c r="D129" s="90">
        <f>'5-P3 Support'!C21</f>
        <v>16933417.057963997</v>
      </c>
      <c r="E129" s="90"/>
      <c r="F129" s="90" t="s">
        <v>24</v>
      </c>
      <c r="G129" s="379">
        <f>$I$197</f>
        <v>0.09880621410235467</v>
      </c>
      <c r="H129" s="90"/>
      <c r="I129" s="90">
        <f>+G129*D129</f>
        <v>1673126.8313136555</v>
      </c>
      <c r="J129" s="8"/>
      <c r="K129" s="177"/>
    </row>
    <row r="130" spans="1:11" ht="13">
      <c r="A130" s="526">
        <f t="shared" si="13"/>
        <v>16</v>
      </c>
      <c r="B130" s="274" t="s">
        <v>1525</v>
      </c>
      <c r="C130" s="91" t="s">
        <v>1527</v>
      </c>
      <c r="D130" s="90">
        <f>'5-P3 Support'!K12</f>
        <v>3401046.59947976</v>
      </c>
      <c r="E130" s="90"/>
      <c r="F130" s="90" t="s">
        <v>15</v>
      </c>
      <c r="G130" s="525">
        <f>G128</f>
        <v>1</v>
      </c>
      <c r="H130" s="90"/>
      <c r="I130" s="90">
        <f>D130*G130</f>
        <v>3401046.59947976</v>
      </c>
      <c r="J130" s="8"/>
      <c r="K130" s="177"/>
    </row>
    <row r="131" spans="1:11" ht="13">
      <c r="A131" s="526" t="s">
        <v>792</v>
      </c>
      <c r="B131" s="274" t="s">
        <v>1526</v>
      </c>
      <c r="C131" s="91" t="s">
        <v>1528</v>
      </c>
      <c r="D131" s="90">
        <f>'5-P3 Support'!L12</f>
        <v>2811568.6365681598</v>
      </c>
      <c r="E131" s="90"/>
      <c r="F131" s="90" t="s">
        <v>24</v>
      </c>
      <c r="G131" s="525">
        <f>G129</f>
        <v>0.09880621410235467</v>
      </c>
      <c r="H131" s="90"/>
      <c r="I131" s="90">
        <f>D131*G131</f>
        <v>277800.45266821899</v>
      </c>
      <c r="J131" s="8"/>
      <c r="K131" s="177"/>
    </row>
    <row r="132" spans="1:11" ht="13">
      <c r="A132" s="526" t="s">
        <v>793</v>
      </c>
      <c r="B132" s="274" t="s">
        <v>1565</v>
      </c>
      <c r="C132" s="91" t="s">
        <v>1566</v>
      </c>
      <c r="D132" s="90">
        <f>'5-P3 Support'!M12</f>
        <v>12591807.710000001</v>
      </c>
      <c r="E132" s="90"/>
      <c r="F132" s="90" t="s">
        <v>22</v>
      </c>
      <c r="G132" s="205" t="s">
        <v>106</v>
      </c>
      <c r="H132" s="90"/>
      <c r="I132" s="90">
        <v>0</v>
      </c>
      <c r="J132" s="8"/>
      <c r="K132" s="177"/>
    </row>
    <row r="133" spans="1:11" ht="13">
      <c r="A133" s="526">
        <f>+A130+1</f>
        <v>17</v>
      </c>
      <c r="B133" s="9" t="s">
        <v>926</v>
      </c>
      <c r="C133" s="226" t="s">
        <v>1090</v>
      </c>
      <c r="D133" s="197">
        <f>'5-P3 Support'!J12</f>
        <v>25075521.479920328</v>
      </c>
      <c r="E133" s="197"/>
      <c r="F133" s="90" t="s">
        <v>24</v>
      </c>
      <c r="G133" s="379">
        <f>$I$197</f>
        <v>0.09880621410235467</v>
      </c>
      <c r="H133" s="197"/>
      <c r="I133" s="197">
        <f>+G133*D133</f>
        <v>2477617.3440732015</v>
      </c>
      <c r="J133" s="8"/>
      <c r="K133" s="177"/>
    </row>
    <row r="134" spans="1:11" ht="13">
      <c r="A134" s="526">
        <f t="shared" si="13"/>
        <v>18</v>
      </c>
      <c r="B134" s="9" t="s">
        <v>1118</v>
      </c>
      <c r="C134" s="8" t="s">
        <v>1093</v>
      </c>
      <c r="D134" s="197">
        <f>-'4E COA'!H86</f>
        <v>-729832.37770439358</v>
      </c>
      <c r="E134" s="197"/>
      <c r="F134" s="90" t="s">
        <v>24</v>
      </c>
      <c r="G134" s="379">
        <f>G61</f>
        <v>0.09880621410235467</v>
      </c>
      <c r="H134" s="197"/>
      <c r="I134" s="197">
        <f>D134*G134</f>
        <v>-72111.974170290894</v>
      </c>
      <c r="J134" s="8"/>
      <c r="K134" s="177"/>
    </row>
    <row r="135" spans="1:11" ht="13.5" thickBot="1">
      <c r="A135" s="526">
        <f t="shared" si="13"/>
        <v>19</v>
      </c>
      <c r="B135" s="92" t="s">
        <v>92</v>
      </c>
      <c r="C135" s="8" t="s">
        <v>1091</v>
      </c>
      <c r="D135" s="93">
        <f>'5-P3 Support'!D21</f>
        <v>0</v>
      </c>
      <c r="E135" s="90"/>
      <c r="F135" s="90" t="s">
        <v>76</v>
      </c>
      <c r="G135" s="525">
        <v>1</v>
      </c>
      <c r="H135" s="90"/>
      <c r="I135" s="93">
        <f>+G135*D135</f>
        <v>0</v>
      </c>
      <c r="J135" s="8"/>
      <c r="K135" s="177"/>
    </row>
    <row r="136" spans="1:11" ht="13">
      <c r="A136" s="526">
        <f t="shared" si="13"/>
        <v>20</v>
      </c>
      <c r="B136" s="9" t="s">
        <v>216</v>
      </c>
      <c r="C136" s="8" t="str">
        <f>"(Sum of Lines "&amp;A128&amp;" through "&amp;A135&amp;")"</f>
        <v>(Sum of Lines 14 through 19)</v>
      </c>
      <c r="D136" s="90">
        <f>SUM(D128:D135)</f>
        <v>85288700.54448384</v>
      </c>
      <c r="E136" s="90"/>
      <c r="F136" s="90"/>
      <c r="G136" s="525"/>
      <c r="H136" s="90"/>
      <c r="I136" s="90">
        <f>SUM(I128:I135)</f>
        <v>32962650.691620547</v>
      </c>
      <c r="J136" s="8"/>
      <c r="K136" s="8"/>
    </row>
    <row r="137" spans="1:11" ht="13">
      <c r="A137" s="526"/>
      <c r="B137" s="9"/>
      <c r="C137" s="8"/>
      <c r="D137" s="90"/>
      <c r="E137" s="90"/>
      <c r="F137" s="90"/>
      <c r="G137" s="525"/>
      <c r="H137" s="90"/>
      <c r="I137" s="90"/>
      <c r="J137" s="8"/>
      <c r="K137" s="8"/>
    </row>
    <row r="138" spans="1:11" ht="13">
      <c r="A138" s="526">
        <f>+A136+1</f>
        <v>21</v>
      </c>
      <c r="B138" s="9" t="s">
        <v>217</v>
      </c>
      <c r="C138" s="7" t="s">
        <v>164</v>
      </c>
      <c r="D138" s="90"/>
      <c r="E138" s="90"/>
      <c r="F138" s="90"/>
      <c r="G138" s="525"/>
      <c r="H138" s="90"/>
      <c r="I138" s="90"/>
      <c r="J138" s="8"/>
      <c r="K138" s="8"/>
    </row>
    <row r="139" spans="1:11" ht="13">
      <c r="A139" s="526">
        <f t="shared" si="13"/>
        <v>22</v>
      </c>
      <c r="B139" s="9" t="s">
        <v>31</v>
      </c>
      <c r="C139" s="7"/>
      <c r="D139" s="90"/>
      <c r="E139" s="90"/>
      <c r="F139" s="90"/>
      <c r="G139" s="525"/>
      <c r="H139" s="90"/>
      <c r="I139" s="90"/>
      <c r="J139" s="8"/>
      <c r="K139" s="177"/>
    </row>
    <row r="140" spans="1:11" ht="13">
      <c r="A140" s="526">
        <f t="shared" si="13"/>
        <v>23</v>
      </c>
      <c r="B140" s="9" t="s">
        <v>32</v>
      </c>
      <c r="C140" s="8" t="s">
        <v>1094</v>
      </c>
      <c r="D140" s="90">
        <f>'5-P3 Support'!E21</f>
        <v>12636392</v>
      </c>
      <c r="E140" s="90"/>
      <c r="F140" s="90" t="s">
        <v>24</v>
      </c>
      <c r="G140" s="525">
        <f>+G129</f>
        <v>0.09880621410235467</v>
      </c>
      <c r="H140" s="90"/>
      <c r="I140" s="90">
        <f>+G140*D140</f>
        <v>1248554.0534332818</v>
      </c>
      <c r="J140" s="8"/>
      <c r="K140" s="177"/>
    </row>
    <row r="141" spans="1:11" ht="13">
      <c r="A141" s="526">
        <f t="shared" si="13"/>
        <v>24</v>
      </c>
      <c r="B141" s="461" t="str">
        <f>'5-P3 Support'!F15</f>
        <v>Labor Related Taxes to be Excluded</v>
      </c>
      <c r="C141" s="8" t="s">
        <v>1095</v>
      </c>
      <c r="D141" s="90">
        <f>'5-P3 Support'!F21</f>
        <v>0</v>
      </c>
      <c r="E141" s="90"/>
      <c r="F141" s="90" t="s">
        <v>24</v>
      </c>
      <c r="G141" s="525">
        <f>+G140</f>
        <v>0.09880621410235467</v>
      </c>
      <c r="H141" s="90"/>
      <c r="I141" s="90">
        <f>+G141*D141</f>
        <v>0</v>
      </c>
      <c r="J141" s="8"/>
      <c r="K141" s="177"/>
    </row>
    <row r="142" spans="1:11" ht="13">
      <c r="A142" s="526">
        <f t="shared" si="13"/>
        <v>25</v>
      </c>
      <c r="B142" s="9" t="s">
        <v>33</v>
      </c>
      <c r="C142" s="8" t="s">
        <v>2</v>
      </c>
      <c r="D142" s="90"/>
      <c r="E142" s="90"/>
      <c r="F142" s="90"/>
      <c r="G142" s="525"/>
      <c r="H142" s="90"/>
      <c r="I142" s="90"/>
      <c r="J142" s="8"/>
      <c r="K142" s="177"/>
    </row>
    <row r="143" spans="1:11" ht="13">
      <c r="A143" s="526">
        <f t="shared" si="13"/>
        <v>26</v>
      </c>
      <c r="B143" s="9" t="s">
        <v>34</v>
      </c>
      <c r="C143" s="8" t="s">
        <v>1142</v>
      </c>
      <c r="D143" s="90">
        <f>'5-P3 Support'!G21</f>
        <v>12111350</v>
      </c>
      <c r="E143" s="90"/>
      <c r="F143" s="90" t="s">
        <v>28</v>
      </c>
      <c r="G143" s="525">
        <f>+G53</f>
        <v>0.19040223971897385</v>
      </c>
      <c r="H143" s="90"/>
      <c r="I143" s="90">
        <f>+G143*D143</f>
        <v>2306028.1660203938</v>
      </c>
      <c r="J143" s="8"/>
      <c r="K143" s="177"/>
    </row>
    <row r="144" spans="1:11" ht="13">
      <c r="A144" s="526">
        <f t="shared" si="13"/>
        <v>27</v>
      </c>
      <c r="B144" s="9" t="s">
        <v>1489</v>
      </c>
      <c r="C144" s="8" t="s">
        <v>1096</v>
      </c>
      <c r="D144" s="90">
        <f>'5-P3 Support'!H21</f>
        <v>131044354</v>
      </c>
      <c r="E144" s="90"/>
      <c r="F144" s="90" t="s">
        <v>22</v>
      </c>
      <c r="G144" s="205" t="s">
        <v>106</v>
      </c>
      <c r="H144" s="90"/>
      <c r="I144" s="90">
        <v>0</v>
      </c>
      <c r="J144" s="8"/>
      <c r="K144" s="177"/>
    </row>
    <row r="145" spans="1:11" ht="13">
      <c r="A145" s="526">
        <f t="shared" si="13"/>
        <v>28</v>
      </c>
      <c r="B145" s="9" t="s">
        <v>35</v>
      </c>
      <c r="C145" s="8" t="s">
        <v>1097</v>
      </c>
      <c r="D145" s="90">
        <f>'5-P3 Support'!I21</f>
        <v>440813</v>
      </c>
      <c r="E145" s="90"/>
      <c r="F145" s="90" t="s">
        <v>28</v>
      </c>
      <c r="G145" s="525">
        <f>+G143</f>
        <v>0.19040223971897385</v>
      </c>
      <c r="H145" s="90"/>
      <c r="I145" s="90">
        <f>+G145*D145</f>
        <v>83931.782497240027</v>
      </c>
      <c r="J145" s="8"/>
      <c r="K145" s="177"/>
    </row>
    <row r="146" spans="1:11" ht="13.5" thickBot="1">
      <c r="A146" s="526">
        <f t="shared" si="13"/>
        <v>29</v>
      </c>
      <c r="B146" s="9" t="s">
        <v>1468</v>
      </c>
      <c r="C146" s="8" t="s">
        <v>1098</v>
      </c>
      <c r="D146" s="93">
        <f>'5-P3 Support'!J21</f>
        <v>0</v>
      </c>
      <c r="E146" s="90"/>
      <c r="F146" s="90" t="s">
        <v>28</v>
      </c>
      <c r="G146" s="525">
        <f>+G143</f>
        <v>0.19040223971897385</v>
      </c>
      <c r="H146" s="90"/>
      <c r="I146" s="93">
        <f>+G146*D146</f>
        <v>0</v>
      </c>
      <c r="J146" s="8"/>
      <c r="K146" s="177"/>
    </row>
    <row r="147" spans="1:11" ht="13">
      <c r="A147" s="526">
        <f t="shared" si="13"/>
        <v>30</v>
      </c>
      <c r="B147" s="9" t="s">
        <v>218</v>
      </c>
      <c r="C147" s="8" t="str">
        <f>"(Sum of Lines "&amp;A140&amp;" through "&amp;A146&amp;")"</f>
        <v>(Sum of Lines 23 through 29)</v>
      </c>
      <c r="D147" s="90">
        <f>SUM(D140:D146)</f>
        <v>156232909</v>
      </c>
      <c r="E147" s="90"/>
      <c r="F147" s="90"/>
      <c r="G147" s="525"/>
      <c r="H147" s="90"/>
      <c r="I147" s="90">
        <f>SUM(I140:I146)</f>
        <v>3638514.0019509159</v>
      </c>
      <c r="J147" s="8"/>
      <c r="K147" s="177"/>
    </row>
    <row r="148" spans="1:11" ht="13">
      <c r="A148" s="526"/>
      <c r="B148" s="9"/>
      <c r="C148" s="8"/>
      <c r="D148" s="90"/>
      <c r="E148" s="90"/>
      <c r="F148" s="90"/>
      <c r="G148" s="525"/>
      <c r="H148" s="90"/>
      <c r="I148" s="90"/>
      <c r="J148" s="8"/>
      <c r="K148" s="177"/>
    </row>
    <row r="149" spans="1:11" ht="13">
      <c r="A149" s="526">
        <f>A147+1</f>
        <v>31</v>
      </c>
      <c r="B149" s="275" t="s">
        <v>657</v>
      </c>
      <c r="C149" s="110" t="s">
        <v>655</v>
      </c>
      <c r="D149" s="373">
        <v>0</v>
      </c>
      <c r="E149" s="87"/>
      <c r="F149" s="87" t="str">
        <f>+F86</f>
        <v>DA</v>
      </c>
      <c r="G149" s="379">
        <v>1</v>
      </c>
      <c r="H149" s="87"/>
      <c r="I149" s="197">
        <f>+G149*D149</f>
        <v>0</v>
      </c>
      <c r="J149" s="8"/>
      <c r="K149" s="177"/>
    </row>
    <row r="150" spans="1:10" ht="13">
      <c r="A150" s="526"/>
      <c r="B150" s="275"/>
      <c r="C150" s="8"/>
      <c r="D150" s="8"/>
      <c r="E150" s="8"/>
      <c r="F150" s="8"/>
      <c r="G150" s="525"/>
      <c r="H150" s="8"/>
      <c r="I150" s="8"/>
      <c r="J150" s="8"/>
    </row>
    <row r="151" spans="1:10" ht="13">
      <c r="A151" s="526">
        <f>A149+1</f>
        <v>32</v>
      </c>
      <c r="B151" s="9" t="s">
        <v>36</v>
      </c>
      <c r="C151" s="8" t="str">
        <f>"(Note "&amp;A$231&amp;")"</f>
        <v>(Note G)</v>
      </c>
      <c r="D151" s="8"/>
      <c r="E151" s="8"/>
      <c r="F151" s="7"/>
      <c r="G151" s="426"/>
      <c r="H151" s="8"/>
      <c r="I151" s="7"/>
      <c r="J151" s="8"/>
    </row>
    <row r="152" spans="1:10" ht="13">
      <c r="A152" s="526">
        <f t="shared" si="13"/>
        <v>33</v>
      </c>
      <c r="B152" s="10" t="s">
        <v>421</v>
      </c>
      <c r="C152" s="8" t="s">
        <v>762</v>
      </c>
      <c r="D152" s="102">
        <f>IF(D232&gt;0,1-(((1-D233)*(1-D232))/(1-D233*D232*D234)),0)</f>
        <v>0.28892099999999998</v>
      </c>
      <c r="E152" s="8"/>
      <c r="F152" s="7"/>
      <c r="G152" s="426"/>
      <c r="H152" s="8"/>
      <c r="I152" s="7"/>
      <c r="J152" s="8"/>
    </row>
    <row r="153" spans="1:11" ht="13">
      <c r="A153" s="526">
        <f t="shared" si="13"/>
        <v>34</v>
      </c>
      <c r="B153" s="7" t="s">
        <v>37</v>
      </c>
      <c r="C153" s="8" t="s">
        <v>1120</v>
      </c>
      <c r="D153" s="102">
        <f>IF(I203&gt;0,(D152/(1-D152))*(1-I203/I206),0)</f>
        <v>0.30195758062318906</v>
      </c>
      <c r="E153" s="8"/>
      <c r="F153" s="7"/>
      <c r="G153" s="426"/>
      <c r="H153" s="8"/>
      <c r="I153" s="7"/>
      <c r="J153" s="8"/>
      <c r="K153" s="7"/>
    </row>
    <row r="154" spans="1:11" ht="13">
      <c r="A154" s="526">
        <f t="shared" si="13"/>
        <v>35</v>
      </c>
      <c r="B154" s="9" t="s">
        <v>240</v>
      </c>
      <c r="C154" s="8" t="s">
        <v>241</v>
      </c>
      <c r="D154" s="8"/>
      <c r="E154" s="8"/>
      <c r="F154" s="7"/>
      <c r="G154" s="426"/>
      <c r="H154" s="8"/>
      <c r="I154" s="7"/>
      <c r="J154" s="8"/>
      <c r="K154" s="7"/>
    </row>
    <row r="155" spans="1:11" ht="13">
      <c r="A155" s="526">
        <f t="shared" si="13"/>
        <v>36</v>
      </c>
      <c r="B155" s="9"/>
      <c r="D155" s="8"/>
      <c r="E155" s="8"/>
      <c r="F155" s="7"/>
      <c r="G155" s="426"/>
      <c r="H155" s="8"/>
      <c r="I155" s="7"/>
      <c r="J155" s="8"/>
      <c r="K155" s="7"/>
    </row>
    <row r="156" spans="1:11" ht="13">
      <c r="A156" s="526">
        <f>+A155+1</f>
        <v>37</v>
      </c>
      <c r="B156" s="10" t="str">
        <f>"      1 / (1 - T)  =  (T from line "&amp;A152&amp;")"</f>
        <v xml:space="preserve">      1 / (1 - T)  =  (T from line 33)</v>
      </c>
      <c r="C156" s="8"/>
      <c r="D156" s="102">
        <f>IF(D121=0,0,1/(1-D152))</f>
        <v>1.4063135038441579</v>
      </c>
      <c r="E156" s="8"/>
      <c r="F156" s="7"/>
      <c r="G156" s="426"/>
      <c r="H156" s="8"/>
      <c r="I156" s="90"/>
      <c r="J156" s="8"/>
      <c r="K156" s="7"/>
    </row>
    <row r="157" spans="1:11" ht="13">
      <c r="A157" s="526">
        <f t="shared" si="13"/>
        <v>38</v>
      </c>
      <c r="B157" s="9" t="s">
        <v>1330</v>
      </c>
      <c r="C157" s="8" t="s">
        <v>1331</v>
      </c>
      <c r="D157" s="90">
        <f>-'5-P3 Support'!K21</f>
        <v>-3978.9374610137602</v>
      </c>
      <c r="E157" s="8"/>
      <c r="F157" s="7"/>
      <c r="G157" s="426"/>
      <c r="H157" s="8"/>
      <c r="I157" s="90"/>
      <c r="J157" s="8"/>
      <c r="K157" s="7"/>
    </row>
    <row r="158" spans="1:11" ht="13">
      <c r="A158" s="526">
        <f t="shared" si="13"/>
        <v>39</v>
      </c>
      <c r="B158" s="9" t="s">
        <v>1332</v>
      </c>
      <c r="C158" s="8" t="s">
        <v>1333</v>
      </c>
      <c r="D158" s="90">
        <f>-'5-P3 Support'!L21</f>
        <v>-3189177.4592907447</v>
      </c>
      <c r="E158" s="8"/>
      <c r="F158" s="7"/>
      <c r="G158" s="379"/>
      <c r="H158" s="8"/>
      <c r="I158" s="90"/>
      <c r="J158" s="8"/>
      <c r="K158" s="7"/>
    </row>
    <row r="159" spans="1:11" ht="13">
      <c r="A159" s="526">
        <f t="shared" si="13"/>
        <v>40</v>
      </c>
      <c r="B159" s="9" t="s">
        <v>281</v>
      </c>
      <c r="C159" s="8" t="s">
        <v>1099</v>
      </c>
      <c r="D159" s="90">
        <f>'5-P3 Support'!M21</f>
        <v>296018.03437660693</v>
      </c>
      <c r="E159" s="8"/>
      <c r="F159" s="7"/>
      <c r="G159" s="426"/>
      <c r="H159" s="8"/>
      <c r="I159" s="90"/>
      <c r="J159" s="8"/>
      <c r="K159" s="7"/>
    </row>
    <row r="160" spans="1:11" ht="13">
      <c r="A160" s="526">
        <f t="shared" si="13"/>
        <v>41</v>
      </c>
      <c r="B160" s="10" t="s">
        <v>236</v>
      </c>
      <c r="C160" s="11" t="str">
        <f>"(Line "&amp;A153&amp;" times Line "&amp;A167&amp;")"</f>
        <v>(Line 34 times Line 47)</v>
      </c>
      <c r="D160" s="94">
        <f>+D153*D167</f>
        <v>141173772.20424312</v>
      </c>
      <c r="E160" s="91"/>
      <c r="F160" s="91" t="s">
        <v>22</v>
      </c>
      <c r="G160" s="525"/>
      <c r="H160" s="91"/>
      <c r="I160" s="94">
        <f>+D153*I167</f>
        <v>21658115.609800849</v>
      </c>
      <c r="J160" s="8"/>
      <c r="K160" s="251" t="s">
        <v>2</v>
      </c>
    </row>
    <row r="161" spans="1:11" ht="13">
      <c r="A161" s="526">
        <f t="shared" si="13"/>
        <v>42</v>
      </c>
      <c r="B161" s="7" t="s">
        <v>237</v>
      </c>
      <c r="C161" s="11" t="str">
        <f>"(Line "&amp;A156&amp;" times Line "&amp;A157&amp;")"</f>
        <v>(Line 37 times Line 38)</v>
      </c>
      <c r="D161" s="94">
        <f>+D$156*D157</f>
        <v>-5595.6334823750385</v>
      </c>
      <c r="E161" s="91"/>
      <c r="F161" s="278" t="s">
        <v>15</v>
      </c>
      <c r="G161" s="525">
        <v>1</v>
      </c>
      <c r="H161" s="91"/>
      <c r="I161" s="94">
        <f>+G161*D161</f>
        <v>-5595.6334823750385</v>
      </c>
      <c r="J161" s="8"/>
      <c r="K161" s="251"/>
    </row>
    <row r="162" spans="1:11" ht="13">
      <c r="A162" s="526">
        <f t="shared" si="13"/>
        <v>43</v>
      </c>
      <c r="B162" s="7" t="s">
        <v>238</v>
      </c>
      <c r="C162" s="11" t="str">
        <f>"(Line "&amp;A156&amp;" times Line "&amp;A158&amp;")"</f>
        <v>(Line 37 times Line 39)</v>
      </c>
      <c r="D162" s="94">
        <f>+D$156*D158</f>
        <v>-4484983.3271559766</v>
      </c>
      <c r="E162" s="91"/>
      <c r="F162" s="278" t="s">
        <v>15</v>
      </c>
      <c r="G162" s="525">
        <v>1</v>
      </c>
      <c r="H162" s="91"/>
      <c r="I162" s="94">
        <f>+G162*D162</f>
        <v>-4484983.3271559766</v>
      </c>
      <c r="J162" s="8"/>
      <c r="K162" s="251"/>
    </row>
    <row r="163" spans="1:11" ht="13.5" thickBot="1">
      <c r="A163" s="526">
        <f t="shared" si="13"/>
        <v>44</v>
      </c>
      <c r="B163" s="7" t="s">
        <v>109</v>
      </c>
      <c r="C163" s="11" t="str">
        <f>"(Line "&amp;A156&amp;" times Line "&amp;A159&amp;")"</f>
        <v>(Line 37 times Line 40)</v>
      </c>
      <c r="D163" s="94">
        <f>+D$156*D159</f>
        <v>416294.15912522649</v>
      </c>
      <c r="E163" s="91"/>
      <c r="F163" s="278" t="s">
        <v>15</v>
      </c>
      <c r="G163" s="525">
        <v>1</v>
      </c>
      <c r="H163" s="91"/>
      <c r="I163" s="279">
        <f>+G163*D163</f>
        <v>416294.15912522649</v>
      </c>
      <c r="J163" s="8"/>
      <c r="K163" s="251"/>
    </row>
    <row r="164" spans="1:11" ht="13">
      <c r="A164" s="526">
        <f t="shared" si="13"/>
        <v>45</v>
      </c>
      <c r="B164" s="12" t="s">
        <v>239</v>
      </c>
      <c r="C164" s="7" t="str">
        <f>"(Sum of Lines "&amp;A160&amp;" through "&amp;A163&amp;")"</f>
        <v>(Sum of Lines 41 through 44)</v>
      </c>
      <c r="D164" s="94">
        <f>SUM(D160:D163)</f>
        <v>137099487.40273002</v>
      </c>
      <c r="E164" s="91"/>
      <c r="F164" s="91" t="s">
        <v>2</v>
      </c>
      <c r="G164" s="277" t="s">
        <v>2</v>
      </c>
      <c r="H164" s="91"/>
      <c r="I164" s="94">
        <f>SUM(I160:I163)</f>
        <v>17583830.808287725</v>
      </c>
      <c r="J164" s="8"/>
      <c r="K164" s="8"/>
    </row>
    <row r="165" spans="1:11" ht="13">
      <c r="A165" s="526"/>
      <c r="B165" s="7"/>
      <c r="C165" s="280"/>
      <c r="D165" s="90"/>
      <c r="E165" s="8"/>
      <c r="F165" s="8"/>
      <c r="G165" s="276"/>
      <c r="H165" s="8"/>
      <c r="I165" s="90"/>
      <c r="J165" s="8"/>
      <c r="K165" s="8"/>
    </row>
    <row r="166" spans="1:11" ht="13">
      <c r="A166" s="526">
        <f>+A164+1</f>
        <v>46</v>
      </c>
      <c r="B166" s="9" t="s">
        <v>39</v>
      </c>
      <c r="J166" s="8"/>
      <c r="K166" s="7"/>
    </row>
    <row r="167" spans="1:11" ht="13">
      <c r="A167" s="526">
        <f>A166+1</f>
        <v>47</v>
      </c>
      <c r="B167" s="12" t="s">
        <v>291</v>
      </c>
      <c r="C167" s="10" t="s">
        <v>1119</v>
      </c>
      <c r="D167" s="90">
        <f>+$I206*D101</f>
        <v>467528491.62748116</v>
      </c>
      <c r="E167" s="91"/>
      <c r="F167" s="91" t="s">
        <v>22</v>
      </c>
      <c r="G167" s="281"/>
      <c r="H167" s="91"/>
      <c r="I167" s="90">
        <f>+$I206*I101</f>
        <v>71725689.300802395</v>
      </c>
      <c r="K167" s="177"/>
    </row>
    <row r="168" spans="1:11" ht="13">
      <c r="A168" s="526"/>
      <c r="B168" s="12"/>
      <c r="C168" s="10"/>
      <c r="D168" s="90"/>
      <c r="E168" s="91"/>
      <c r="F168" s="91"/>
      <c r="G168" s="281"/>
      <c r="H168" s="91"/>
      <c r="I168" s="90"/>
      <c r="K168" s="177"/>
    </row>
    <row r="169" spans="1:11" ht="13">
      <c r="A169" s="526" t="s">
        <v>1213</v>
      </c>
      <c r="B169" s="9" t="s">
        <v>1334</v>
      </c>
      <c r="C169" s="7" t="s">
        <v>1335</v>
      </c>
      <c r="D169" s="197">
        <f>-'10 - Pension Asset Discount'!I20</f>
        <v>-870137.43751068285</v>
      </c>
      <c r="E169" s="91"/>
      <c r="F169" s="91" t="s">
        <v>76</v>
      </c>
      <c r="G169" s="525">
        <v>1</v>
      </c>
      <c r="H169" s="91"/>
      <c r="I169" s="197">
        <f>D169*G169</f>
        <v>-870137.43751068285</v>
      </c>
      <c r="J169" s="8"/>
      <c r="K169" s="177"/>
    </row>
    <row r="170" spans="1:11" ht="13.5" thickBot="1">
      <c r="A170" s="526">
        <f>A167+1</f>
        <v>48</v>
      </c>
      <c r="B170" s="9" t="s">
        <v>1336</v>
      </c>
      <c r="C170" s="8" t="str">
        <f>"(Sum of Lines "&amp;A125&amp;", "&amp;A136&amp;", "&amp;A147&amp;", "&amp;A149&amp;", "&amp;A164&amp;", "&amp;A167&amp;")"</f>
        <v>(Sum of Lines 12, 20, 30, 31, 45, 47)</v>
      </c>
      <c r="D170" s="282">
        <f>+D167+D164+D147+D136+D125+D149+D169</f>
        <v>1093275141.2439513</v>
      </c>
      <c r="E170" s="91"/>
      <c r="F170" s="91"/>
      <c r="G170" s="95"/>
      <c r="H170" s="91"/>
      <c r="I170" s="282">
        <f>+I167+I164+I147+I136+I125+I149+I169</f>
        <v>194769818.27344123</v>
      </c>
      <c r="J170" s="77"/>
      <c r="K170" s="77"/>
    </row>
    <row r="171" spans="1:11" ht="1.15" customHeight="1" thickTop="1">
      <c r="A171" s="526"/>
      <c r="B171" s="9"/>
      <c r="C171" s="8"/>
      <c r="D171" s="95"/>
      <c r="E171" s="91"/>
      <c r="F171" s="91"/>
      <c r="G171" s="95"/>
      <c r="H171" s="91"/>
      <c r="I171" s="197"/>
      <c r="J171" s="77"/>
      <c r="K171" s="77"/>
    </row>
    <row r="172" spans="1:11" ht="13">
      <c r="A172" s="526"/>
      <c r="B172" s="283"/>
      <c r="C172" s="91"/>
      <c r="D172" s="95"/>
      <c r="E172" s="95"/>
      <c r="F172" s="95"/>
      <c r="G172" s="95"/>
      <c r="H172" s="95"/>
      <c r="I172" s="95"/>
      <c r="J172" s="77"/>
      <c r="K172" s="77"/>
    </row>
    <row r="173" spans="1:11" ht="13">
      <c r="A173" s="176"/>
      <c r="B173" s="7"/>
      <c r="C173" s="7"/>
      <c r="D173" s="7"/>
      <c r="E173" s="7"/>
      <c r="F173" s="7"/>
      <c r="G173" s="7"/>
      <c r="H173" s="7"/>
      <c r="I173" s="7"/>
      <c r="J173" s="8"/>
      <c r="K173" s="272" t="s">
        <v>110</v>
      </c>
    </row>
    <row r="174" spans="1:11" ht="13">
      <c r="A174" s="176"/>
      <c r="B174" s="7"/>
      <c r="C174" s="7"/>
      <c r="D174" s="7"/>
      <c r="E174" s="7"/>
      <c r="F174" s="7"/>
      <c r="G174" s="7"/>
      <c r="H174" s="7"/>
      <c r="I174" s="7"/>
      <c r="J174" s="8"/>
      <c r="K174" s="8"/>
    </row>
    <row r="175" spans="1:11" ht="13">
      <c r="A175" s="176"/>
      <c r="B175" s="9" t="s">
        <v>1</v>
      </c>
      <c r="C175" s="7"/>
      <c r="D175" s="603" t="s">
        <v>72</v>
      </c>
      <c r="E175" s="7"/>
      <c r="F175" s="7"/>
      <c r="G175" s="7"/>
      <c r="H175" s="7"/>
      <c r="I175" s="18"/>
      <c r="J175" s="8"/>
      <c r="K175" s="284" t="str">
        <f>K3</f>
        <v>For  the 12 months ended 12/31/2019</v>
      </c>
    </row>
    <row r="176" spans="1:11" ht="13">
      <c r="A176" s="176"/>
      <c r="B176" s="9"/>
      <c r="C176" s="7"/>
      <c r="D176" s="603" t="s">
        <v>98</v>
      </c>
      <c r="E176" s="7"/>
      <c r="F176" s="7"/>
      <c r="G176" s="7"/>
      <c r="H176" s="7"/>
      <c r="I176" s="7"/>
      <c r="J176" s="8"/>
      <c r="K176" s="8"/>
    </row>
    <row r="177" spans="1:11" ht="13">
      <c r="A177" s="176"/>
      <c r="B177" s="7"/>
      <c r="C177" s="7"/>
      <c r="D177" s="603" t="str">
        <f>+D108</f>
        <v>PECO Energy Company</v>
      </c>
      <c r="E177" s="7"/>
      <c r="F177" s="7"/>
      <c r="G177" s="7"/>
      <c r="H177" s="7"/>
      <c r="I177" s="7"/>
      <c r="J177" s="8"/>
      <c r="K177" s="8"/>
    </row>
    <row r="178" spans="1:11" ht="13">
      <c r="A178" s="1049"/>
      <c r="B178" s="1049"/>
      <c r="C178" s="1049"/>
      <c r="D178" s="1049"/>
      <c r="E178" s="1049"/>
      <c r="F178" s="1049"/>
      <c r="G178" s="1049"/>
      <c r="H178" s="1049"/>
      <c r="I178" s="1049"/>
      <c r="J178" s="1049"/>
      <c r="K178" s="1049"/>
    </row>
    <row r="179" spans="1:11" s="287" customFormat="1" ht="13">
      <c r="A179" s="285"/>
      <c r="B179" s="202" t="s">
        <v>3</v>
      </c>
      <c r="C179" s="202" t="s">
        <v>4</v>
      </c>
      <c r="D179" s="202" t="s">
        <v>5</v>
      </c>
      <c r="E179" s="8" t="s">
        <v>2</v>
      </c>
      <c r="F179" s="8"/>
      <c r="G179" s="101" t="s">
        <v>6</v>
      </c>
      <c r="H179" s="8"/>
      <c r="I179" s="101" t="s">
        <v>7</v>
      </c>
      <c r="J179" s="286"/>
      <c r="K179" s="286"/>
    </row>
    <row r="180" spans="1:11" ht="13">
      <c r="A180" s="176"/>
      <c r="B180" s="7"/>
      <c r="C180" s="9"/>
      <c r="D180" s="9"/>
      <c r="E180" s="9"/>
      <c r="F180" s="9"/>
      <c r="G180" s="9"/>
      <c r="H180" s="9"/>
      <c r="I180" s="9"/>
      <c r="J180" s="9"/>
      <c r="K180" s="9"/>
    </row>
    <row r="181" spans="1:11" ht="13">
      <c r="A181" s="176"/>
      <c r="B181" s="7"/>
      <c r="C181" s="266" t="s">
        <v>40</v>
      </c>
      <c r="D181" s="7"/>
      <c r="E181" s="77"/>
      <c r="F181" s="77"/>
      <c r="G181" s="77"/>
      <c r="H181" s="77"/>
      <c r="I181" s="77"/>
      <c r="J181" s="8"/>
      <c r="K181" s="8"/>
    </row>
    <row r="182" spans="1:11" ht="13">
      <c r="A182" s="176" t="s">
        <v>8</v>
      </c>
      <c r="B182" s="266"/>
      <c r="C182" s="77"/>
      <c r="D182" s="77"/>
      <c r="E182" s="77"/>
      <c r="F182" s="77"/>
      <c r="G182" s="77"/>
      <c r="H182" s="77"/>
      <c r="I182" s="77"/>
      <c r="J182" s="8"/>
      <c r="K182" s="8"/>
    </row>
    <row r="183" spans="1:11" ht="13.5" thickBot="1">
      <c r="A183" s="241" t="s">
        <v>10</v>
      </c>
      <c r="B183" s="76" t="s">
        <v>41</v>
      </c>
      <c r="C183" s="77"/>
      <c r="D183" s="77"/>
      <c r="E183" s="77"/>
      <c r="F183" s="77"/>
      <c r="G183" s="77"/>
      <c r="H183" s="7"/>
      <c r="I183" s="7"/>
      <c r="J183" s="8"/>
      <c r="K183" s="8"/>
    </row>
    <row r="184" spans="1:11" ht="13">
      <c r="A184" s="176">
        <v>1</v>
      </c>
      <c r="B184" s="199" t="s">
        <v>230</v>
      </c>
      <c r="C184" s="77" t="s">
        <v>299</v>
      </c>
      <c r="D184" s="8"/>
      <c r="E184" s="8"/>
      <c r="F184" s="8"/>
      <c r="G184" s="8"/>
      <c r="H184" s="8"/>
      <c r="I184" s="90">
        <f>D47</f>
        <v>1659200189.1210401</v>
      </c>
      <c r="J184" s="8"/>
      <c r="K184" s="8"/>
    </row>
    <row r="185" spans="1:11" ht="13">
      <c r="A185" s="176">
        <f>+A184+1</f>
        <v>2</v>
      </c>
      <c r="B185" s="199" t="s">
        <v>710</v>
      </c>
      <c r="C185" s="7" t="s">
        <v>228</v>
      </c>
      <c r="D185" s="7"/>
      <c r="E185" s="7"/>
      <c r="F185" s="7"/>
      <c r="G185" s="7"/>
      <c r="H185" s="7"/>
      <c r="I185" s="371">
        <v>0</v>
      </c>
      <c r="J185" s="8"/>
      <c r="K185" s="8"/>
    </row>
    <row r="186" spans="1:11" ht="13.5" thickBot="1">
      <c r="A186" s="176">
        <f>+A185+1</f>
        <v>3</v>
      </c>
      <c r="B186" s="96" t="s">
        <v>231</v>
      </c>
      <c r="C186" s="97" t="s">
        <v>229</v>
      </c>
      <c r="D186" s="18"/>
      <c r="E186" s="8"/>
      <c r="F186" s="8"/>
      <c r="G186" s="98"/>
      <c r="H186" s="8"/>
      <c r="I186" s="374">
        <v>0</v>
      </c>
      <c r="J186" s="8"/>
      <c r="K186" s="8"/>
    </row>
    <row r="187" spans="1:11" ht="13">
      <c r="A187" s="176">
        <f t="shared" si="14" ref="A187:A197">+A186+1</f>
        <v>4</v>
      </c>
      <c r="B187" s="199" t="s">
        <v>711</v>
      </c>
      <c r="C187" s="77" t="s">
        <v>232</v>
      </c>
      <c r="D187" s="8"/>
      <c r="E187" s="8"/>
      <c r="F187" s="8"/>
      <c r="G187" s="98"/>
      <c r="H187" s="8"/>
      <c r="I187" s="90">
        <f>I184-I185-I186</f>
        <v>1659200189.1210401</v>
      </c>
      <c r="J187" s="8"/>
      <c r="K187" s="8"/>
    </row>
    <row r="188" spans="1:11" ht="13">
      <c r="A188" s="176"/>
      <c r="B188" s="7"/>
      <c r="C188" s="77"/>
      <c r="D188" s="8"/>
      <c r="E188" s="8"/>
      <c r="F188" s="8"/>
      <c r="G188" s="98"/>
      <c r="H188" s="8"/>
      <c r="I188" s="90"/>
      <c r="J188" s="8"/>
      <c r="K188" s="8"/>
    </row>
    <row r="189" spans="1:11" ht="13">
      <c r="A189" s="176">
        <f>+A187+1</f>
        <v>5</v>
      </c>
      <c r="B189" s="199" t="s">
        <v>712</v>
      </c>
      <c r="C189" s="99" t="s">
        <v>233</v>
      </c>
      <c r="D189" s="100"/>
      <c r="E189" s="100"/>
      <c r="F189" s="100"/>
      <c r="G189" s="101"/>
      <c r="H189" s="8" t="s">
        <v>42</v>
      </c>
      <c r="I189" s="205">
        <f>IF(I184&gt;0,I187/I184,0)</f>
        <v>1</v>
      </c>
      <c r="J189" s="8"/>
      <c r="K189" s="8"/>
    </row>
    <row r="190" spans="1:11" ht="13">
      <c r="A190" s="176"/>
      <c r="B190" s="7"/>
      <c r="C190" s="7"/>
      <c r="D190" s="7"/>
      <c r="E190" s="7"/>
      <c r="F190" s="7"/>
      <c r="G190" s="7"/>
      <c r="H190" s="7"/>
      <c r="I190" s="7"/>
      <c r="J190" s="7"/>
      <c r="K190" s="7"/>
    </row>
    <row r="191" spans="1:11" ht="13">
      <c r="A191" s="176">
        <f>+A189+1</f>
        <v>6</v>
      </c>
      <c r="B191" s="9" t="s">
        <v>111</v>
      </c>
      <c r="C191" s="8"/>
      <c r="D191" s="8"/>
      <c r="E191" s="8"/>
      <c r="F191" s="8"/>
      <c r="G191" s="8"/>
      <c r="H191" s="8"/>
      <c r="I191" s="8"/>
      <c r="J191" s="8"/>
      <c r="K191" s="8"/>
    </row>
    <row r="192" spans="1:11" ht="13.5" thickBot="1">
      <c r="A192" s="176"/>
      <c r="B192" s="9"/>
      <c r="C192" s="288" t="s">
        <v>43</v>
      </c>
      <c r="D192" s="289" t="s">
        <v>44</v>
      </c>
      <c r="E192" s="289" t="s">
        <v>15</v>
      </c>
      <c r="F192" s="8"/>
      <c r="G192" s="289" t="s">
        <v>45</v>
      </c>
      <c r="H192" s="8"/>
      <c r="I192" s="8"/>
      <c r="J192" s="8"/>
      <c r="K192" s="8"/>
    </row>
    <row r="193" spans="1:11" ht="13">
      <c r="A193" s="176">
        <f>+A191+1</f>
        <v>7</v>
      </c>
      <c r="B193" s="9" t="s">
        <v>800</v>
      </c>
      <c r="C193" s="8" t="s">
        <v>46</v>
      </c>
      <c r="D193" s="371">
        <v>0</v>
      </c>
      <c r="E193" s="389">
        <v>0</v>
      </c>
      <c r="F193" s="290"/>
      <c r="G193" s="90">
        <f>D193*E193</f>
        <v>0</v>
      </c>
      <c r="H193" s="91"/>
      <c r="I193" s="91"/>
      <c r="J193" s="8"/>
      <c r="K193" s="8"/>
    </row>
    <row r="194" spans="1:11" ht="13">
      <c r="A194" s="176">
        <f t="shared" si="14"/>
        <v>8</v>
      </c>
      <c r="B194" s="9" t="s">
        <v>797</v>
      </c>
      <c r="C194" s="8" t="s">
        <v>272</v>
      </c>
      <c r="D194" s="371">
        <v>14301727</v>
      </c>
      <c r="E194" s="389">
        <f>+I189</f>
        <v>1</v>
      </c>
      <c r="F194" s="290"/>
      <c r="G194" s="90">
        <f>D194*E194</f>
        <v>14301727</v>
      </c>
      <c r="H194" s="91"/>
      <c r="I194" s="91"/>
      <c r="J194" s="8"/>
      <c r="K194" s="8"/>
    </row>
    <row r="195" spans="1:11" ht="13">
      <c r="A195" s="176">
        <f t="shared" si="14"/>
        <v>9</v>
      </c>
      <c r="B195" s="9" t="s">
        <v>798</v>
      </c>
      <c r="C195" s="8" t="s">
        <v>95</v>
      </c>
      <c r="D195" s="371">
        <v>96537443</v>
      </c>
      <c r="E195" s="389">
        <v>0</v>
      </c>
      <c r="F195" s="290"/>
      <c r="G195" s="90">
        <f>D195*E195</f>
        <v>0</v>
      </c>
      <c r="H195" s="91"/>
      <c r="I195" s="291" t="s">
        <v>47</v>
      </c>
      <c r="J195" s="8"/>
      <c r="K195" s="8"/>
    </row>
    <row r="196" spans="1:11" ht="13.5" thickBot="1">
      <c r="A196" s="176">
        <f t="shared" si="14"/>
        <v>10</v>
      </c>
      <c r="B196" s="9" t="s">
        <v>799</v>
      </c>
      <c r="C196" s="8" t="s">
        <v>273</v>
      </c>
      <c r="D196" s="374">
        <v>33906048</v>
      </c>
      <c r="E196" s="389">
        <v>0</v>
      </c>
      <c r="F196" s="290"/>
      <c r="G196" s="93">
        <f>D196*E196</f>
        <v>0</v>
      </c>
      <c r="H196" s="91"/>
      <c r="I196" s="292" t="s">
        <v>48</v>
      </c>
      <c r="J196" s="8"/>
      <c r="K196" s="8"/>
    </row>
    <row r="197" spans="1:11" ht="13">
      <c r="A197" s="176">
        <f t="shared" si="14"/>
        <v>11</v>
      </c>
      <c r="B197" s="9" t="s">
        <v>368</v>
      </c>
      <c r="C197" s="8" t="s">
        <v>234</v>
      </c>
      <c r="D197" s="90">
        <f>SUM(D193:D196)</f>
        <v>144745218</v>
      </c>
      <c r="E197" s="8"/>
      <c r="F197" s="8"/>
      <c r="G197" s="90">
        <f>SUM(G193:G196)</f>
        <v>14301727</v>
      </c>
      <c r="H197" s="293" t="s">
        <v>49</v>
      </c>
      <c r="I197" s="525">
        <f>IF(G197&gt;0,G197/D197,0)</f>
        <v>0.09880621410235467</v>
      </c>
      <c r="J197" s="98" t="s">
        <v>49</v>
      </c>
      <c r="K197" s="8" t="s">
        <v>50</v>
      </c>
    </row>
    <row r="198" spans="1:11" ht="13">
      <c r="A198" s="176"/>
      <c r="B198" s="9" t="s">
        <v>2</v>
      </c>
      <c r="C198" s="8" t="s">
        <v>2</v>
      </c>
      <c r="D198" s="7"/>
      <c r="E198" s="8"/>
      <c r="F198" s="8"/>
      <c r="G198" s="7"/>
      <c r="H198" s="7"/>
      <c r="I198" s="7"/>
      <c r="J198" s="7"/>
      <c r="K198" s="8"/>
    </row>
    <row r="200" spans="1:11" ht="13.5" thickBot="1">
      <c r="A200" s="176">
        <f>A197+1</f>
        <v>12</v>
      </c>
      <c r="B200" s="76" t="s">
        <v>51</v>
      </c>
      <c r="C200" s="8" t="s">
        <v>250</v>
      </c>
      <c r="D200" s="8"/>
      <c r="E200" s="8"/>
      <c r="F200" s="8"/>
      <c r="G200" s="8"/>
      <c r="H200" s="8"/>
      <c r="I200" s="289" t="s">
        <v>44</v>
      </c>
      <c r="J200" s="8"/>
      <c r="K200" s="8"/>
    </row>
    <row r="201" spans="1:11" ht="13">
      <c r="A201" s="176">
        <f t="shared" si="15" ref="A201:A206">+A200+1</f>
        <v>13</v>
      </c>
      <c r="B201" s="9"/>
      <c r="C201" s="8"/>
      <c r="D201" s="8"/>
      <c r="E201" s="8"/>
      <c r="F201" s="8"/>
      <c r="G201" s="98" t="s">
        <v>52</v>
      </c>
      <c r="H201" s="8"/>
      <c r="I201" s="8"/>
      <c r="J201" s="8"/>
      <c r="K201" s="8"/>
    </row>
    <row r="202" spans="1:11" ht="13.5" thickBot="1">
      <c r="A202" s="176">
        <f t="shared" si="15"/>
        <v>14</v>
      </c>
      <c r="B202" s="9"/>
      <c r="C202" s="8"/>
      <c r="D202" s="241" t="s">
        <v>44</v>
      </c>
      <c r="E202" s="241" t="s">
        <v>53</v>
      </c>
      <c r="F202" s="8"/>
      <c r="G202" s="603" t="str">
        <f>"(Notes "&amp;A239&amp;", "&amp;A245&amp;", &amp; "&amp;A246&amp;")"</f>
        <v>(Notes K, Q, &amp; R)</v>
      </c>
      <c r="H202" s="8"/>
      <c r="I202" s="241" t="s">
        <v>54</v>
      </c>
      <c r="J202" s="8"/>
      <c r="K202" s="8"/>
    </row>
    <row r="203" spans="1:11" ht="13">
      <c r="A203" s="176">
        <f t="shared" si="15"/>
        <v>15</v>
      </c>
      <c r="B203" s="76" t="s">
        <v>235</v>
      </c>
      <c r="C203" s="7" t="s">
        <v>763</v>
      </c>
      <c r="D203" s="103">
        <f>+'5-P3 Support'!F42</f>
        <v>3126726301.3076925</v>
      </c>
      <c r="E203" s="426">
        <f>+'5-P3 Support'!G42</f>
        <v>0.46387322745475124</v>
      </c>
      <c r="F203" s="78"/>
      <c r="G203" s="205">
        <f>+'5-P3 Support'!I42</f>
        <v>0.04134087882458367</v>
      </c>
      <c r="H203" s="525"/>
      <c r="I203" s="426">
        <f>+'5-P3 Support'!K42</f>
        <v>0.019176926886175411</v>
      </c>
      <c r="J203" s="242" t="s">
        <v>55</v>
      </c>
      <c r="K203" s="7"/>
    </row>
    <row r="204" spans="1:11" ht="13">
      <c r="A204" s="176">
        <f t="shared" si="15"/>
        <v>16</v>
      </c>
      <c r="B204" s="76" t="s">
        <v>112</v>
      </c>
      <c r="C204" s="7" t="s">
        <v>764</v>
      </c>
      <c r="D204" s="103">
        <f>+'5-P3 Support'!F43</f>
        <v>0</v>
      </c>
      <c r="E204" s="426">
        <f>+'5-P3 Support'!G43</f>
        <v>0</v>
      </c>
      <c r="F204" s="78"/>
      <c r="G204" s="205">
        <f>+'5-P3 Support'!I43</f>
        <v>0</v>
      </c>
      <c r="H204" s="525"/>
      <c r="I204" s="426">
        <f>+'5-P3 Support'!K43</f>
        <v>0</v>
      </c>
      <c r="J204" s="8"/>
      <c r="K204" s="7"/>
    </row>
    <row r="205" spans="1:11" ht="13.5" thickBot="1">
      <c r="A205" s="176">
        <f t="shared" si="15"/>
        <v>17</v>
      </c>
      <c r="B205" s="76" t="s">
        <v>279</v>
      </c>
      <c r="C205" s="7" t="s">
        <v>765</v>
      </c>
      <c r="D205" s="164">
        <f>+'5-P3 Support'!F44</f>
        <v>3613749579.2769237</v>
      </c>
      <c r="E205" s="378">
        <f>+'5-P3 Support'!G44</f>
        <v>0.53612677254524876</v>
      </c>
      <c r="F205" s="203"/>
      <c r="G205" s="205">
        <f>+'5-P3 Support'!I44</f>
        <v>0.1035</v>
      </c>
      <c r="H205" s="525"/>
      <c r="I205" s="378">
        <f>+'5-P3 Support'!K44</f>
        <v>0.055489120958433245</v>
      </c>
      <c r="J205" s="8"/>
      <c r="K205" s="7"/>
    </row>
    <row r="206" spans="1:11" ht="13">
      <c r="A206" s="176">
        <f t="shared" si="15"/>
        <v>18</v>
      </c>
      <c r="B206" s="9" t="s">
        <v>227</v>
      </c>
      <c r="C206" s="7" t="s">
        <v>1100</v>
      </c>
      <c r="D206" s="103">
        <f>+'5-P3 Support'!F45</f>
        <v>6740475880.5846157</v>
      </c>
      <c r="E206" s="8" t="s">
        <v>2</v>
      </c>
      <c r="F206" s="8"/>
      <c r="G206" s="525"/>
      <c r="H206" s="525"/>
      <c r="I206" s="426">
        <f>+'5-P3 Support'!K45</f>
        <v>0.07466604784460866</v>
      </c>
      <c r="J206" s="242" t="s">
        <v>56</v>
      </c>
      <c r="K206" s="7"/>
    </row>
    <row r="212" spans="1:11" ht="13">
      <c r="A212" s="176"/>
      <c r="B212" s="245"/>
      <c r="C212" s="176"/>
      <c r="D212" s="8"/>
      <c r="E212" s="8"/>
      <c r="F212" s="8"/>
      <c r="G212" s="8"/>
      <c r="H212" s="199"/>
      <c r="I212" s="106"/>
      <c r="J212" s="105"/>
      <c r="K212" s="105"/>
    </row>
    <row r="213" spans="1:11" ht="13">
      <c r="A213" s="176"/>
      <c r="B213" s="245"/>
      <c r="C213" s="176"/>
      <c r="D213" s="8"/>
      <c r="E213" s="8"/>
      <c r="F213" s="8"/>
      <c r="G213" s="8"/>
      <c r="H213" s="199"/>
      <c r="I213" s="106"/>
      <c r="J213" s="105"/>
      <c r="K213" s="105"/>
    </row>
    <row r="214" spans="1:11" ht="13">
      <c r="A214" s="176"/>
      <c r="B214" s="9"/>
      <c r="C214" s="77"/>
      <c r="D214" s="8"/>
      <c r="E214" s="8"/>
      <c r="F214" s="8"/>
      <c r="G214" s="8"/>
      <c r="H214" s="77"/>
      <c r="I214" s="8"/>
      <c r="J214" s="77"/>
      <c r="K214" s="272" t="s">
        <v>113</v>
      </c>
    </row>
    <row r="215" spans="1:11" ht="13">
      <c r="A215" s="176"/>
      <c r="B215" s="9"/>
      <c r="C215" s="77"/>
      <c r="D215" s="8"/>
      <c r="E215" s="8"/>
      <c r="F215" s="8"/>
      <c r="G215" s="8"/>
      <c r="H215" s="77"/>
      <c r="I215" s="8"/>
      <c r="J215" s="77"/>
      <c r="K215" s="8"/>
    </row>
    <row r="216" spans="1:11" ht="13">
      <c r="A216" s="176"/>
      <c r="B216" s="245" t="s">
        <v>1</v>
      </c>
      <c r="C216" s="176"/>
      <c r="D216" s="98" t="s">
        <v>72</v>
      </c>
      <c r="E216" s="8"/>
      <c r="F216" s="8"/>
      <c r="G216" s="8"/>
      <c r="H216" s="199"/>
      <c r="I216" s="18"/>
      <c r="J216" s="104"/>
      <c r="K216" s="294" t="str">
        <f>K3</f>
        <v>For  the 12 months ended 12/31/2019</v>
      </c>
    </row>
    <row r="217" spans="1:11" ht="13">
      <c r="A217" s="176"/>
      <c r="B217" s="245"/>
      <c r="C217" s="176"/>
      <c r="D217" s="98" t="s">
        <v>98</v>
      </c>
      <c r="E217" s="8"/>
      <c r="F217" s="8"/>
      <c r="G217" s="8"/>
      <c r="H217" s="199"/>
      <c r="I217" s="295"/>
      <c r="J217" s="104"/>
      <c r="K217" s="105"/>
    </row>
    <row r="218" spans="1:11" ht="13">
      <c r="A218" s="176"/>
      <c r="B218" s="245"/>
      <c r="C218" s="176"/>
      <c r="D218" s="98" t="str">
        <f>+D177</f>
        <v>PECO Energy Company</v>
      </c>
      <c r="E218" s="8"/>
      <c r="F218" s="8"/>
      <c r="G218" s="8"/>
      <c r="H218" s="199"/>
      <c r="I218" s="295"/>
      <c r="J218" s="104"/>
      <c r="K218" s="105"/>
    </row>
    <row r="219" spans="1:11" ht="13">
      <c r="A219" s="1049"/>
      <c r="B219" s="1049"/>
      <c r="C219" s="1049"/>
      <c r="D219" s="1049"/>
      <c r="E219" s="1049"/>
      <c r="F219" s="1049"/>
      <c r="G219" s="1049"/>
      <c r="H219" s="1049"/>
      <c r="I219" s="1049"/>
      <c r="J219" s="1049"/>
      <c r="K219" s="1049"/>
    </row>
    <row r="220" spans="1:11" ht="13">
      <c r="A220" s="176"/>
      <c r="B220" s="245"/>
      <c r="C220" s="176"/>
      <c r="D220" s="8"/>
      <c r="E220" s="8"/>
      <c r="F220" s="8"/>
      <c r="G220" s="8"/>
      <c r="H220" s="199"/>
      <c r="I220" s="295"/>
      <c r="J220" s="104"/>
      <c r="K220" s="105"/>
    </row>
    <row r="221" spans="1:11" ht="13">
      <c r="A221" s="176"/>
      <c r="B221" s="76" t="s">
        <v>57</v>
      </c>
      <c r="C221" s="176"/>
      <c r="D221" s="8"/>
      <c r="E221" s="8"/>
      <c r="F221" s="8"/>
      <c r="G221" s="8"/>
      <c r="H221" s="199"/>
      <c r="I221" s="8"/>
      <c r="J221" s="199"/>
      <c r="K221" s="8"/>
    </row>
    <row r="222" spans="1:11" ht="13">
      <c r="A222" s="176"/>
      <c r="B222" s="76" t="s">
        <v>1275</v>
      </c>
      <c r="C222" s="176"/>
      <c r="D222" s="8"/>
      <c r="E222" s="8"/>
      <c r="F222" s="8"/>
      <c r="G222" s="8"/>
      <c r="H222" s="199"/>
      <c r="I222" s="8"/>
      <c r="J222" s="199"/>
      <c r="K222" s="8"/>
    </row>
    <row r="223" spans="1:11" ht="13">
      <c r="A223" s="176"/>
      <c r="B223" s="76"/>
      <c r="C223" s="199"/>
      <c r="D223" s="8"/>
      <c r="E223" s="8"/>
      <c r="F223" s="8"/>
      <c r="G223" s="8"/>
      <c r="H223" s="199"/>
      <c r="I223" s="8"/>
      <c r="J223" s="199"/>
      <c r="K223" s="8"/>
    </row>
    <row r="224" spans="1:11" ht="13.5" thickBot="1">
      <c r="A224" s="241" t="s">
        <v>182</v>
      </c>
      <c r="B224" s="1050"/>
      <c r="C224" s="1050"/>
      <c r="D224" s="296"/>
      <c r="E224" s="296"/>
      <c r="F224" s="296"/>
      <c r="G224" s="296"/>
      <c r="H224" s="602"/>
      <c r="I224" s="296"/>
      <c r="J224" s="602"/>
      <c r="K224" s="296"/>
    </row>
    <row r="225" spans="1:11" ht="13">
      <c r="A225" s="602" t="s">
        <v>183</v>
      </c>
      <c r="B225" s="1044" t="s">
        <v>369</v>
      </c>
      <c r="C225" s="1044"/>
      <c r="D225" s="1044"/>
      <c r="E225" s="1044"/>
      <c r="F225" s="1044"/>
      <c r="G225" s="1044"/>
      <c r="H225" s="1044"/>
      <c r="I225" s="1044"/>
      <c r="J225" s="1044"/>
      <c r="K225" s="1044"/>
    </row>
    <row r="226" spans="1:11" ht="29.25" customHeight="1">
      <c r="A226" s="602" t="s">
        <v>184</v>
      </c>
      <c r="B226" s="1044" t="s">
        <v>355</v>
      </c>
      <c r="C226" s="1044"/>
      <c r="D226" s="1044"/>
      <c r="E226" s="1044"/>
      <c r="F226" s="1044"/>
      <c r="G226" s="1044"/>
      <c r="H226" s="1044"/>
      <c r="I226" s="1044"/>
      <c r="J226" s="1044"/>
      <c r="K226" s="1044"/>
    </row>
    <row r="227" spans="1:11" ht="13">
      <c r="A227" s="602" t="s">
        <v>60</v>
      </c>
      <c r="B227" s="1045" t="s">
        <v>369</v>
      </c>
      <c r="C227" s="1046"/>
      <c r="D227" s="1046"/>
      <c r="E227" s="1046"/>
      <c r="F227" s="1046"/>
      <c r="G227" s="1046"/>
      <c r="H227" s="1046"/>
      <c r="I227" s="1046"/>
      <c r="J227" s="1046"/>
      <c r="K227" s="1046"/>
    </row>
    <row r="228" spans="1:11" ht="17.5" customHeight="1">
      <c r="A228" s="602" t="s">
        <v>61</v>
      </c>
      <c r="B228" s="1044" t="s">
        <v>1338</v>
      </c>
      <c r="C228" s="1044"/>
      <c r="D228" s="1044"/>
      <c r="E228" s="1044"/>
      <c r="F228" s="1044"/>
      <c r="G228" s="1044"/>
      <c r="H228" s="1044"/>
      <c r="I228" s="1044"/>
      <c r="J228" s="1044"/>
      <c r="K228" s="1044"/>
    </row>
    <row r="229" spans="1:11" ht="74.5" customHeight="1">
      <c r="A229" s="602" t="s">
        <v>62</v>
      </c>
      <c r="B229" s="1044" t="s">
        <v>1400</v>
      </c>
      <c r="C229" s="1044"/>
      <c r="D229" s="1044"/>
      <c r="E229" s="1044"/>
      <c r="F229" s="1044"/>
      <c r="G229" s="1044"/>
      <c r="H229" s="1044"/>
      <c r="I229" s="1044"/>
      <c r="J229" s="1044"/>
      <c r="K229" s="1044"/>
    </row>
    <row r="230" spans="1:11" ht="30" customHeight="1">
      <c r="A230" s="602" t="s">
        <v>63</v>
      </c>
      <c r="B230" s="1044" t="s">
        <v>114</v>
      </c>
      <c r="C230" s="1044"/>
      <c r="D230" s="1044"/>
      <c r="E230" s="1044"/>
      <c r="F230" s="1044"/>
      <c r="G230" s="1044"/>
      <c r="H230" s="1044"/>
      <c r="I230" s="1044"/>
      <c r="J230" s="1044"/>
      <c r="K230" s="1044"/>
    </row>
    <row r="231" spans="1:11" ht="45.75" customHeight="1">
      <c r="A231" s="602" t="s">
        <v>64</v>
      </c>
      <c r="B231" s="1044" t="s">
        <v>430</v>
      </c>
      <c r="C231" s="1044"/>
      <c r="D231" s="1044"/>
      <c r="E231" s="1044"/>
      <c r="F231" s="1044"/>
      <c r="G231" s="1044"/>
      <c r="H231" s="1044"/>
      <c r="I231" s="1044"/>
      <c r="J231" s="1044"/>
      <c r="K231" s="1044"/>
    </row>
    <row r="232" spans="1:11" ht="13">
      <c r="A232" s="602"/>
      <c r="B232" s="143" t="s">
        <v>68</v>
      </c>
      <c r="C232" s="143" t="s">
        <v>69</v>
      </c>
      <c r="D232" s="516">
        <v>0.20999999999999999</v>
      </c>
      <c r="E232" s="143"/>
      <c r="F232" s="143"/>
      <c r="G232" s="143"/>
      <c r="H232" s="143"/>
      <c r="I232" s="143"/>
      <c r="J232" s="143"/>
      <c r="K232" s="143"/>
    </row>
    <row r="233" spans="1:11" ht="13">
      <c r="A233" s="602"/>
      <c r="B233" s="143"/>
      <c r="C233" s="143" t="s">
        <v>70</v>
      </c>
      <c r="D233" s="517">
        <v>0.099900000000000003</v>
      </c>
      <c r="E233" s="143" t="s">
        <v>115</v>
      </c>
      <c r="F233" s="143"/>
      <c r="G233" s="143"/>
      <c r="H233" s="143"/>
      <c r="I233" s="143"/>
      <c r="J233" s="143"/>
      <c r="K233" s="143"/>
    </row>
    <row r="234" spans="1:11" ht="13">
      <c r="A234" s="602"/>
      <c r="B234" s="143"/>
      <c r="C234" s="143" t="s">
        <v>71</v>
      </c>
      <c r="D234" s="380">
        <v>0</v>
      </c>
      <c r="E234" s="143" t="s">
        <v>116</v>
      </c>
      <c r="F234" s="143"/>
      <c r="G234" s="143"/>
      <c r="H234" s="143"/>
      <c r="I234" s="143"/>
      <c r="J234" s="143"/>
      <c r="K234" s="143"/>
    </row>
    <row r="235" spans="1:11" ht="13">
      <c r="A235" s="602"/>
      <c r="B235" s="143"/>
      <c r="C235" s="143"/>
      <c r="D235" s="201"/>
      <c r="E235" s="143"/>
      <c r="F235" s="143"/>
      <c r="G235" s="143"/>
      <c r="H235" s="143"/>
      <c r="I235" s="143"/>
      <c r="J235" s="143"/>
      <c r="K235" s="143"/>
    </row>
    <row r="236" spans="1:11" ht="19.5" customHeight="1">
      <c r="A236" s="602" t="s">
        <v>65</v>
      </c>
      <c r="B236" s="1044" t="s">
        <v>118</v>
      </c>
      <c r="C236" s="1044"/>
      <c r="D236" s="1044"/>
      <c r="E236" s="1044"/>
      <c r="F236" s="1044"/>
      <c r="G236" s="1044"/>
      <c r="H236" s="1044"/>
      <c r="I236" s="1044"/>
      <c r="J236" s="1044"/>
      <c r="K236" s="1044"/>
    </row>
    <row r="237" spans="1:11" ht="31.5" customHeight="1">
      <c r="A237" s="602" t="s">
        <v>66</v>
      </c>
      <c r="B237" s="1044" t="s">
        <v>119</v>
      </c>
      <c r="C237" s="1044"/>
      <c r="D237" s="1044"/>
      <c r="E237" s="1044"/>
      <c r="F237" s="1044"/>
      <c r="G237" s="1044"/>
      <c r="H237" s="1044"/>
      <c r="I237" s="1044"/>
      <c r="J237" s="1044"/>
      <c r="K237" s="1044"/>
    </row>
    <row r="238" spans="1:11" ht="13">
      <c r="A238" s="602" t="s">
        <v>67</v>
      </c>
      <c r="B238" s="1045" t="s">
        <v>369</v>
      </c>
      <c r="C238" s="1046"/>
      <c r="D238" s="1046"/>
      <c r="E238" s="1046"/>
      <c r="F238" s="1046"/>
      <c r="G238" s="1046"/>
      <c r="H238" s="1046"/>
      <c r="I238" s="1046"/>
      <c r="J238" s="1046"/>
      <c r="K238" s="1046"/>
    </row>
    <row r="239" spans="1:11" ht="28.9" customHeight="1">
      <c r="A239" s="602" t="s">
        <v>99</v>
      </c>
      <c r="B239" s="1044" t="s">
        <v>1394</v>
      </c>
      <c r="C239" s="1044"/>
      <c r="D239" s="1044"/>
      <c r="E239" s="1044"/>
      <c r="F239" s="1044"/>
      <c r="G239" s="1044"/>
      <c r="H239" s="1044"/>
      <c r="I239" s="1044"/>
      <c r="J239" s="1044"/>
      <c r="K239" s="1044"/>
    </row>
    <row r="240" spans="1:11" ht="13">
      <c r="A240" s="602" t="s">
        <v>185</v>
      </c>
      <c r="B240" s="1044" t="s">
        <v>369</v>
      </c>
      <c r="C240" s="1044"/>
      <c r="D240" s="1044"/>
      <c r="E240" s="1044"/>
      <c r="F240" s="1044"/>
      <c r="G240" s="1044"/>
      <c r="H240" s="1044"/>
      <c r="I240" s="1044"/>
      <c r="J240" s="1044"/>
      <c r="K240" s="1044"/>
    </row>
    <row r="241" spans="1:11" ht="13">
      <c r="A241" s="602" t="s">
        <v>117</v>
      </c>
      <c r="B241" s="604" t="s">
        <v>369</v>
      </c>
      <c r="C241" s="605"/>
      <c r="D241" s="605"/>
      <c r="E241" s="605"/>
      <c r="F241" s="605"/>
      <c r="G241" s="605"/>
      <c r="H241" s="605"/>
      <c r="I241" s="605"/>
      <c r="J241" s="605"/>
      <c r="K241" s="605"/>
    </row>
    <row r="242" spans="1:11" ht="13">
      <c r="A242" s="602" t="s">
        <v>186</v>
      </c>
      <c r="B242" s="1047" t="s">
        <v>1492</v>
      </c>
      <c r="C242" s="1047"/>
      <c r="D242" s="1047"/>
      <c r="E242" s="1047"/>
      <c r="F242" s="1047"/>
      <c r="G242" s="1047"/>
      <c r="H242" s="1047"/>
      <c r="I242" s="1047"/>
      <c r="J242" s="1047"/>
      <c r="K242" s="1047"/>
    </row>
    <row r="243" spans="1:11" ht="28.15" customHeight="1">
      <c r="A243" s="602" t="s">
        <v>120</v>
      </c>
      <c r="B243" s="1047" t="s">
        <v>1490</v>
      </c>
      <c r="C243" s="1047"/>
      <c r="D243" s="1047"/>
      <c r="E243" s="1047"/>
      <c r="F243" s="1047"/>
      <c r="G243" s="1047"/>
      <c r="H243" s="1047"/>
      <c r="I243" s="1047"/>
      <c r="J243" s="1047"/>
      <c r="K243" s="1047"/>
    </row>
    <row r="244" spans="1:11" ht="13.15" customHeight="1">
      <c r="A244" s="602" t="s">
        <v>121</v>
      </c>
      <c r="B244" s="1047" t="s">
        <v>1491</v>
      </c>
      <c r="C244" s="1047"/>
      <c r="D244" s="1047"/>
      <c r="E244" s="1047"/>
      <c r="F244" s="1047"/>
      <c r="G244" s="1047"/>
      <c r="H244" s="1047"/>
      <c r="I244" s="1047"/>
      <c r="J244" s="1047"/>
      <c r="K244" s="1047"/>
    </row>
    <row r="245" spans="1:11" ht="13">
      <c r="A245" s="602" t="s">
        <v>122</v>
      </c>
      <c r="B245" s="1047" t="s">
        <v>1202</v>
      </c>
      <c r="C245" s="1047"/>
      <c r="D245" s="1047"/>
      <c r="E245" s="1047"/>
      <c r="F245" s="1047"/>
      <c r="G245" s="1047"/>
      <c r="H245" s="1047"/>
      <c r="I245" s="1047"/>
      <c r="J245" s="1047"/>
      <c r="K245" s="1047"/>
    </row>
    <row r="246" spans="1:11" ht="13">
      <c r="A246" s="602" t="s">
        <v>123</v>
      </c>
      <c r="B246" s="1043" t="s">
        <v>1276</v>
      </c>
      <c r="C246" s="1043"/>
      <c r="D246" s="1043"/>
      <c r="E246" s="1043"/>
      <c r="F246" s="1043"/>
      <c r="G246" s="1043"/>
      <c r="H246" s="1043"/>
      <c r="I246" s="1043"/>
      <c r="J246" s="1043"/>
      <c r="K246" s="1043"/>
    </row>
    <row r="247" spans="1:11" ht="13">
      <c r="A247" s="602" t="s">
        <v>124</v>
      </c>
      <c r="B247" s="1052" t="s">
        <v>1406</v>
      </c>
      <c r="C247" s="1052"/>
      <c r="D247" s="1052"/>
      <c r="E247" s="1052"/>
      <c r="F247" s="1052"/>
      <c r="G247" s="1052"/>
      <c r="H247" s="1052"/>
      <c r="I247" s="1052"/>
      <c r="J247" s="1052"/>
      <c r="K247" s="1052"/>
    </row>
    <row r="248" spans="1:11" s="287" customFormat="1" ht="25.9" customHeight="1">
      <c r="A248" s="602" t="s">
        <v>125</v>
      </c>
      <c r="B248" s="1051" t="s">
        <v>1395</v>
      </c>
      <c r="C248" s="1051"/>
      <c r="D248" s="1051"/>
      <c r="E248" s="1051"/>
      <c r="F248" s="1051"/>
      <c r="G248" s="1051"/>
      <c r="H248" s="1051"/>
      <c r="I248" s="1051"/>
      <c r="J248" s="1051"/>
      <c r="K248" s="1051"/>
    </row>
    <row r="249" spans="1:11" s="287" customFormat="1" ht="13">
      <c r="A249" s="602" t="s">
        <v>214</v>
      </c>
      <c r="B249" s="152" t="s">
        <v>298</v>
      </c>
      <c r="C249" s="152"/>
      <c r="D249" s="152"/>
      <c r="E249" s="152"/>
      <c r="F249" s="152"/>
      <c r="G249" s="152"/>
      <c r="H249" s="143"/>
      <c r="I249" s="144"/>
      <c r="J249" s="145"/>
      <c r="K249" s="145"/>
    </row>
    <row r="250" spans="1:11" s="287" customFormat="1" ht="13">
      <c r="A250" s="602" t="s">
        <v>249</v>
      </c>
      <c r="B250" s="297" t="s">
        <v>1396</v>
      </c>
      <c r="C250" s="297"/>
      <c r="D250" s="297"/>
      <c r="E250" s="297"/>
      <c r="F250" s="297"/>
      <c r="G250" s="297"/>
      <c r="H250" s="297"/>
      <c r="I250" s="297"/>
      <c r="J250" s="297"/>
      <c r="K250" s="297"/>
    </row>
    <row r="251" spans="1:11" ht="45" customHeight="1">
      <c r="A251" s="602" t="s">
        <v>286</v>
      </c>
      <c r="B251" s="1044" t="s">
        <v>1225</v>
      </c>
      <c r="C251" s="1044"/>
      <c r="D251" s="1044"/>
      <c r="E251" s="1044"/>
      <c r="F251" s="1044"/>
      <c r="G251" s="1044"/>
      <c r="H251" s="1044"/>
      <c r="I251" s="1044"/>
      <c r="J251" s="1044"/>
      <c r="K251" s="1044"/>
    </row>
    <row r="252" spans="1:2" ht="13">
      <c r="A252" s="602" t="s">
        <v>323</v>
      </c>
      <c r="B252" s="109" t="s">
        <v>769</v>
      </c>
    </row>
    <row r="253" spans="1:2" ht="13">
      <c r="A253" s="602" t="s">
        <v>437</v>
      </c>
      <c r="B253" s="298" t="s">
        <v>772</v>
      </c>
    </row>
    <row r="254" ht="13">
      <c r="B254" s="298" t="s">
        <v>436</v>
      </c>
    </row>
    <row r="255" spans="1:2" ht="13">
      <c r="A255" s="109" t="s">
        <v>1190</v>
      </c>
      <c r="B255" s="298" t="s">
        <v>1229</v>
      </c>
    </row>
  </sheetData>
  <customSheetViews>
    <customSheetView guid="{f04a2b9a-c6fe-4feb-ad1e-2cf9ac309be4}" printArea="1" scale="60" showPageBreaks="1" topLeftCell="A61" view="pageBreakPreview">
      <selection pane="topLeft" activeCell="C103" sqref="C103"/>
      <rowBreaks count="4" manualBreakCount="4">
        <brk id="50" max="10" man="1"/>
        <brk id="107" max="255" man="1"/>
        <brk id="170" max="10" man="1"/>
        <brk id="225" max="255" man="1"/>
      </rowBreaks>
      <pageMargins left="0.7" right="0.7" top="0.75" bottom="0.75" header="0.3" footer="0.3"/>
      <pageSetup fitToHeight="6" orientation="landscape" scale="51" r:id="rId2"/>
    </customSheetView>
  </customSheetViews>
  <mergeCells count="25">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 ref="B246:K246"/>
    <mergeCell ref="B231:K231"/>
    <mergeCell ref="B236:K236"/>
    <mergeCell ref="B237:K237"/>
    <mergeCell ref="B238:K238"/>
    <mergeCell ref="B239:K239"/>
    <mergeCell ref="B242:K242"/>
    <mergeCell ref="B243:K243"/>
    <mergeCell ref="B244:K244"/>
  </mergeCells>
  <pageMargins left="0.25" right="0.25" top="0.75" bottom="0.75" header="0.3" footer="0.3"/>
  <pageSetup fitToHeight="0" orientation="landscape" scale="10" r:id="rId1"/>
  <rowBreaks count="4" manualBreakCount="4">
    <brk id="33" max="10" man="1"/>
    <brk id="103" max="255" man="1"/>
    <brk id="171" max="10" man="1"/>
    <brk id="212"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9"/>
  <sheetViews>
    <sheetView view="pageBreakPreview" zoomScale="80" zoomScaleNormal="65" zoomScaleSheetLayoutView="80" workbookViewId="0" topLeftCell="A1">
      <selection pane="topLeft" activeCell="A1" sqref="A1"/>
    </sheetView>
  </sheetViews>
  <sheetFormatPr defaultColWidth="8.84375" defaultRowHeight="13"/>
  <cols>
    <col min="1" max="1" width="6" style="196" customWidth="1"/>
    <col min="2" max="2" width="1.42857142857143" style="196" customWidth="1"/>
    <col min="3" max="3" width="42.7857142857143" style="196" customWidth="1"/>
    <col min="4" max="4" width="13.7857142857143" style="196" customWidth="1"/>
    <col min="5" max="5" width="17.5" style="196" customWidth="1"/>
    <col min="6" max="6" width="13.0714285714286" style="196" customWidth="1"/>
    <col min="7" max="7" width="14.4285714285714" style="196" customWidth="1"/>
    <col min="8" max="8" width="16.2857142857143" style="196" customWidth="1"/>
    <col min="9" max="9" width="13.7857142857143" style="196" customWidth="1"/>
    <col min="10" max="10" width="14.4285714285714" style="196" customWidth="1"/>
    <col min="11" max="11" width="13.5" style="196" customWidth="1"/>
    <col min="12" max="13" width="15.7857142857143" style="196" customWidth="1"/>
    <col min="14" max="14" width="14.4285714285714" style="196" customWidth="1"/>
    <col min="15" max="15" width="13.2142857142857" style="196" bestFit="1" customWidth="1"/>
    <col min="16" max="16" width="12.7857142857143" style="196" customWidth="1"/>
    <col min="17" max="17" width="13.8571428571429" style="196" customWidth="1"/>
    <col min="18" max="19" width="9.28571428571429" style="196" customWidth="1"/>
    <col min="20" max="20" width="13" style="196" customWidth="1"/>
    <col min="21" max="21" width="11.2857142857143" style="197" bestFit="1" customWidth="1"/>
    <col min="22" max="16384" width="8.85714285714286" style="196"/>
  </cols>
  <sheetData>
    <row r="1" ht="13">
      <c r="Q1" s="17"/>
    </row>
    <row r="2" ht="13">
      <c r="Q2" s="17"/>
    </row>
    <row r="4" ht="13">
      <c r="Q4" s="17"/>
    </row>
    <row r="5" spans="4:22" ht="13">
      <c r="D5" s="2"/>
      <c r="E5" s="2"/>
      <c r="F5" s="2"/>
      <c r="G5" s="427" t="s">
        <v>189</v>
      </c>
      <c r="H5" s="2"/>
      <c r="I5" s="2"/>
      <c r="J5" s="2"/>
      <c r="K5" s="5"/>
      <c r="L5" s="18"/>
      <c r="M5" s="19"/>
      <c r="N5" s="19"/>
      <c r="O5" s="19"/>
      <c r="P5" s="19"/>
      <c r="Q5" s="19"/>
      <c r="R5" s="6"/>
      <c r="S5" s="6"/>
      <c r="T5" s="6" t="s">
        <v>422</v>
      </c>
      <c r="U5" s="194"/>
      <c r="V5" s="6"/>
    </row>
    <row r="6" spans="4:22" ht="13">
      <c r="D6" s="2"/>
      <c r="E6" s="3" t="s">
        <v>2</v>
      </c>
      <c r="F6" s="3"/>
      <c r="G6" s="427" t="s">
        <v>188</v>
      </c>
      <c r="H6" s="3"/>
      <c r="I6" s="3"/>
      <c r="J6" s="3"/>
      <c r="K6" s="5"/>
      <c r="P6" s="6"/>
      <c r="Q6" s="5"/>
      <c r="R6" s="6"/>
      <c r="S6" s="6"/>
      <c r="T6" s="21"/>
      <c r="U6" s="194"/>
      <c r="V6" s="6"/>
    </row>
    <row r="7" spans="3:22" ht="13">
      <c r="C7" s="6"/>
      <c r="D7" s="6"/>
      <c r="E7" s="6"/>
      <c r="F7" s="6"/>
      <c r="G7" s="202" t="str">
        <f>+'Attachment H-7'!D5</f>
        <v>PECO Energy Company</v>
      </c>
      <c r="H7" s="6"/>
      <c r="I7" s="6"/>
      <c r="J7" s="6"/>
      <c r="K7" s="6"/>
      <c r="P7" s="6"/>
      <c r="Q7" s="6"/>
      <c r="R7" s="6"/>
      <c r="S7" s="6"/>
      <c r="T7" s="20"/>
      <c r="U7" s="194"/>
      <c r="V7" s="6"/>
    </row>
    <row r="8" spans="1:22" ht="13">
      <c r="A8" s="427"/>
      <c r="C8" s="6"/>
      <c r="D8" s="6"/>
      <c r="E8" s="6"/>
      <c r="F8" s="6"/>
      <c r="H8" s="6"/>
      <c r="I8" s="6"/>
      <c r="J8" s="6"/>
      <c r="K8" s="6"/>
      <c r="L8" s="6"/>
      <c r="M8" s="6"/>
      <c r="N8" s="6"/>
      <c r="O8" s="6"/>
      <c r="P8" s="6"/>
      <c r="Q8" s="6"/>
      <c r="R8" s="6"/>
      <c r="S8" s="6"/>
      <c r="T8" s="20"/>
      <c r="U8" s="194"/>
      <c r="V8" s="6"/>
    </row>
    <row r="9" spans="1:22" ht="13">
      <c r="A9" s="427"/>
      <c r="C9" s="6"/>
      <c r="D9" s="6"/>
      <c r="E9" s="6"/>
      <c r="F9" s="6"/>
      <c r="G9" s="22"/>
      <c r="H9" s="6"/>
      <c r="I9" s="6"/>
      <c r="J9" s="6"/>
      <c r="K9" s="6"/>
      <c r="L9" s="6"/>
      <c r="M9" s="6"/>
      <c r="N9" s="6"/>
      <c r="O9" s="6"/>
      <c r="P9" s="6"/>
      <c r="Q9" s="6"/>
      <c r="R9" s="6"/>
      <c r="S9" s="6"/>
      <c r="T9" s="20"/>
      <c r="U9" s="194"/>
      <c r="V9" s="6"/>
    </row>
    <row r="10" spans="1:22" ht="13">
      <c r="A10" s="427"/>
      <c r="C10" s="6" t="s">
        <v>972</v>
      </c>
      <c r="D10" s="6"/>
      <c r="E10" s="6"/>
      <c r="F10" s="6"/>
      <c r="G10" s="22"/>
      <c r="H10" s="6"/>
      <c r="I10" s="6"/>
      <c r="J10" s="6"/>
      <c r="K10" s="6"/>
      <c r="L10" s="6"/>
      <c r="M10" s="6"/>
      <c r="N10" s="6"/>
      <c r="O10" s="6"/>
      <c r="P10" s="6"/>
      <c r="Q10" s="6"/>
      <c r="R10" s="6"/>
      <c r="S10" s="6"/>
      <c r="T10" s="20"/>
      <c r="U10" s="194"/>
      <c r="V10" s="6"/>
    </row>
    <row r="11" spans="1:22" ht="13">
      <c r="A11" s="427"/>
      <c r="C11" s="6"/>
      <c r="D11" s="6"/>
      <c r="E11" s="6"/>
      <c r="F11" s="6"/>
      <c r="G11" s="22"/>
      <c r="L11" s="6"/>
      <c r="M11" s="6"/>
      <c r="N11" s="6"/>
      <c r="O11" s="6"/>
      <c r="P11" s="6"/>
      <c r="Q11" s="6"/>
      <c r="R11" s="6"/>
      <c r="S11" s="6"/>
      <c r="T11" s="6"/>
      <c r="U11" s="173"/>
      <c r="V11" s="6"/>
    </row>
    <row r="12" spans="1:22" ht="13">
      <c r="A12" s="427"/>
      <c r="C12" s="6"/>
      <c r="D12" s="6"/>
      <c r="E12" s="6"/>
      <c r="F12" s="6"/>
      <c r="G12" s="6"/>
      <c r="L12" s="23"/>
      <c r="M12" s="23"/>
      <c r="N12" s="23"/>
      <c r="O12" s="23"/>
      <c r="P12" s="6"/>
      <c r="Q12" s="6"/>
      <c r="R12" s="6"/>
      <c r="S12" s="6"/>
      <c r="T12" s="6"/>
      <c r="U12" s="173"/>
      <c r="V12" s="6"/>
    </row>
    <row r="13" spans="3:22" ht="13">
      <c r="C13" s="24" t="s">
        <v>3</v>
      </c>
      <c r="D13" s="24"/>
      <c r="E13" s="24" t="s">
        <v>4</v>
      </c>
      <c r="F13" s="24"/>
      <c r="I13" s="24" t="s">
        <v>5</v>
      </c>
      <c r="L13" s="25" t="s">
        <v>6</v>
      </c>
      <c r="M13" s="25"/>
      <c r="N13" s="25"/>
      <c r="O13" s="25"/>
      <c r="P13" s="3"/>
      <c r="Q13" s="25"/>
      <c r="R13" s="3"/>
      <c r="S13" s="3"/>
      <c r="T13" s="25"/>
      <c r="V13" s="26"/>
    </row>
    <row r="14" spans="3:22" ht="13">
      <c r="C14" s="26"/>
      <c r="D14" s="26"/>
      <c r="E14" s="27" t="s">
        <v>971</v>
      </c>
      <c r="F14" s="27"/>
      <c r="I14" s="3"/>
      <c r="P14" s="3"/>
      <c r="R14" s="3"/>
      <c r="S14" s="3"/>
      <c r="T14" s="24"/>
      <c r="U14" s="69"/>
      <c r="V14" s="26"/>
    </row>
    <row r="15" spans="1:22" ht="13">
      <c r="A15" s="427" t="s">
        <v>8</v>
      </c>
      <c r="C15" s="26"/>
      <c r="D15" s="26"/>
      <c r="E15" s="28" t="s">
        <v>18</v>
      </c>
      <c r="F15" s="28"/>
      <c r="I15" s="29" t="s">
        <v>17</v>
      </c>
      <c r="L15" s="29" t="s">
        <v>14</v>
      </c>
      <c r="M15" s="29"/>
      <c r="N15" s="29"/>
      <c r="O15" s="29"/>
      <c r="P15" s="3"/>
      <c r="R15" s="6"/>
      <c r="S15" s="6"/>
      <c r="T15" s="30"/>
      <c r="U15" s="69"/>
      <c r="V15" s="26"/>
    </row>
    <row r="16" spans="1:22" ht="13">
      <c r="A16" s="427" t="s">
        <v>10</v>
      </c>
      <c r="C16" s="31"/>
      <c r="D16" s="31"/>
      <c r="E16" s="3"/>
      <c r="F16" s="3"/>
      <c r="I16" s="3"/>
      <c r="L16" s="3"/>
      <c r="M16" s="3"/>
      <c r="N16" s="3"/>
      <c r="O16" s="3"/>
      <c r="P16" s="3"/>
      <c r="Q16" s="3"/>
      <c r="R16" s="6"/>
      <c r="S16" s="6"/>
      <c r="T16" s="3"/>
      <c r="V16" s="26"/>
    </row>
    <row r="17" spans="1:22" ht="13">
      <c r="A17" s="32"/>
      <c r="C17" s="26"/>
      <c r="D17" s="26"/>
      <c r="E17" s="3"/>
      <c r="F17" s="3"/>
      <c r="I17" s="3"/>
      <c r="L17" s="3"/>
      <c r="M17" s="3"/>
      <c r="N17" s="3"/>
      <c r="O17" s="3"/>
      <c r="P17" s="3"/>
      <c r="Q17" s="3"/>
      <c r="R17" s="6"/>
      <c r="S17" s="6"/>
      <c r="T17" s="3"/>
      <c r="V17" s="26"/>
    </row>
    <row r="18" spans="1:22" ht="13">
      <c r="A18" s="4">
        <v>1</v>
      </c>
      <c r="C18" s="26" t="s">
        <v>126</v>
      </c>
      <c r="D18" s="26"/>
      <c r="E18" s="33" t="s">
        <v>1101</v>
      </c>
      <c r="F18" s="4"/>
      <c r="I18" s="197">
        <f>+'Attachment H-7'!I47</f>
        <v>1659200189.1210401</v>
      </c>
      <c r="P18" s="3"/>
      <c r="Q18" s="3"/>
      <c r="R18" s="6"/>
      <c r="S18" s="6"/>
      <c r="T18" s="3"/>
      <c r="V18" s="26"/>
    </row>
    <row r="19" spans="1:22" ht="13">
      <c r="A19" s="4">
        <v>2</v>
      </c>
      <c r="C19" s="26" t="s">
        <v>127</v>
      </c>
      <c r="D19" s="26"/>
      <c r="E19" s="33" t="s">
        <v>1102</v>
      </c>
      <c r="F19" s="4"/>
      <c r="I19" s="197">
        <f>+'Attachment H-7'!I67+'Attachment H-7'!I85+'Attachment H-7'!I88</f>
        <v>1143058723.924094</v>
      </c>
      <c r="P19" s="3"/>
      <c r="Q19" s="3"/>
      <c r="R19" s="6"/>
      <c r="S19" s="6"/>
      <c r="T19" s="3"/>
      <c r="V19" s="26"/>
    </row>
    <row r="20" spans="1:22" ht="13">
      <c r="A20" s="4"/>
      <c r="E20" s="33"/>
      <c r="F20" s="4"/>
      <c r="P20" s="3"/>
      <c r="Q20" s="3"/>
      <c r="R20" s="6"/>
      <c r="S20" s="6"/>
      <c r="T20" s="3"/>
      <c r="V20" s="26"/>
    </row>
    <row r="21" spans="1:22" ht="13">
      <c r="A21" s="4"/>
      <c r="C21" s="26" t="s">
        <v>128</v>
      </c>
      <c r="D21" s="26"/>
      <c r="E21" s="33"/>
      <c r="F21" s="4"/>
      <c r="I21" s="3"/>
      <c r="L21" s="3"/>
      <c r="M21" s="3"/>
      <c r="N21" s="3"/>
      <c r="O21" s="3"/>
      <c r="P21" s="3"/>
      <c r="Q21" s="3"/>
      <c r="R21" s="3"/>
      <c r="S21" s="3"/>
      <c r="T21" s="3"/>
      <c r="V21" s="26"/>
    </row>
    <row r="22" spans="1:22" ht="13">
      <c r="A22" s="4">
        <v>3</v>
      </c>
      <c r="C22" s="26" t="s">
        <v>129</v>
      </c>
      <c r="D22" s="26"/>
      <c r="E22" s="33" t="s">
        <v>1103</v>
      </c>
      <c r="F22" s="4"/>
      <c r="I22" s="197">
        <f>+'Attachment H-7'!I125</f>
        <v>69729270.908290312</v>
      </c>
      <c r="P22" s="3"/>
      <c r="Q22" s="3"/>
      <c r="R22" s="3"/>
      <c r="S22" s="3"/>
      <c r="T22" s="3"/>
      <c r="V22" s="26"/>
    </row>
    <row r="23" spans="1:22" ht="13">
      <c r="A23" s="4">
        <v>4</v>
      </c>
      <c r="C23" s="26" t="s">
        <v>130</v>
      </c>
      <c r="D23" s="26"/>
      <c r="E23" s="33" t="s">
        <v>131</v>
      </c>
      <c r="F23" s="4"/>
      <c r="I23" s="195">
        <f>IF(I18=0,0,I22/I18)</f>
        <v>0.042025833510318807</v>
      </c>
      <c r="L23" s="912">
        <f>I23</f>
        <v>0.042025833510318807</v>
      </c>
      <c r="M23" s="913"/>
      <c r="N23" s="913"/>
      <c r="O23" s="913"/>
      <c r="P23" s="3"/>
      <c r="Q23" s="34"/>
      <c r="R23" s="35"/>
      <c r="S23" s="35"/>
      <c r="T23" s="36"/>
      <c r="V23" s="26"/>
    </row>
    <row r="24" spans="1:22" ht="13">
      <c r="A24" s="4"/>
      <c r="C24" s="26"/>
      <c r="D24" s="26"/>
      <c r="E24" s="33"/>
      <c r="F24" s="4"/>
      <c r="I24" s="37"/>
      <c r="L24" s="912"/>
      <c r="M24" s="913"/>
      <c r="N24" s="913"/>
      <c r="O24" s="913"/>
      <c r="P24" s="3"/>
      <c r="Q24" s="34"/>
      <c r="R24" s="35"/>
      <c r="S24" s="35"/>
      <c r="T24" s="36"/>
      <c r="V24" s="26"/>
    </row>
    <row r="25" spans="1:22" ht="13">
      <c r="A25" s="25"/>
      <c r="C25" s="26" t="s">
        <v>370</v>
      </c>
      <c r="D25" s="26"/>
      <c r="E25" s="607"/>
      <c r="F25" s="198"/>
      <c r="I25" s="3"/>
      <c r="L25" s="195"/>
      <c r="M25" s="3"/>
      <c r="N25" s="3"/>
      <c r="O25" s="3"/>
      <c r="P25" s="3"/>
      <c r="Q25" s="34"/>
      <c r="R25" s="35"/>
      <c r="S25" s="35"/>
      <c r="T25" s="36"/>
      <c r="V25" s="26"/>
    </row>
    <row r="26" spans="1:22" ht="13">
      <c r="A26" s="25" t="s">
        <v>132</v>
      </c>
      <c r="C26" s="26" t="s">
        <v>372</v>
      </c>
      <c r="D26" s="26"/>
      <c r="E26" s="33" t="s">
        <v>1107</v>
      </c>
      <c r="F26" s="4"/>
      <c r="I26" s="197">
        <f>+'Attachment H-7'!I129+'Attachment H-7'!I133+'Attachment H-7'!I130+'Attachment H-7'!I134+'Attachment H-7'!I131</f>
        <v>7757479.2533645453</v>
      </c>
      <c r="L26" s="195"/>
      <c r="P26" s="3"/>
      <c r="Q26" s="34"/>
      <c r="R26" s="35"/>
      <c r="S26" s="35"/>
      <c r="T26" s="36"/>
      <c r="V26" s="26"/>
    </row>
    <row r="27" spans="1:22" ht="13">
      <c r="A27" s="25" t="s">
        <v>133</v>
      </c>
      <c r="C27" s="26" t="s">
        <v>371</v>
      </c>
      <c r="D27" s="26"/>
      <c r="E27" s="33" t="s">
        <v>134</v>
      </c>
      <c r="F27" s="4"/>
      <c r="I27" s="15">
        <f>IF(I26=0,0,I26/I18)</f>
        <v>0.0046754329611510374</v>
      </c>
      <c r="J27" s="15"/>
      <c r="K27" s="15"/>
      <c r="L27" s="912">
        <f>I27</f>
        <v>0.0046754329611510374</v>
      </c>
      <c r="M27" s="913"/>
      <c r="N27" s="913"/>
      <c r="O27" s="913"/>
      <c r="P27" s="3"/>
      <c r="Q27" s="34"/>
      <c r="R27" s="35"/>
      <c r="S27" s="35"/>
      <c r="T27" s="36"/>
      <c r="V27" s="26"/>
    </row>
    <row r="28" spans="1:22" ht="13">
      <c r="A28" s="4"/>
      <c r="C28" s="26"/>
      <c r="D28" s="26"/>
      <c r="E28" s="33"/>
      <c r="F28" s="4"/>
      <c r="I28" s="15"/>
      <c r="J28" s="15"/>
      <c r="K28" s="15"/>
      <c r="L28" s="912"/>
      <c r="M28" s="913"/>
      <c r="N28" s="913"/>
      <c r="O28" s="913"/>
      <c r="P28" s="3"/>
      <c r="Q28" s="34"/>
      <c r="R28" s="35"/>
      <c r="S28" s="35"/>
      <c r="T28" s="36"/>
      <c r="V28" s="26"/>
    </row>
    <row r="29" spans="1:22" ht="13">
      <c r="A29" s="25"/>
      <c r="C29" s="26" t="s">
        <v>135</v>
      </c>
      <c r="D29" s="26"/>
      <c r="E29" s="607"/>
      <c r="F29" s="198"/>
      <c r="I29" s="15"/>
      <c r="J29" s="15"/>
      <c r="K29" s="15"/>
      <c r="L29" s="195"/>
      <c r="M29" s="3"/>
      <c r="N29" s="3"/>
      <c r="O29" s="3"/>
      <c r="P29" s="3"/>
      <c r="Q29" s="3"/>
      <c r="R29" s="3"/>
      <c r="S29" s="3"/>
      <c r="T29" s="3"/>
      <c r="V29" s="26"/>
    </row>
    <row r="30" spans="1:22" ht="13">
      <c r="A30" s="25" t="s">
        <v>136</v>
      </c>
      <c r="C30" s="26" t="s">
        <v>137</v>
      </c>
      <c r="D30" s="26"/>
      <c r="E30" s="33" t="s">
        <v>1104</v>
      </c>
      <c r="F30" s="4"/>
      <c r="I30" s="197">
        <f>+'Attachment H-7'!I147</f>
        <v>3638514.0019509159</v>
      </c>
      <c r="J30" s="15"/>
      <c r="K30" s="15"/>
      <c r="L30" s="195"/>
      <c r="P30" s="3"/>
      <c r="Q30" s="30"/>
      <c r="R30" s="3"/>
      <c r="S30" s="3"/>
      <c r="T30" s="4"/>
      <c r="U30" s="69"/>
      <c r="V30" s="26"/>
    </row>
    <row r="31" spans="1:22" ht="13">
      <c r="A31" s="25" t="s">
        <v>138</v>
      </c>
      <c r="C31" s="26" t="s">
        <v>139</v>
      </c>
      <c r="D31" s="26"/>
      <c r="E31" s="33" t="s">
        <v>140</v>
      </c>
      <c r="F31" s="4"/>
      <c r="I31" s="15">
        <f>IF(I30=0,0,I30/I18)</f>
        <v>0.0021929324898874412</v>
      </c>
      <c r="J31" s="15"/>
      <c r="K31" s="15"/>
      <c r="L31" s="912">
        <f>I31</f>
        <v>0.0021929324898874412</v>
      </c>
      <c r="M31" s="913"/>
      <c r="N31" s="913"/>
      <c r="O31" s="913"/>
      <c r="P31" s="3"/>
      <c r="Q31" s="34"/>
      <c r="R31" s="3"/>
      <c r="S31" s="3"/>
      <c r="T31" s="36"/>
      <c r="U31" s="69"/>
      <c r="V31" s="26"/>
    </row>
    <row r="32" spans="1:22" ht="13">
      <c r="A32" s="25"/>
      <c r="C32" s="26"/>
      <c r="D32" s="26"/>
      <c r="E32" s="33"/>
      <c r="F32" s="4"/>
      <c r="I32" s="3"/>
      <c r="L32" s="195"/>
      <c r="M32" s="3"/>
      <c r="N32" s="3"/>
      <c r="O32" s="3"/>
      <c r="P32" s="3"/>
      <c r="V32" s="26"/>
    </row>
    <row r="33" spans="1:22" ht="13">
      <c r="A33" s="25" t="s">
        <v>141</v>
      </c>
      <c r="C33" s="26" t="s">
        <v>181</v>
      </c>
      <c r="D33" s="26"/>
      <c r="E33" s="33" t="s">
        <v>1105</v>
      </c>
      <c r="F33" s="4"/>
      <c r="I33" s="197">
        <f>'Attachment H-7'!I14</f>
        <v>9658757.6675326191</v>
      </c>
      <c r="L33" s="195"/>
      <c r="M33" s="3"/>
      <c r="N33" s="3"/>
      <c r="O33" s="3"/>
      <c r="P33" s="3"/>
      <c r="V33" s="26"/>
    </row>
    <row r="34" spans="1:22" ht="13">
      <c r="A34" s="25" t="s">
        <v>144</v>
      </c>
      <c r="C34" s="26" t="s">
        <v>356</v>
      </c>
      <c r="D34" s="26"/>
      <c r="E34" s="33" t="s">
        <v>177</v>
      </c>
      <c r="F34" s="4"/>
      <c r="I34" s="38">
        <f>IF(L18=0,0,I33/I18)</f>
        <v>0</v>
      </c>
      <c r="L34" s="195">
        <f>+I34</f>
        <v>0</v>
      </c>
      <c r="M34" s="3"/>
      <c r="N34" s="3"/>
      <c r="O34" s="3"/>
      <c r="P34" s="3"/>
      <c r="V34" s="26"/>
    </row>
    <row r="35" spans="1:22" ht="13">
      <c r="A35" s="25"/>
      <c r="C35" s="26"/>
      <c r="D35" s="26"/>
      <c r="E35" s="33"/>
      <c r="F35" s="4"/>
      <c r="I35" s="3"/>
      <c r="L35" s="195"/>
      <c r="M35" s="3"/>
      <c r="N35" s="3"/>
      <c r="O35" s="3"/>
      <c r="P35" s="3"/>
      <c r="V35" s="26"/>
    </row>
    <row r="36" spans="1:22" ht="13">
      <c r="A36" s="39" t="s">
        <v>145</v>
      </c>
      <c r="B36" s="40"/>
      <c r="C36" s="31" t="s">
        <v>142</v>
      </c>
      <c r="D36" s="31"/>
      <c r="E36" s="41" t="s">
        <v>1143</v>
      </c>
      <c r="F36" s="27"/>
      <c r="I36" s="35"/>
      <c r="L36" s="554">
        <f>L23+L27+L31+L34</f>
        <v>0.048894198961357285</v>
      </c>
      <c r="M36" s="42"/>
      <c r="N36" s="42"/>
      <c r="O36" s="42"/>
      <c r="P36" s="3"/>
      <c r="V36" s="26"/>
    </row>
    <row r="37" spans="1:22" ht="13">
      <c r="A37" s="25"/>
      <c r="C37" s="26"/>
      <c r="D37" s="26"/>
      <c r="E37" s="33"/>
      <c r="F37" s="4"/>
      <c r="I37" s="3"/>
      <c r="L37" s="195"/>
      <c r="M37" s="3"/>
      <c r="N37" s="3"/>
      <c r="O37" s="3"/>
      <c r="P37" s="3"/>
      <c r="Q37" s="3"/>
      <c r="R37" s="3"/>
      <c r="S37" s="3"/>
      <c r="T37" s="43"/>
      <c r="V37" s="26"/>
    </row>
    <row r="38" spans="1:22" ht="13">
      <c r="A38" s="25"/>
      <c r="B38" s="16"/>
      <c r="C38" s="3" t="s">
        <v>143</v>
      </c>
      <c r="D38" s="3"/>
      <c r="E38" s="33"/>
      <c r="F38" s="4"/>
      <c r="I38" s="3"/>
      <c r="L38" s="195"/>
      <c r="M38" s="3"/>
      <c r="N38" s="3"/>
      <c r="O38" s="3"/>
      <c r="P38" s="914"/>
      <c r="Q38" s="16"/>
      <c r="U38" s="69"/>
      <c r="V38" s="3" t="s">
        <v>2</v>
      </c>
    </row>
    <row r="39" spans="1:22" ht="13">
      <c r="A39" s="25" t="s">
        <v>147</v>
      </c>
      <c r="B39" s="16"/>
      <c r="C39" s="3" t="s">
        <v>38</v>
      </c>
      <c r="D39" s="3"/>
      <c r="E39" s="33" t="s">
        <v>1106</v>
      </c>
      <c r="F39" s="4"/>
      <c r="I39" s="197">
        <f>+'Attachment H-7'!I164</f>
        <v>17583830.808287725</v>
      </c>
      <c r="L39" s="195"/>
      <c r="M39" s="3"/>
      <c r="N39" s="3"/>
      <c r="O39" s="3"/>
      <c r="P39" s="914"/>
      <c r="Q39" s="16"/>
      <c r="U39" s="69"/>
      <c r="V39" s="3"/>
    </row>
    <row r="40" spans="1:22" ht="13">
      <c r="A40" s="25" t="s">
        <v>149</v>
      </c>
      <c r="B40" s="16"/>
      <c r="C40" s="3" t="s">
        <v>146</v>
      </c>
      <c r="D40" s="3"/>
      <c r="E40" s="33" t="s">
        <v>151</v>
      </c>
      <c r="F40" s="4"/>
      <c r="I40" s="15">
        <f>IF(I19=0,0,I39/I19)</f>
        <v>0.015383138626441556</v>
      </c>
      <c r="L40" s="912">
        <f>I40</f>
        <v>0.015383138626441556</v>
      </c>
      <c r="M40" s="913"/>
      <c r="N40" s="913"/>
      <c r="O40" s="913"/>
      <c r="P40" s="914"/>
      <c r="Q40" s="16"/>
      <c r="R40" s="3"/>
      <c r="S40" s="3"/>
      <c r="T40" s="3"/>
      <c r="U40" s="69"/>
      <c r="V40" s="3"/>
    </row>
    <row r="41" spans="1:22" ht="13">
      <c r="A41" s="25"/>
      <c r="C41" s="3"/>
      <c r="D41" s="3"/>
      <c r="E41" s="33"/>
      <c r="F41" s="4"/>
      <c r="I41" s="3"/>
      <c r="L41" s="195"/>
      <c r="M41" s="3"/>
      <c r="N41" s="3"/>
      <c r="O41" s="3"/>
      <c r="P41" s="3"/>
      <c r="R41" s="6"/>
      <c r="S41" s="6"/>
      <c r="T41" s="3"/>
      <c r="U41" s="173"/>
      <c r="V41" s="26"/>
    </row>
    <row r="42" spans="1:22" ht="13">
      <c r="A42" s="25"/>
      <c r="C42" s="26" t="s">
        <v>39</v>
      </c>
      <c r="D42" s="26"/>
      <c r="E42" s="44"/>
      <c r="F42" s="45"/>
      <c r="L42" s="195"/>
      <c r="P42" s="3"/>
      <c r="R42" s="3"/>
      <c r="S42" s="3"/>
      <c r="T42" s="3"/>
      <c r="V42" s="26"/>
    </row>
    <row r="43" spans="1:22" ht="13">
      <c r="A43" s="25" t="s">
        <v>152</v>
      </c>
      <c r="C43" s="26" t="s">
        <v>148</v>
      </c>
      <c r="D43" s="26"/>
      <c r="E43" s="33" t="s">
        <v>1266</v>
      </c>
      <c r="F43" s="4"/>
      <c r="I43" s="197">
        <f>+'Attachment H-7'!I167+'Attachment H-7'!I169</f>
        <v>70855551.863291711</v>
      </c>
      <c r="L43" s="195"/>
      <c r="M43" s="3"/>
      <c r="N43" s="3"/>
      <c r="O43" s="3"/>
      <c r="P43" s="3"/>
      <c r="R43" s="3"/>
      <c r="S43" s="3"/>
      <c r="T43" s="3"/>
      <c r="V43" s="26"/>
    </row>
    <row r="44" spans="1:22" ht="13">
      <c r="A44" s="25" t="s">
        <v>175</v>
      </c>
      <c r="B44" s="16"/>
      <c r="C44" s="3" t="s">
        <v>150</v>
      </c>
      <c r="D44" s="3"/>
      <c r="E44" s="33" t="s">
        <v>373</v>
      </c>
      <c r="F44" s="4"/>
      <c r="I44" s="15">
        <f>IF(I19=0,0,I43/I19)</f>
        <v>0.061987674281550692</v>
      </c>
      <c r="L44" s="912">
        <f>I44</f>
        <v>0.061987674281550692</v>
      </c>
      <c r="M44" s="913"/>
      <c r="N44" s="913"/>
      <c r="O44" s="913"/>
      <c r="P44" s="3"/>
      <c r="T44" s="46"/>
      <c r="U44" s="69"/>
      <c r="V44" s="3"/>
    </row>
    <row r="45" spans="1:22" ht="13">
      <c r="A45" s="25"/>
      <c r="C45" s="26"/>
      <c r="D45" s="26"/>
      <c r="E45" s="33"/>
      <c r="F45" s="4"/>
      <c r="I45" s="3"/>
      <c r="L45" s="195"/>
      <c r="M45" s="3"/>
      <c r="N45" s="3"/>
      <c r="O45" s="3"/>
      <c r="P45" s="3"/>
      <c r="Q45" s="45"/>
      <c r="R45" s="3"/>
      <c r="S45" s="3"/>
      <c r="T45" s="3"/>
      <c r="V45" s="26"/>
    </row>
    <row r="46" spans="1:22" ht="13">
      <c r="A46" s="39" t="s">
        <v>176</v>
      </c>
      <c r="B46" s="40"/>
      <c r="C46" s="31" t="s">
        <v>153</v>
      </c>
      <c r="D46" s="31"/>
      <c r="E46" s="41" t="s">
        <v>1144</v>
      </c>
      <c r="F46" s="27"/>
      <c r="I46" s="15">
        <f>+I44+I40</f>
        <v>0.077370812907992248</v>
      </c>
      <c r="L46" s="554">
        <f>L40+L44</f>
        <v>0.077370812907992248</v>
      </c>
      <c r="M46" s="42"/>
      <c r="N46" s="42"/>
      <c r="O46" s="42"/>
      <c r="P46" s="3"/>
      <c r="Q46" s="45"/>
      <c r="R46" s="3"/>
      <c r="S46" s="3"/>
      <c r="T46" s="3"/>
      <c r="V46" s="26"/>
    </row>
    <row r="47" spans="16:22" ht="13">
      <c r="P47" s="915"/>
      <c r="Q47" s="915"/>
      <c r="R47" s="3"/>
      <c r="S47" s="3"/>
      <c r="T47" s="3"/>
      <c r="V47" s="26"/>
    </row>
    <row r="48" spans="16:22" ht="13">
      <c r="P48" s="915"/>
      <c r="Q48" s="915"/>
      <c r="R48" s="3"/>
      <c r="S48" s="3"/>
      <c r="T48" s="3"/>
      <c r="V48" s="26"/>
    </row>
    <row r="49" spans="1:22" ht="13">
      <c r="A49" s="47"/>
      <c r="C49" s="25"/>
      <c r="D49" s="25"/>
      <c r="E49" s="198"/>
      <c r="F49" s="198"/>
      <c r="G49" s="3"/>
      <c r="J49" s="37"/>
      <c r="P49" s="3"/>
      <c r="Q49" s="34"/>
      <c r="R49" s="48"/>
      <c r="S49" s="48"/>
      <c r="T49" s="3"/>
      <c r="U49" s="69"/>
      <c r="V49" s="3"/>
    </row>
    <row r="50" spans="1:22" ht="13">
      <c r="A50" s="427"/>
      <c r="G50" s="3"/>
      <c r="P50" s="3"/>
      <c r="Q50" s="3"/>
      <c r="R50" s="3"/>
      <c r="S50" s="3"/>
      <c r="T50" s="3"/>
      <c r="U50" s="69"/>
      <c r="V50" s="3" t="s">
        <v>2</v>
      </c>
    </row>
    <row r="51" ht="13">
      <c r="Q51" s="17"/>
    </row>
    <row r="52" ht="13">
      <c r="Q52" s="17"/>
    </row>
    <row r="54" spans="1:22" ht="13">
      <c r="A54" s="427"/>
      <c r="G54" s="3"/>
      <c r="P54" s="3"/>
      <c r="Q54" s="17"/>
      <c r="R54" s="3"/>
      <c r="S54" s="3"/>
      <c r="T54" s="6"/>
      <c r="V54" s="26"/>
    </row>
    <row r="55" spans="1:22" ht="13">
      <c r="A55" s="427"/>
      <c r="C55" s="26"/>
      <c r="D55" s="26"/>
      <c r="G55" s="198" t="str">
        <f>+G5</f>
        <v>Attachment 1</v>
      </c>
      <c r="H55" s="198"/>
      <c r="P55" s="3"/>
      <c r="Q55" s="17"/>
      <c r="R55" s="3"/>
      <c r="S55" s="3"/>
      <c r="T55" s="196" t="s">
        <v>154</v>
      </c>
      <c r="V55" s="26"/>
    </row>
    <row r="56" spans="1:22" ht="13">
      <c r="A56" s="427"/>
      <c r="C56" s="26"/>
      <c r="D56" s="26"/>
      <c r="G56" s="198" t="str">
        <f>+G6</f>
        <v>Project Revenue Requirement Worksheet</v>
      </c>
      <c r="H56" s="198"/>
      <c r="L56" s="3"/>
      <c r="M56" s="3"/>
      <c r="N56" s="3"/>
      <c r="O56" s="3"/>
      <c r="P56" s="3"/>
      <c r="R56" s="3"/>
      <c r="S56" s="3"/>
      <c r="T56" s="6"/>
      <c r="V56" s="26"/>
    </row>
    <row r="57" spans="1:22" ht="14.25" customHeight="1">
      <c r="A57" s="427"/>
      <c r="G57" s="198" t="str">
        <f>+G7</f>
        <v>PECO Energy Company</v>
      </c>
      <c r="P57" s="3"/>
      <c r="R57" s="3"/>
      <c r="S57" s="3"/>
      <c r="T57" s="6"/>
      <c r="V57" s="26"/>
    </row>
    <row r="58" spans="1:22" ht="13">
      <c r="A58" s="427"/>
      <c r="H58" s="198"/>
      <c r="P58" s="3"/>
      <c r="Q58" s="3"/>
      <c r="R58" s="3"/>
      <c r="S58" s="3"/>
      <c r="T58" s="6"/>
      <c r="V58" s="26"/>
    </row>
    <row r="59" spans="1:22" ht="13">
      <c r="A59" s="427"/>
      <c r="E59" s="26"/>
      <c r="F59" s="26"/>
      <c r="G59" s="26"/>
      <c r="H59" s="26"/>
      <c r="I59" s="26"/>
      <c r="J59" s="26"/>
      <c r="K59" s="26"/>
      <c r="L59" s="26"/>
      <c r="M59" s="26"/>
      <c r="N59" s="26"/>
      <c r="O59" s="26"/>
      <c r="P59" s="26"/>
      <c r="Q59" s="26"/>
      <c r="R59" s="3"/>
      <c r="S59" s="3"/>
      <c r="T59" s="6"/>
      <c r="V59" s="26"/>
    </row>
    <row r="60" spans="1:22" ht="13">
      <c r="A60" s="427"/>
      <c r="E60" s="31"/>
      <c r="F60" s="31"/>
      <c r="H60" s="6"/>
      <c r="I60" s="6"/>
      <c r="J60" s="6"/>
      <c r="K60" s="6"/>
      <c r="L60" s="6"/>
      <c r="M60" s="6"/>
      <c r="N60" s="6"/>
      <c r="O60" s="6"/>
      <c r="P60" s="3"/>
      <c r="Q60" s="3"/>
      <c r="R60" s="3"/>
      <c r="S60" s="3"/>
      <c r="T60" s="6"/>
      <c r="V60" s="26"/>
    </row>
    <row r="61" spans="1:22" ht="13">
      <c r="A61" s="427"/>
      <c r="E61" s="31"/>
      <c r="F61" s="31"/>
      <c r="H61" s="6"/>
      <c r="I61" s="6"/>
      <c r="J61" s="6"/>
      <c r="K61" s="6"/>
      <c r="L61" s="6"/>
      <c r="M61" s="6"/>
      <c r="N61" s="6"/>
      <c r="O61" s="6"/>
      <c r="P61" s="3"/>
      <c r="Q61" s="3"/>
      <c r="R61" s="3"/>
      <c r="S61" s="3"/>
      <c r="T61" s="6"/>
      <c r="V61" s="26"/>
    </row>
    <row r="62" spans="1:22" ht="13">
      <c r="A62" s="427"/>
      <c r="C62" s="49">
        <v>-1</v>
      </c>
      <c r="D62" s="49">
        <v>-2</v>
      </c>
      <c r="E62" s="49">
        <v>-3</v>
      </c>
      <c r="F62" s="49">
        <v>-4</v>
      </c>
      <c r="G62" s="49">
        <v>-5</v>
      </c>
      <c r="H62" s="49">
        <v>-6</v>
      </c>
      <c r="I62" s="49">
        <v>-7</v>
      </c>
      <c r="J62" s="49">
        <v>-8</v>
      </c>
      <c r="K62" s="49">
        <v>-9</v>
      </c>
      <c r="L62" s="49">
        <v>-10</v>
      </c>
      <c r="M62" s="49">
        <v>-11</v>
      </c>
      <c r="N62" s="49">
        <v>-12</v>
      </c>
      <c r="O62" s="49" t="s">
        <v>321</v>
      </c>
      <c r="P62" s="49">
        <v>-13</v>
      </c>
      <c r="Q62" s="107" t="s">
        <v>274</v>
      </c>
      <c r="R62" s="107" t="s">
        <v>275</v>
      </c>
      <c r="S62" s="107" t="s">
        <v>1216</v>
      </c>
      <c r="T62" s="107" t="s">
        <v>293</v>
      </c>
      <c r="V62" s="26"/>
    </row>
    <row r="63" spans="1:22" ht="53.25" customHeight="1">
      <c r="A63" s="50" t="s">
        <v>155</v>
      </c>
      <c r="B63" s="51"/>
      <c r="C63" s="518" t="s">
        <v>426</v>
      </c>
      <c r="D63" s="52" t="s">
        <v>446</v>
      </c>
      <c r="E63" s="53" t="s">
        <v>156</v>
      </c>
      <c r="F63" s="53" t="s">
        <v>142</v>
      </c>
      <c r="G63" s="54" t="s">
        <v>157</v>
      </c>
      <c r="H63" s="53" t="s">
        <v>424</v>
      </c>
      <c r="I63" s="53" t="s">
        <v>153</v>
      </c>
      <c r="J63" s="54" t="s">
        <v>158</v>
      </c>
      <c r="K63" s="53" t="s">
        <v>178</v>
      </c>
      <c r="L63" s="55" t="s">
        <v>159</v>
      </c>
      <c r="M63" s="55" t="s">
        <v>180</v>
      </c>
      <c r="N63" s="55" t="s">
        <v>179</v>
      </c>
      <c r="O63" s="55" t="s">
        <v>319</v>
      </c>
      <c r="P63" s="55" t="s">
        <v>428</v>
      </c>
      <c r="Q63" s="55" t="s">
        <v>187</v>
      </c>
      <c r="R63" s="55" t="s">
        <v>160</v>
      </c>
      <c r="S63" s="55" t="s">
        <v>1217</v>
      </c>
      <c r="T63" s="55" t="s">
        <v>376</v>
      </c>
      <c r="V63" s="26"/>
    </row>
    <row r="64" spans="1:22" ht="46.5" customHeight="1">
      <c r="A64" s="56"/>
      <c r="B64" s="57"/>
      <c r="C64" s="57"/>
      <c r="D64" s="57"/>
      <c r="E64" s="58" t="s">
        <v>103</v>
      </c>
      <c r="F64" s="58" t="s">
        <v>284</v>
      </c>
      <c r="G64" s="59" t="s">
        <v>161</v>
      </c>
      <c r="H64" s="58" t="s">
        <v>317</v>
      </c>
      <c r="I64" s="58" t="s">
        <v>285</v>
      </c>
      <c r="J64" s="59" t="s">
        <v>162</v>
      </c>
      <c r="K64" s="58" t="s">
        <v>318</v>
      </c>
      <c r="L64" s="59" t="s">
        <v>163</v>
      </c>
      <c r="M64" s="58" t="s">
        <v>312</v>
      </c>
      <c r="N64" s="166" t="s">
        <v>668</v>
      </c>
      <c r="O64" s="60" t="s">
        <v>320</v>
      </c>
      <c r="P64" s="116" t="s">
        <v>295</v>
      </c>
      <c r="Q64" s="60" t="s">
        <v>294</v>
      </c>
      <c r="R64" s="586" t="s">
        <v>164</v>
      </c>
      <c r="S64" s="585">
        <v>-850000</v>
      </c>
      <c r="T64" s="60" t="s">
        <v>1218</v>
      </c>
      <c r="V64" s="26"/>
    </row>
    <row r="65" spans="1:22" ht="13">
      <c r="A65" s="61"/>
      <c r="B65" s="6"/>
      <c r="C65" s="6"/>
      <c r="D65" s="6"/>
      <c r="E65" s="6"/>
      <c r="F65" s="6"/>
      <c r="G65" s="62"/>
      <c r="H65" s="6"/>
      <c r="I65" s="6"/>
      <c r="J65" s="62"/>
      <c r="K65" s="6"/>
      <c r="L65" s="62"/>
      <c r="M65" s="165"/>
      <c r="N65" s="62"/>
      <c r="O65" s="62"/>
      <c r="P65" s="6"/>
      <c r="Q65" s="115"/>
      <c r="R65" s="63"/>
      <c r="S65" s="3"/>
      <c r="T65" s="63"/>
      <c r="V65" s="26"/>
    </row>
    <row r="66" spans="1:20" ht="13">
      <c r="A66" s="64" t="s">
        <v>631</v>
      </c>
      <c r="B66" s="65"/>
      <c r="C66" s="65" t="s">
        <v>445</v>
      </c>
      <c r="D66" s="299" t="s">
        <v>447</v>
      </c>
      <c r="E66" s="462">
        <f>+'Attachment H-7'!I47-SUM(E67:E93)</f>
        <v>1443491022.0910401</v>
      </c>
      <c r="F66" s="15">
        <f t="shared" si="0" ref="F66:F91">$L$36</f>
        <v>0.048894198961357285</v>
      </c>
      <c r="G66" s="66">
        <f t="shared" si="1" ref="G66:G85">E66*F66</f>
        <v>70578337.233052298</v>
      </c>
      <c r="H66" s="462">
        <f>+'Attachment H-7'!I67-SUM(H67:H93)</f>
        <v>949237243.2750634</v>
      </c>
      <c r="I66" s="15">
        <f>$L$46</f>
        <v>0.077370812907992248</v>
      </c>
      <c r="J66" s="150">
        <f>H66*I66</f>
        <v>73443257.154733256</v>
      </c>
      <c r="K66" s="197">
        <f>+'Attachment H-7'!I128-SUM(K67:K93)</f>
        <v>20348479.044892367</v>
      </c>
      <c r="L66" s="150">
        <f>G66+J66+K66</f>
        <v>164370073.43267793</v>
      </c>
      <c r="M66" s="463">
        <v>0</v>
      </c>
      <c r="N66" s="150">
        <f>+'2-Incentive ROE'!K$40*'1-Project Rev Req'!M66/100*H66</f>
        <v>0</v>
      </c>
      <c r="O66" s="150">
        <f>+L66+N66</f>
        <v>164370073.43267793</v>
      </c>
      <c r="P66" s="197">
        <v>0</v>
      </c>
      <c r="Q66" s="150">
        <f t="shared" si="2" ref="Q66:Q84">+L66+N66-P66</f>
        <v>164370073.43267793</v>
      </c>
      <c r="R66" s="150">
        <f>+'3-Project True-up'!K18</f>
        <v>-863026.05708798592</v>
      </c>
      <c r="S66" s="197">
        <f>$S$64*Q66/$Q$95</f>
        <v>-717331.68750831916</v>
      </c>
      <c r="T66" s="942"/>
    </row>
    <row r="67" spans="1:20" ht="13">
      <c r="A67" s="64" t="s">
        <v>633</v>
      </c>
      <c r="B67" s="65"/>
      <c r="C67" s="460" t="s">
        <v>1238</v>
      </c>
      <c r="D67" s="384" t="s">
        <v>720</v>
      </c>
      <c r="E67" s="365">
        <v>34906891.653333329</v>
      </c>
      <c r="F67" s="15">
        <f t="shared" si="0"/>
        <v>0.048894198961357285</v>
      </c>
      <c r="G67" s="66">
        <f t="shared" si="1"/>
        <v>1706744.5056206218</v>
      </c>
      <c r="H67" s="365">
        <v>28756741.911709648</v>
      </c>
      <c r="I67" s="15">
        <f t="shared" si="3" ref="I67:I91">$L$46</f>
        <v>0.077370812907992248</v>
      </c>
      <c r="J67" s="150">
        <f t="shared" si="4" ref="J67:J85">H67*I67</f>
        <v>2224932.4982943065</v>
      </c>
      <c r="K67" s="365">
        <v>670361.76211614127</v>
      </c>
      <c r="L67" s="150">
        <f t="shared" si="5" ref="L67:L85">G67+J67+K67</f>
        <v>4602038.7660310697</v>
      </c>
      <c r="M67" s="368">
        <v>0</v>
      </c>
      <c r="N67" s="150">
        <f>+'2-Incentive ROE'!K$40*'1-Project Rev Req'!M67/100*H67</f>
        <v>0</v>
      </c>
      <c r="O67" s="150">
        <f>+L67+N67</f>
        <v>4602038.7660310697</v>
      </c>
      <c r="P67" s="366">
        <v>0</v>
      </c>
      <c r="Q67" s="150">
        <f t="shared" si="2"/>
        <v>4602038.7660310697</v>
      </c>
      <c r="R67" s="362">
        <f>+'3-Project True-up'!K19</f>
        <v>1889675.6352711553</v>
      </c>
      <c r="S67" s="366">
        <f t="shared" si="6" ref="S67:S87">$S$64*Q67/$Q$95</f>
        <v>-20083.876371618575</v>
      </c>
      <c r="T67" s="150">
        <f t="shared" si="7" ref="T67:T91">+Q67+R67+S67</f>
        <v>6471630.5249306066</v>
      </c>
    </row>
    <row r="68" spans="1:20" ht="13">
      <c r="A68" s="64" t="s">
        <v>635</v>
      </c>
      <c r="B68" s="65"/>
      <c r="C68" s="460" t="s">
        <v>1238</v>
      </c>
      <c r="D68" s="384" t="s">
        <v>720</v>
      </c>
      <c r="E68" s="365">
        <v>17453445.826666664</v>
      </c>
      <c r="F68" s="15">
        <f t="shared" si="0"/>
        <v>0.048894198961357285</v>
      </c>
      <c r="G68" s="66">
        <f t="shared" si="1"/>
        <v>853372.25281031092</v>
      </c>
      <c r="H68" s="365">
        <v>14378370.955854824</v>
      </c>
      <c r="I68" s="15">
        <f t="shared" si="3"/>
        <v>0.077370812907992248</v>
      </c>
      <c r="J68" s="150">
        <f>H68*I68</f>
        <v>1112466.2491471532</v>
      </c>
      <c r="K68" s="365">
        <v>335180.88105807063</v>
      </c>
      <c r="L68" s="150">
        <f>G68+J68+K68</f>
        <v>2301019.3830155348</v>
      </c>
      <c r="M68" s="368">
        <v>0</v>
      </c>
      <c r="N68" s="150">
        <f>+'2-Incentive ROE'!K$40*'1-Project Rev Req'!M68/100*H68</f>
        <v>0</v>
      </c>
      <c r="O68" s="150">
        <f t="shared" si="8" ref="O68:O84">+L68+N68</f>
        <v>2301019.3830155348</v>
      </c>
      <c r="P68" s="366">
        <v>0</v>
      </c>
      <c r="Q68" s="150">
        <f t="shared" si="2"/>
        <v>2301019.3830155348</v>
      </c>
      <c r="R68" s="362">
        <f>+'3-Project True-up'!K20</f>
        <v>-1550989.6224057418</v>
      </c>
      <c r="S68" s="366">
        <f t="shared" si="6"/>
        <v>-10041.938185809288</v>
      </c>
      <c r="T68" s="150">
        <f t="shared" si="7"/>
        <v>739987.82242398371</v>
      </c>
    </row>
    <row r="69" spans="1:20" ht="13">
      <c r="A69" s="64" t="s">
        <v>637</v>
      </c>
      <c r="B69" s="65"/>
      <c r="C69" s="460" t="s">
        <v>803</v>
      </c>
      <c r="D69" s="384" t="s">
        <v>722</v>
      </c>
      <c r="E69" s="365">
        <v>4605740.7974999994</v>
      </c>
      <c r="F69" s="15">
        <f t="shared" si="0"/>
        <v>0.048894198961357285</v>
      </c>
      <c r="G69" s="66">
        <f t="shared" si="1"/>
        <v>225194.00691740535</v>
      </c>
      <c r="H69" s="365">
        <v>4278157.9612206183</v>
      </c>
      <c r="I69" s="15">
        <f t="shared" si="3"/>
        <v>0.077370812907992248</v>
      </c>
      <c r="J69" s="150">
        <f t="shared" si="4"/>
        <v>331004.55920843803</v>
      </c>
      <c r="K69" s="365">
        <v>109022.61892717979</v>
      </c>
      <c r="L69" s="150">
        <f t="shared" si="5"/>
        <v>665221.18505302328</v>
      </c>
      <c r="M69" s="368">
        <v>0</v>
      </c>
      <c r="N69" s="150">
        <f>+'2-Incentive ROE'!K$40*'1-Project Rev Req'!M69/100*H69</f>
        <v>0</v>
      </c>
      <c r="O69" s="150">
        <f t="shared" si="8"/>
        <v>665221.18505302328</v>
      </c>
      <c r="P69" s="366">
        <v>0</v>
      </c>
      <c r="Q69" s="150">
        <f t="shared" si="2"/>
        <v>665221.18505302328</v>
      </c>
      <c r="R69" s="362">
        <f>+'3-Project True-up'!K21</f>
        <v>31440.032369402681</v>
      </c>
      <c r="S69" s="366">
        <f t="shared" si="6"/>
        <v>-2903.1089740056145</v>
      </c>
      <c r="T69" s="150">
        <f t="shared" si="7"/>
        <v>693758.10844842042</v>
      </c>
    </row>
    <row r="70" spans="1:20" ht="13">
      <c r="A70" s="64" t="s">
        <v>639</v>
      </c>
      <c r="B70" s="65"/>
      <c r="C70" s="460" t="s">
        <v>803</v>
      </c>
      <c r="D70" s="384" t="s">
        <v>1239</v>
      </c>
      <c r="E70" s="365">
        <v>1535246.9324999999</v>
      </c>
      <c r="F70" s="15">
        <f t="shared" si="0"/>
        <v>0.048894198961357285</v>
      </c>
      <c r="G70" s="66">
        <f t="shared" si="1"/>
        <v>75064.668972468455</v>
      </c>
      <c r="H70" s="365">
        <v>1426052.653740206</v>
      </c>
      <c r="I70" s="15">
        <f t="shared" si="3"/>
        <v>0.077370812907992248</v>
      </c>
      <c r="J70" s="150">
        <f t="shared" si="4"/>
        <v>110334.85306947933</v>
      </c>
      <c r="K70" s="365">
        <v>36340.872975726597</v>
      </c>
      <c r="L70" s="150">
        <f t="shared" si="5"/>
        <v>221740.39501767437</v>
      </c>
      <c r="M70" s="368">
        <v>0</v>
      </c>
      <c r="N70" s="150">
        <f>+'2-Incentive ROE'!K$40*'1-Project Rev Req'!M70/100*H70</f>
        <v>0</v>
      </c>
      <c r="O70" s="150">
        <f t="shared" si="8"/>
        <v>221740.39501767437</v>
      </c>
      <c r="P70" s="366">
        <v>0</v>
      </c>
      <c r="Q70" s="150">
        <f t="shared" si="2"/>
        <v>221740.39501767437</v>
      </c>
      <c r="R70" s="362">
        <f>+'3-Project True-up'!K22</f>
        <v>10480.010789800863</v>
      </c>
      <c r="S70" s="366">
        <f t="shared" si="6"/>
        <v>-967.7029913352045</v>
      </c>
      <c r="T70" s="150">
        <f t="shared" si="7"/>
        <v>231252.70281614002</v>
      </c>
    </row>
    <row r="71" spans="1:20" ht="13">
      <c r="A71" s="64" t="s">
        <v>641</v>
      </c>
      <c r="B71" s="65"/>
      <c r="C71" s="460" t="s">
        <v>804</v>
      </c>
      <c r="D71" s="384" t="s">
        <v>723</v>
      </c>
      <c r="E71" s="365">
        <v>3258302.2599999998</v>
      </c>
      <c r="F71" s="15">
        <f t="shared" si="0"/>
        <v>0.048894198961357285</v>
      </c>
      <c r="G71" s="66">
        <f t="shared" si="1"/>
        <v>159312.07897668009</v>
      </c>
      <c r="H71" s="365">
        <v>2679456.0674864873</v>
      </c>
      <c r="I71" s="15">
        <f t="shared" si="3"/>
        <v>0.077370812907992248</v>
      </c>
      <c r="J71" s="150">
        <f t="shared" si="4"/>
        <v>207311.69409268166</v>
      </c>
      <c r="K71" s="365">
        <v>62403.186355919344</v>
      </c>
      <c r="L71" s="150">
        <f t="shared" si="5"/>
        <v>429026.95942528109</v>
      </c>
      <c r="M71" s="368">
        <v>0</v>
      </c>
      <c r="N71" s="150">
        <f>+'2-Incentive ROE'!K$40*'1-Project Rev Req'!M71/100*H71</f>
        <v>0</v>
      </c>
      <c r="O71" s="150">
        <f t="shared" si="8"/>
        <v>429026.95942528109</v>
      </c>
      <c r="P71" s="366">
        <v>0</v>
      </c>
      <c r="Q71" s="150">
        <f t="shared" si="2"/>
        <v>429026.95942528109</v>
      </c>
      <c r="R71" s="362">
        <f>+'3-Project True-up'!K23</f>
        <v>21057.988934192013</v>
      </c>
      <c r="S71" s="366">
        <f t="shared" si="6"/>
        <v>-1872.3276467790172</v>
      </c>
      <c r="T71" s="150">
        <f t="shared" si="7"/>
        <v>448212.62071269407</v>
      </c>
    </row>
    <row r="72" spans="1:20" ht="13">
      <c r="A72" s="64" t="s">
        <v>643</v>
      </c>
      <c r="B72" s="65"/>
      <c r="C72" s="460" t="s">
        <v>805</v>
      </c>
      <c r="D72" s="384" t="s">
        <v>724</v>
      </c>
      <c r="E72" s="365">
        <v>4456731.2700000005</v>
      </c>
      <c r="F72" s="15">
        <f t="shared" si="0"/>
        <v>0.048894198961357285</v>
      </c>
      <c r="G72" s="66">
        <f t="shared" si="1"/>
        <v>217908.30543268257</v>
      </c>
      <c r="H72" s="365">
        <v>3579592.200413893</v>
      </c>
      <c r="I72" s="15">
        <f t="shared" si="3"/>
        <v>0.077370812907992248</v>
      </c>
      <c r="J72" s="150">
        <f t="shared" si="4"/>
        <v>276955.95842513163</v>
      </c>
      <c r="K72" s="365">
        <v>83366.904899533343</v>
      </c>
      <c r="L72" s="150">
        <f t="shared" si="5"/>
        <v>578231.16875734751</v>
      </c>
      <c r="M72" s="368">
        <v>0</v>
      </c>
      <c r="N72" s="150">
        <f>+'2-Incentive ROE'!K$40*'1-Project Rev Req'!M72/100*H72</f>
        <v>0</v>
      </c>
      <c r="O72" s="150">
        <f t="shared" si="8"/>
        <v>578231.16875734751</v>
      </c>
      <c r="P72" s="366">
        <v>0</v>
      </c>
      <c r="Q72" s="150">
        <f t="shared" si="2"/>
        <v>578231.16875734751</v>
      </c>
      <c r="R72" s="362">
        <f>+'3-Project True-up'!K24</f>
        <v>28579.28850636823</v>
      </c>
      <c r="S72" s="366">
        <f t="shared" si="6"/>
        <v>-2523.4735946291416</v>
      </c>
      <c r="T72" s="150">
        <f t="shared" si="7"/>
        <v>604286.98366908659</v>
      </c>
    </row>
    <row r="73" spans="1:20" ht="13">
      <c r="A73" s="64" t="s">
        <v>739</v>
      </c>
      <c r="B73" s="65"/>
      <c r="C73" s="460" t="s">
        <v>806</v>
      </c>
      <c r="D73" s="384" t="s">
        <v>802</v>
      </c>
      <c r="E73" s="365">
        <v>13978666.729999999</v>
      </c>
      <c r="F73" s="15">
        <f t="shared" si="0"/>
        <v>0.048894198961357285</v>
      </c>
      <c r="G73" s="66">
        <f t="shared" si="1"/>
        <v>683475.71231112559</v>
      </c>
      <c r="H73" s="365">
        <v>12568878.549481873</v>
      </c>
      <c r="I73" s="15">
        <f t="shared" si="3"/>
        <v>0.077370812907992248</v>
      </c>
      <c r="J73" s="150">
        <f t="shared" si="4"/>
        <v>972464.35071523895</v>
      </c>
      <c r="K73" s="365">
        <v>323046.11131725897</v>
      </c>
      <c r="L73" s="150">
        <f t="shared" si="5"/>
        <v>1978986.1743436235</v>
      </c>
      <c r="M73" s="368">
        <v>0</v>
      </c>
      <c r="N73" s="150">
        <f>+'2-Incentive ROE'!K$40*'1-Project Rev Req'!M73/100*H73</f>
        <v>0</v>
      </c>
      <c r="O73" s="150">
        <f t="shared" si="8"/>
        <v>1978986.1743436235</v>
      </c>
      <c r="P73" s="366">
        <v>0</v>
      </c>
      <c r="Q73" s="150">
        <f t="shared" si="2"/>
        <v>1978986.1743436235</v>
      </c>
      <c r="R73" s="362">
        <f>+'3-Project True-up'!K25</f>
        <v>94704.149564070438</v>
      </c>
      <c r="S73" s="366">
        <f t="shared" si="6"/>
        <v>-8636.54473318085</v>
      </c>
      <c r="T73" s="150">
        <f t="shared" si="7"/>
        <v>2065053.779174513</v>
      </c>
    </row>
    <row r="74" spans="1:20" ht="13">
      <c r="A74" s="64" t="s">
        <v>740</v>
      </c>
      <c r="B74" s="65"/>
      <c r="C74" s="460" t="s">
        <v>918</v>
      </c>
      <c r="D74" s="384" t="s">
        <v>919</v>
      </c>
      <c r="E74" s="365">
        <v>24482803.179999985</v>
      </c>
      <c r="F74" s="15">
        <f t="shared" si="0"/>
        <v>0.048894198961357285</v>
      </c>
      <c r="G74" s="66">
        <f t="shared" si="1"/>
        <v>1197067.0498146701</v>
      </c>
      <c r="H74" s="365">
        <v>29785373.129627764</v>
      </c>
      <c r="I74" s="15">
        <f t="shared" si="3"/>
        <v>0.077370812907992248</v>
      </c>
      <c r="J74" s="150">
        <f t="shared" si="4"/>
        <v>2304518.5318071693</v>
      </c>
      <c r="K74" s="365">
        <v>761693.49214924488</v>
      </c>
      <c r="L74" s="150">
        <f t="shared" si="5"/>
        <v>4263279.0737710847</v>
      </c>
      <c r="M74" s="368">
        <v>0</v>
      </c>
      <c r="N74" s="150">
        <f>+'2-Incentive ROE'!K$40*'1-Project Rev Req'!M74/100*H74</f>
        <v>0</v>
      </c>
      <c r="O74" s="150">
        <f t="shared" si="8"/>
        <v>4263279.0737710847</v>
      </c>
      <c r="P74" s="366">
        <v>0</v>
      </c>
      <c r="Q74" s="150">
        <f t="shared" si="2"/>
        <v>4263279.0737710847</v>
      </c>
      <c r="R74" s="362">
        <f>+'3-Project True-up'!K26</f>
        <v>270979.23055041494</v>
      </c>
      <c r="S74" s="366">
        <f t="shared" si="6"/>
        <v>-18605.486439474495</v>
      </c>
      <c r="T74" s="150">
        <f t="shared" si="7"/>
        <v>4515652.8178820247</v>
      </c>
    </row>
    <row r="75" spans="1:20" ht="13">
      <c r="A75" s="64" t="s">
        <v>741</v>
      </c>
      <c r="B75" s="65"/>
      <c r="C75" s="460" t="s">
        <v>807</v>
      </c>
      <c r="D75" s="384" t="s">
        <v>725</v>
      </c>
      <c r="E75" s="365">
        <v>18633213.23</v>
      </c>
      <c r="F75" s="15">
        <f t="shared" si="0"/>
        <v>0.048894198961357285</v>
      </c>
      <c r="G75" s="66">
        <f t="shared" si="1"/>
        <v>911056.03495701484</v>
      </c>
      <c r="H75" s="365">
        <v>16364228.504102964</v>
      </c>
      <c r="I75" s="15">
        <f t="shared" si="3"/>
        <v>0.077370812907992248</v>
      </c>
      <c r="J75" s="150">
        <f t="shared" si="4"/>
        <v>1266113.6619745842</v>
      </c>
      <c r="K75" s="365">
        <v>490049.51334805007</v>
      </c>
      <c r="L75" s="150">
        <f t="shared" si="5"/>
        <v>2667219.2102796491</v>
      </c>
      <c r="M75" s="368">
        <v>0</v>
      </c>
      <c r="N75" s="150">
        <f>+'2-Incentive ROE'!K$40*'1-Project Rev Req'!M75/100*H75</f>
        <v>0</v>
      </c>
      <c r="O75" s="150">
        <f t="shared" si="8"/>
        <v>2667219.2102796491</v>
      </c>
      <c r="P75" s="366">
        <v>0</v>
      </c>
      <c r="Q75" s="150">
        <f t="shared" si="2"/>
        <v>2667219.2102796491</v>
      </c>
      <c r="R75" s="362">
        <f>+'3-Project True-up'!K27</f>
        <v>129226.64830461887</v>
      </c>
      <c r="S75" s="366">
        <f t="shared" si="6"/>
        <v>-11640.080320631732</v>
      </c>
      <c r="T75" s="150">
        <f t="shared" si="7"/>
        <v>2784805.7782636364</v>
      </c>
    </row>
    <row r="76" spans="1:20" ht="13">
      <c r="A76" s="64" t="s">
        <v>742</v>
      </c>
      <c r="B76" s="65"/>
      <c r="C76" s="460" t="s">
        <v>808</v>
      </c>
      <c r="D76" s="384" t="s">
        <v>726</v>
      </c>
      <c r="E76" s="365">
        <v>17048149.039999999</v>
      </c>
      <c r="F76" s="15">
        <f t="shared" si="0"/>
        <v>0.048894198961357285</v>
      </c>
      <c r="G76" s="66">
        <f t="shared" si="1"/>
        <v>833555.59108463221</v>
      </c>
      <c r="H76" s="365">
        <v>15826155.236451773</v>
      </c>
      <c r="I76" s="15">
        <f t="shared" si="3"/>
        <v>0.077370812907992248</v>
      </c>
      <c r="J76" s="150">
        <f t="shared" si="4"/>
        <v>1224482.4958523519</v>
      </c>
      <c r="K76" s="365">
        <v>374123.82176665706</v>
      </c>
      <c r="L76" s="150">
        <f t="shared" si="5"/>
        <v>2432161.908703641</v>
      </c>
      <c r="M76" s="368">
        <v>0</v>
      </c>
      <c r="N76" s="150">
        <f>+'2-Incentive ROE'!K$40*'1-Project Rev Req'!M76/100*H76</f>
        <v>0</v>
      </c>
      <c r="O76" s="150">
        <f t="shared" si="8"/>
        <v>2432161.908703641</v>
      </c>
      <c r="P76" s="366">
        <v>0</v>
      </c>
      <c r="Q76" s="150">
        <f t="shared" si="2"/>
        <v>2432161.908703641</v>
      </c>
      <c r="R76" s="362">
        <f>+'3-Project True-up'!K28</f>
        <v>115192.66194856282</v>
      </c>
      <c r="S76" s="366">
        <f t="shared" si="6"/>
        <v>-10614.260673056228</v>
      </c>
      <c r="T76" s="150">
        <f t="shared" si="7"/>
        <v>2536740.3099791473</v>
      </c>
    </row>
    <row r="77" spans="1:20" ht="13">
      <c r="A77" s="64" t="s">
        <v>743</v>
      </c>
      <c r="B77" s="65"/>
      <c r="C77" s="460" t="s">
        <v>809</v>
      </c>
      <c r="D77" s="384" t="s">
        <v>727</v>
      </c>
      <c r="E77" s="365">
        <v>17950806.600000001</v>
      </c>
      <c r="F77" s="15">
        <f t="shared" si="0"/>
        <v>0.048894198961357285</v>
      </c>
      <c r="G77" s="66">
        <f t="shared" si="1"/>
        <v>877690.30941724556</v>
      </c>
      <c r="H77" s="365">
        <v>15294526.273564549</v>
      </c>
      <c r="I77" s="15">
        <f t="shared" si="3"/>
        <v>0.077370812907992248</v>
      </c>
      <c r="J77" s="150">
        <f t="shared" si="4"/>
        <v>1183349.9308283345</v>
      </c>
      <c r="K77" s="365">
        <v>423993.49685141642</v>
      </c>
      <c r="L77" s="150">
        <f t="shared" si="5"/>
        <v>2485033.7370969965</v>
      </c>
      <c r="M77" s="368">
        <v>0</v>
      </c>
      <c r="N77" s="150">
        <f>+'2-Incentive ROE'!K$40*'1-Project Rev Req'!M77/100*H77</f>
        <v>0</v>
      </c>
      <c r="O77" s="150">
        <f t="shared" si="8"/>
        <v>2485033.7370969965</v>
      </c>
      <c r="P77" s="366">
        <v>0</v>
      </c>
      <c r="Q77" s="150">
        <f t="shared" si="2"/>
        <v>2485033.7370969965</v>
      </c>
      <c r="R77" s="362">
        <f>+'3-Project True-up'!K29</f>
        <v>120941.6292462951</v>
      </c>
      <c r="S77" s="366">
        <f t="shared" si="6"/>
        <v>-10844.999986430019</v>
      </c>
      <c r="T77" s="150">
        <f t="shared" si="7"/>
        <v>2595130.3663568613</v>
      </c>
    </row>
    <row r="78" spans="1:20" ht="13">
      <c r="A78" s="64" t="s">
        <v>744</v>
      </c>
      <c r="B78" s="65"/>
      <c r="C78" s="460" t="s">
        <v>810</v>
      </c>
      <c r="D78" s="384" t="s">
        <v>728</v>
      </c>
      <c r="E78" s="365">
        <v>11220087.26</v>
      </c>
      <c r="F78" s="15">
        <f t="shared" si="0"/>
        <v>0.048894198961357285</v>
      </c>
      <c r="G78" s="66">
        <f t="shared" si="1"/>
        <v>548597.17885423009</v>
      </c>
      <c r="H78" s="365">
        <v>10482187.542769112</v>
      </c>
      <c r="I78" s="15">
        <f t="shared" si="3"/>
        <v>0.077370812907992248</v>
      </c>
      <c r="J78" s="150">
        <f t="shared" si="4"/>
        <v>811015.3712380759</v>
      </c>
      <c r="K78" s="365">
        <v>251716.02554682191</v>
      </c>
      <c r="L78" s="150">
        <f t="shared" si="5"/>
        <v>1611328.575639128</v>
      </c>
      <c r="M78" s="368">
        <v>0</v>
      </c>
      <c r="N78" s="150">
        <f>+'2-Incentive ROE'!K$40*'1-Project Rev Req'!M78/100*H78</f>
        <v>0</v>
      </c>
      <c r="O78" s="150">
        <f t="shared" si="8"/>
        <v>1611328.575639128</v>
      </c>
      <c r="P78" s="366">
        <v>0</v>
      </c>
      <c r="Q78" s="150">
        <f t="shared" si="2"/>
        <v>1611328.575639128</v>
      </c>
      <c r="R78" s="362">
        <f>+'3-Project True-up'!K30</f>
        <v>76188.322510560538</v>
      </c>
      <c r="S78" s="366">
        <f t="shared" si="6"/>
        <v>-7032.0407003225173</v>
      </c>
      <c r="T78" s="150">
        <f t="shared" si="7"/>
        <v>1680484.857449366</v>
      </c>
    </row>
    <row r="79" spans="1:20" ht="13">
      <c r="A79" s="64" t="s">
        <v>745</v>
      </c>
      <c r="B79" s="65"/>
      <c r="C79" s="460" t="s">
        <v>811</v>
      </c>
      <c r="D79" s="384" t="s">
        <v>729</v>
      </c>
      <c r="E79" s="365">
        <v>8362589.580000001</v>
      </c>
      <c r="F79" s="15">
        <f t="shared" si="0"/>
        <v>0.048894198961357285</v>
      </c>
      <c r="G79" s="66">
        <f t="shared" si="1"/>
        <v>408882.11875669332</v>
      </c>
      <c r="H79" s="365">
        <v>7173246.7503371174</v>
      </c>
      <c r="I79" s="15">
        <f t="shared" si="3"/>
        <v>0.077370812907992248</v>
      </c>
      <c r="J79" s="150">
        <f t="shared" si="4"/>
        <v>554999.93226319645</v>
      </c>
      <c r="K79" s="365">
        <v>167196.81476521544</v>
      </c>
      <c r="L79" s="150">
        <f t="shared" si="5"/>
        <v>1131078.8657851052</v>
      </c>
      <c r="M79" s="368">
        <v>0</v>
      </c>
      <c r="N79" s="150">
        <f>+'2-Incentive ROE'!K$40*'1-Project Rev Req'!M79/100*H79</f>
        <v>0</v>
      </c>
      <c r="O79" s="150">
        <f t="shared" si="8"/>
        <v>1131078.8657851052</v>
      </c>
      <c r="P79" s="366">
        <v>0</v>
      </c>
      <c r="Q79" s="150">
        <f t="shared" si="2"/>
        <v>1131078.8657851052</v>
      </c>
      <c r="R79" s="362">
        <f>+'3-Project True-up'!K31</f>
        <v>54830.011677203023</v>
      </c>
      <c r="S79" s="366">
        <f t="shared" si="6"/>
        <v>-4936.1705239545227</v>
      </c>
      <c r="T79" s="150">
        <f t="shared" si="7"/>
        <v>1180972.7069383536</v>
      </c>
    </row>
    <row r="80" spans="1:20" ht="13">
      <c r="A80" s="64" t="s">
        <v>746</v>
      </c>
      <c r="B80" s="65"/>
      <c r="C80" s="460" t="s">
        <v>812</v>
      </c>
      <c r="D80" s="384" t="s">
        <v>730</v>
      </c>
      <c r="E80" s="365">
        <v>1712754.3100000001</v>
      </c>
      <c r="F80" s="15">
        <f t="shared" si="0"/>
        <v>0.048894198961357285</v>
      </c>
      <c r="G80" s="66">
        <f t="shared" si="1"/>
        <v>83743.750005062218</v>
      </c>
      <c r="H80" s="365">
        <v>1549021.3006504888</v>
      </c>
      <c r="I80" s="15">
        <f t="shared" si="3"/>
        <v>0.077370812907992248</v>
      </c>
      <c r="J80" s="150">
        <f t="shared" si="4"/>
        <v>119849.03724312378</v>
      </c>
      <c r="K80" s="365">
        <v>36075.928270194898</v>
      </c>
      <c r="L80" s="150">
        <f t="shared" si="5"/>
        <v>239668.71551838092</v>
      </c>
      <c r="M80" s="368">
        <v>0</v>
      </c>
      <c r="N80" s="150">
        <f>+'2-Incentive ROE'!K$40*'1-Project Rev Req'!M80/100*H80</f>
        <v>0</v>
      </c>
      <c r="O80" s="150">
        <f t="shared" si="8"/>
        <v>239668.71551838092</v>
      </c>
      <c r="P80" s="366">
        <v>0</v>
      </c>
      <c r="Q80" s="150">
        <f t="shared" si="2"/>
        <v>239668.71551838092</v>
      </c>
      <c r="R80" s="362">
        <f>+'3-Project True-up'!K32</f>
        <v>11437.984341524863</v>
      </c>
      <c r="S80" s="366">
        <f t="shared" si="6"/>
        <v>-1045.9444383966077</v>
      </c>
      <c r="T80" s="150">
        <f t="shared" si="7"/>
        <v>250060.75542150918</v>
      </c>
    </row>
    <row r="81" spans="1:20" ht="13">
      <c r="A81" s="64" t="s">
        <v>747</v>
      </c>
      <c r="B81" s="65"/>
      <c r="C81" s="460" t="s">
        <v>813</v>
      </c>
      <c r="D81" s="384" t="s">
        <v>731</v>
      </c>
      <c r="E81" s="365">
        <v>2229231.8700000001</v>
      </c>
      <c r="F81" s="15">
        <f t="shared" si="0"/>
        <v>0.048894198961357285</v>
      </c>
      <c r="G81" s="66">
        <f t="shared" si="1"/>
        <v>108996.50658277856</v>
      </c>
      <c r="H81" s="365">
        <v>1814988.6407412498</v>
      </c>
      <c r="I81" s="15">
        <f t="shared" si="3"/>
        <v>0.077370812907992248</v>
      </c>
      <c r="J81" s="150">
        <f t="shared" si="4"/>
        <v>140427.14655292238</v>
      </c>
      <c r="K81" s="365">
        <v>50892.976102297696</v>
      </c>
      <c r="L81" s="150">
        <f t="shared" si="5"/>
        <v>300316.62923799863</v>
      </c>
      <c r="M81" s="368">
        <v>0</v>
      </c>
      <c r="N81" s="150">
        <f>+'2-Incentive ROE'!K$40*'1-Project Rev Req'!M81/100*H81</f>
        <v>0</v>
      </c>
      <c r="O81" s="150">
        <f t="shared" si="8"/>
        <v>300316.62923799863</v>
      </c>
      <c r="P81" s="366">
        <v>0</v>
      </c>
      <c r="Q81" s="150">
        <f t="shared" si="2"/>
        <v>300316.62923799863</v>
      </c>
      <c r="R81" s="362">
        <f>+'3-Project True-up'!K33</f>
        <v>14774.337991935008</v>
      </c>
      <c r="S81" s="366">
        <f t="shared" si="6"/>
        <v>-1310.6195668053736</v>
      </c>
      <c r="T81" s="150">
        <f t="shared" si="7"/>
        <v>313780.34766312828</v>
      </c>
    </row>
    <row r="82" spans="1:20" ht="13">
      <c r="A82" s="64" t="s">
        <v>748</v>
      </c>
      <c r="B82" s="65"/>
      <c r="C82" s="460" t="s">
        <v>1049</v>
      </c>
      <c r="D82" s="384" t="s">
        <v>732</v>
      </c>
      <c r="E82" s="365">
        <v>2546903.0099999998</v>
      </c>
      <c r="F82" s="15">
        <f t="shared" si="0"/>
        <v>0.048894198961357285</v>
      </c>
      <c r="G82" s="66">
        <f t="shared" si="1"/>
        <v>124528.78250621974</v>
      </c>
      <c r="H82" s="365">
        <v>2006943.8595412965</v>
      </c>
      <c r="I82" s="15">
        <f t="shared" si="3"/>
        <v>0.077370812907992248</v>
      </c>
      <c r="J82" s="150">
        <f t="shared" si="4"/>
        <v>155278.87787341353</v>
      </c>
      <c r="K82" s="365">
        <v>56275.47390080311</v>
      </c>
      <c r="L82" s="150">
        <f t="shared" si="5"/>
        <v>336083.13428043638</v>
      </c>
      <c r="M82" s="368">
        <v>0</v>
      </c>
      <c r="N82" s="150">
        <f>+'2-Incentive ROE'!K$40*'1-Project Rev Req'!M82/100*H82</f>
        <v>0</v>
      </c>
      <c r="O82" s="150">
        <f t="shared" si="8"/>
        <v>336083.13428043638</v>
      </c>
      <c r="P82" s="366">
        <v>0</v>
      </c>
      <c r="Q82" s="150">
        <f t="shared" si="2"/>
        <v>336083.13428043638</v>
      </c>
      <c r="R82" s="362">
        <f>+'3-Project True-up'!K34</f>
        <v>16689.54523758102</v>
      </c>
      <c r="S82" s="366">
        <f t="shared" si="6"/>
        <v>-1466.7090962590119</v>
      </c>
      <c r="T82" s="150">
        <f t="shared" si="7"/>
        <v>351305.97042175836</v>
      </c>
    </row>
    <row r="83" spans="1:20" ht="13">
      <c r="A83" s="64" t="s">
        <v>749</v>
      </c>
      <c r="B83" s="65"/>
      <c r="C83" s="460" t="s">
        <v>812</v>
      </c>
      <c r="D83" s="384" t="s">
        <v>733</v>
      </c>
      <c r="E83" s="365">
        <v>2359200.1299999999</v>
      </c>
      <c r="F83" s="15">
        <f t="shared" si="0"/>
        <v>0.048894198961357285</v>
      </c>
      <c r="G83" s="66">
        <f t="shared" si="1"/>
        <v>115351.20054587997</v>
      </c>
      <c r="H83" s="365">
        <v>2113264.805082527</v>
      </c>
      <c r="I83" s="15">
        <f t="shared" si="3"/>
        <v>0.077370812907992248</v>
      </c>
      <c r="J83" s="150">
        <f t="shared" si="4"/>
        <v>163505.0158590849</v>
      </c>
      <c r="K83" s="365">
        <v>49216.876160495427</v>
      </c>
      <c r="L83" s="150">
        <f t="shared" si="5"/>
        <v>328073.09256546031</v>
      </c>
      <c r="M83" s="368">
        <v>0</v>
      </c>
      <c r="N83" s="150">
        <f>+'2-Incentive ROE'!K$40*'1-Project Rev Req'!M83/100*H83</f>
        <v>0</v>
      </c>
      <c r="O83" s="150">
        <f t="shared" si="8"/>
        <v>328073.09256546031</v>
      </c>
      <c r="P83" s="366">
        <v>0</v>
      </c>
      <c r="Q83" s="150">
        <f t="shared" si="2"/>
        <v>328073.09256546031</v>
      </c>
      <c r="R83" s="362">
        <f>+'3-Project True-up'!K35</f>
        <v>15701.503824195279</v>
      </c>
      <c r="S83" s="366">
        <f t="shared" si="6"/>
        <v>-1431.7522660987504</v>
      </c>
      <c r="T83" s="150">
        <f t="shared" si="7"/>
        <v>342342.84412355686</v>
      </c>
    </row>
    <row r="84" spans="1:20" ht="13">
      <c r="A84" s="64" t="s">
        <v>750</v>
      </c>
      <c r="B84" s="65"/>
      <c r="C84" s="460" t="s">
        <v>814</v>
      </c>
      <c r="D84" s="384" t="s">
        <v>734</v>
      </c>
      <c r="E84" s="365">
        <v>3631395.7000000002</v>
      </c>
      <c r="F84" s="15">
        <f t="shared" si="0"/>
        <v>0.048894198961357285</v>
      </c>
      <c r="G84" s="66">
        <f t="shared" si="1"/>
        <v>177554.18386321733</v>
      </c>
      <c r="H84" s="365">
        <v>2685287.6632645926</v>
      </c>
      <c r="I84" s="15">
        <f t="shared" si="3"/>
        <v>0.077370812907992248</v>
      </c>
      <c r="J84" s="150">
        <f t="shared" si="4"/>
        <v>207762.88939858449</v>
      </c>
      <c r="K84" s="365">
        <v>62539.00129332747</v>
      </c>
      <c r="L84" s="150">
        <f t="shared" si="5"/>
        <v>447856.07455512934</v>
      </c>
      <c r="M84" s="368">
        <v>0</v>
      </c>
      <c r="N84" s="150">
        <f>+'2-Incentive ROE'!K$40*'1-Project Rev Req'!M84/100*H84</f>
        <v>0</v>
      </c>
      <c r="O84" s="150">
        <f t="shared" si="8"/>
        <v>447856.07455512934</v>
      </c>
      <c r="P84" s="366">
        <v>0</v>
      </c>
      <c r="Q84" s="150">
        <f t="shared" si="2"/>
        <v>447856.07455512934</v>
      </c>
      <c r="R84" s="362">
        <f>+'3-Project True-up'!K36</f>
        <v>22679.705983146709</v>
      </c>
      <c r="S84" s="366">
        <f t="shared" si="6"/>
        <v>-1954.5002749728865</v>
      </c>
      <c r="T84" s="150">
        <f t="shared" si="7"/>
        <v>468581.2802633032</v>
      </c>
    </row>
    <row r="85" spans="1:20" ht="13">
      <c r="A85" s="64" t="s">
        <v>751</v>
      </c>
      <c r="B85" s="65"/>
      <c r="C85" s="460" t="s">
        <v>815</v>
      </c>
      <c r="D85" s="384" t="s">
        <v>735</v>
      </c>
      <c r="E85" s="365">
        <v>4811873.2300000004</v>
      </c>
      <c r="F85" s="15">
        <f t="shared" si="0"/>
        <v>0.048894198961357285</v>
      </c>
      <c r="G85" s="66">
        <f t="shared" si="1"/>
        <v>235272.68708444896</v>
      </c>
      <c r="H85" s="365">
        <v>3656112.5334127722</v>
      </c>
      <c r="I85" s="15">
        <f t="shared" si="3"/>
        <v>0.077370812907992248</v>
      </c>
      <c r="J85" s="150">
        <f t="shared" si="4"/>
        <v>282876.39879324514</v>
      </c>
      <c r="K85" s="365">
        <v>85149.025031335113</v>
      </c>
      <c r="L85" s="150">
        <f t="shared" si="5"/>
        <v>603298.11090902914</v>
      </c>
      <c r="M85" s="368">
        <v>0</v>
      </c>
      <c r="N85" s="150">
        <f>+'2-Incentive ROE'!K$40*'1-Project Rev Req'!M85/100*H85</f>
        <v>0</v>
      </c>
      <c r="O85" s="150">
        <f t="shared" si="9" ref="O85">+L85+N85</f>
        <v>603298.11090902914</v>
      </c>
      <c r="P85" s="366">
        <v>0</v>
      </c>
      <c r="Q85" s="150">
        <f t="shared" si="10" ref="Q85">+L85+N85-P85</f>
        <v>603298.11090902914</v>
      </c>
      <c r="R85" s="362">
        <f>+'3-Project True-up'!K37</f>
        <v>30309.144195699206</v>
      </c>
      <c r="S85" s="366">
        <f t="shared" si="6"/>
        <v>-2632.8688850175949</v>
      </c>
      <c r="T85" s="150">
        <f t="shared" si="7"/>
        <v>630974.38621971081</v>
      </c>
    </row>
    <row r="86" spans="1:20" ht="13">
      <c r="A86" s="64" t="s">
        <v>752</v>
      </c>
      <c r="B86" s="65"/>
      <c r="C86" s="460" t="s">
        <v>816</v>
      </c>
      <c r="D86" s="384" t="s">
        <v>737</v>
      </c>
      <c r="E86" s="365">
        <v>2699443.6600000001</v>
      </c>
      <c r="F86" s="15">
        <f t="shared" si="0"/>
        <v>0.048894198961357285</v>
      </c>
      <c r="G86" s="66">
        <f t="shared" si="11" ref="G86">E86*F86</f>
        <v>131987.13539701453</v>
      </c>
      <c r="H86" s="365">
        <v>2083967.6263848043</v>
      </c>
      <c r="I86" s="15">
        <f t="shared" si="3"/>
        <v>0.077370812907992248</v>
      </c>
      <c r="J86" s="150">
        <f t="shared" si="12" ref="J86:J87">H86*I86</f>
        <v>161238.26932733139</v>
      </c>
      <c r="K86" s="365">
        <v>48534.559579842666</v>
      </c>
      <c r="L86" s="150">
        <f t="shared" si="13" ref="L86:L91">G86+J86+K86</f>
        <v>341759.96430418856</v>
      </c>
      <c r="M86" s="368">
        <v>0</v>
      </c>
      <c r="N86" s="150">
        <f>+'2-Incentive ROE'!K$40*'1-Project Rev Req'!M86/100*H86</f>
        <v>0</v>
      </c>
      <c r="O86" s="150">
        <f t="shared" si="14" ref="O86">+L86+N86</f>
        <v>341759.96430418856</v>
      </c>
      <c r="P86" s="366">
        <v>0</v>
      </c>
      <c r="Q86" s="150">
        <f t="shared" si="15" ref="Q86">+L86+N86-P86</f>
        <v>341759.96430418856</v>
      </c>
      <c r="R86" s="362">
        <f>+'3-Project True-up'!K38</f>
        <v>17089.629401597445</v>
      </c>
      <c r="S86" s="366">
        <f t="shared" si="6"/>
        <v>-1491.4834969488304</v>
      </c>
      <c r="T86" s="150">
        <f t="shared" si="7"/>
        <v>357358.11020883714</v>
      </c>
    </row>
    <row r="87" spans="1:20" ht="13">
      <c r="A87" s="64" t="s">
        <v>753</v>
      </c>
      <c r="B87" s="65"/>
      <c r="C87" s="460" t="s">
        <v>1050</v>
      </c>
      <c r="D87" s="384" t="s">
        <v>1051</v>
      </c>
      <c r="E87" s="365">
        <v>2221241.1800000002</v>
      </c>
      <c r="F87" s="15">
        <f t="shared" si="0"/>
        <v>0.048894198961357285</v>
      </c>
      <c r="G87" s="66">
        <f t="shared" si="16" ref="G87">E87*F87</f>
        <v>108605.80819608003</v>
      </c>
      <c r="H87" s="365">
        <v>1683388.9924943545</v>
      </c>
      <c r="I87" s="15">
        <f t="shared" si="3"/>
        <v>0.077370812907992248</v>
      </c>
      <c r="J87" s="150">
        <f t="shared" si="12"/>
        <v>130245.17478965427</v>
      </c>
      <c r="K87" s="365">
        <v>47202.871600836617</v>
      </c>
      <c r="L87" s="150">
        <f t="shared" si="13"/>
        <v>286053.85458657093</v>
      </c>
      <c r="M87" s="368">
        <v>0</v>
      </c>
      <c r="N87" s="150">
        <f>+'2-Incentive ROE'!K$40*'1-Project Rev Req'!M87/100*H87</f>
        <v>0</v>
      </c>
      <c r="O87" s="150">
        <f t="shared" si="17" ref="O87">+L87+N87</f>
        <v>286053.85458657093</v>
      </c>
      <c r="P87" s="366">
        <v>0</v>
      </c>
      <c r="Q87" s="150">
        <f t="shared" si="18" ref="Q87:Q91">+L87+N87-P87</f>
        <v>286053.85458657093</v>
      </c>
      <c r="R87" s="362">
        <f>+'3-Project True-up'!K39</f>
        <v>14364.636574410764</v>
      </c>
      <c r="S87" s="366">
        <f t="shared" si="6"/>
        <v>-1248.3750231631275</v>
      </c>
      <c r="T87" s="150">
        <f t="shared" si="7"/>
        <v>299170.11613781855</v>
      </c>
    </row>
    <row r="88" spans="1:20" ht="13">
      <c r="A88" s="64" t="s">
        <v>754</v>
      </c>
      <c r="B88" s="65"/>
      <c r="C88" s="460" t="s">
        <v>817</v>
      </c>
      <c r="D88" s="384" t="s">
        <v>738</v>
      </c>
      <c r="E88" s="365">
        <v>1723078.3099999996</v>
      </c>
      <c r="F88" s="15">
        <f t="shared" si="0"/>
        <v>0.048894198961357285</v>
      </c>
      <c r="G88" s="66">
        <f t="shared" si="19" ref="G88:G91">E88*F88</f>
        <v>84248.533715139245</v>
      </c>
      <c r="H88" s="365">
        <v>1884077.4527940264</v>
      </c>
      <c r="I88" s="15">
        <f t="shared" si="3"/>
        <v>0.077370812907992248</v>
      </c>
      <c r="J88" s="150">
        <f t="shared" si="20" ref="J88:J91">H88*I88</f>
        <v>145772.60410429322</v>
      </c>
      <c r="K88" s="365">
        <v>55138.974081840955</v>
      </c>
      <c r="L88" s="150">
        <f t="shared" si="13"/>
        <v>285160.11190127343</v>
      </c>
      <c r="M88" s="368">
        <v>0</v>
      </c>
      <c r="N88" s="150">
        <f>+'2-Incentive ROE'!K$40*'1-Project Rev Req'!M88/100*H88</f>
        <v>0</v>
      </c>
      <c r="O88" s="150">
        <f t="shared" si="21" ref="O88:O91">+L88+N88</f>
        <v>285160.11190127343</v>
      </c>
      <c r="P88" s="366">
        <v>0</v>
      </c>
      <c r="Q88" s="150">
        <f t="shared" si="18"/>
        <v>285160.11190127343</v>
      </c>
      <c r="R88" s="362">
        <f>+'3-Project True-up'!K40</f>
        <v>13013.843991871607</v>
      </c>
      <c r="S88" s="366">
        <f t="shared" si="22" ref="S88:S91">$S$64*Q88/$Q$95</f>
        <v>-1244.4746176011306</v>
      </c>
      <c r="T88" s="150">
        <f t="shared" si="7"/>
        <v>296929.48127554392</v>
      </c>
    </row>
    <row r="89" spans="1:20" ht="13">
      <c r="A89" s="64" t="s">
        <v>755</v>
      </c>
      <c r="B89" s="65"/>
      <c r="C89" s="460" t="s">
        <v>1240</v>
      </c>
      <c r="D89" s="384" t="s">
        <v>721</v>
      </c>
      <c r="E89" s="365">
        <v>5325224.6099999975</v>
      </c>
      <c r="F89" s="15">
        <f t="shared" si="0"/>
        <v>0.048894198961357285</v>
      </c>
      <c r="G89" s="66">
        <f t="shared" si="19"/>
        <v>260372.59159525615</v>
      </c>
      <c r="H89" s="365">
        <v>4603242.8195645194</v>
      </c>
      <c r="I89" s="15">
        <f t="shared" si="3"/>
        <v>0.077370812907992248</v>
      </c>
      <c r="J89" s="150">
        <f t="shared" si="20"/>
        <v>356156.63896258513</v>
      </c>
      <c r="K89" s="365">
        <v>107207.21380600914</v>
      </c>
      <c r="L89" s="150">
        <f t="shared" si="13"/>
        <v>723736.4443638504</v>
      </c>
      <c r="M89" s="368">
        <v>0</v>
      </c>
      <c r="N89" s="150">
        <f>+'2-Incentive ROE'!K$40*'1-Project Rev Req'!M89/100*H89</f>
        <v>0</v>
      </c>
      <c r="O89" s="150">
        <f t="shared" si="21"/>
        <v>723736.4443638504</v>
      </c>
      <c r="P89" s="366">
        <v>0</v>
      </c>
      <c r="Q89" s="150">
        <f t="shared" si="18"/>
        <v>723736.4443638504</v>
      </c>
      <c r="R89" s="362">
        <f>+'3-Project True-up'!K41</f>
        <v>35003.997252492227</v>
      </c>
      <c r="S89" s="366">
        <f t="shared" si="22"/>
        <v>-3158.4769301659207</v>
      </c>
      <c r="T89" s="150">
        <f t="shared" si="7"/>
        <v>755581.96468617674</v>
      </c>
    </row>
    <row r="90" spans="1:20" ht="13">
      <c r="A90" s="64" t="s">
        <v>1594</v>
      </c>
      <c r="C90" s="460" t="s">
        <v>1241</v>
      </c>
      <c r="D90" s="385" t="s">
        <v>736</v>
      </c>
      <c r="E90" s="365">
        <v>4315230.4900000002</v>
      </c>
      <c r="F90" s="15">
        <f t="shared" si="0"/>
        <v>0.048894198961357285</v>
      </c>
      <c r="G90" s="66">
        <f t="shared" si="19"/>
        <v>210989.73814217531</v>
      </c>
      <c r="H90" s="365">
        <v>3278758.0896128342</v>
      </c>
      <c r="I90" s="15">
        <f t="shared" si="3"/>
        <v>0.077370812907992248</v>
      </c>
      <c r="J90" s="150">
        <f t="shared" si="20"/>
        <v>253680.17872200068</v>
      </c>
      <c r="K90" s="365">
        <v>76360.629519117734</v>
      </c>
      <c r="L90" s="150">
        <f t="shared" si="13"/>
        <v>541030.54638329369</v>
      </c>
      <c r="M90" s="368">
        <v>0</v>
      </c>
      <c r="N90" s="150">
        <f>+'2-Incentive ROE'!K$40*'1-Project Rev Req'!M90/100*H90</f>
        <v>0</v>
      </c>
      <c r="O90" s="150">
        <f t="shared" si="21"/>
        <v>541030.54638329369</v>
      </c>
      <c r="P90" s="366">
        <v>0</v>
      </c>
      <c r="Q90" s="150">
        <f t="shared" si="18"/>
        <v>541030.54638329369</v>
      </c>
      <c r="R90" s="362">
        <f>+'3-Project True-up'!K42</f>
        <v>27180.878819429538</v>
      </c>
      <c r="S90" s="366">
        <f t="shared" si="22"/>
        <v>-2361.1253966472909</v>
      </c>
      <c r="T90" s="150">
        <f t="shared" si="7"/>
        <v>565850.29980607599</v>
      </c>
    </row>
    <row r="91" spans="1:20" ht="13">
      <c r="A91" s="64" t="s">
        <v>1614</v>
      </c>
      <c r="C91" s="1035" t="s">
        <v>1615</v>
      </c>
      <c r="D91" s="1036" t="s">
        <v>1616</v>
      </c>
      <c r="E91" s="365">
        <v>4240916.1699999999</v>
      </c>
      <c r="F91" s="15">
        <f t="shared" si="0"/>
        <v>0.048894198961357285</v>
      </c>
      <c r="G91" s="66">
        <f t="shared" si="19"/>
        <v>207356.19899441733</v>
      </c>
      <c r="H91" s="365">
        <v>3869459.1287262952</v>
      </c>
      <c r="I91" s="15">
        <f t="shared" si="3"/>
        <v>0.077370812907992248</v>
      </c>
      <c r="J91" s="150">
        <f t="shared" si="20"/>
        <v>299383.19830380485</v>
      </c>
      <c r="K91" s="365">
        <v>93603.361940295072</v>
      </c>
      <c r="L91" s="150">
        <f t="shared" si="13"/>
        <v>600342.75923851726</v>
      </c>
      <c r="M91" s="368">
        <v>0</v>
      </c>
      <c r="N91" s="150">
        <f>+'2-Incentive ROE'!K$40*'1-Project Rev Req'!M91/100*H91</f>
        <v>0</v>
      </c>
      <c r="O91" s="150">
        <f t="shared" si="21"/>
        <v>600342.75923851726</v>
      </c>
      <c r="P91" s="366">
        <v>0</v>
      </c>
      <c r="Q91" s="150">
        <f t="shared" si="18"/>
        <v>600342.75923851726</v>
      </c>
      <c r="R91" s="362">
        <f>+'3-Project True-up'!K43</f>
        <v>0</v>
      </c>
      <c r="S91" s="366">
        <f t="shared" si="22"/>
        <v>-2619.9713583771568</v>
      </c>
      <c r="T91" s="150">
        <f t="shared" si="7"/>
        <v>597722.78788014012</v>
      </c>
    </row>
    <row r="92" spans="1:20" ht="13">
      <c r="A92" s="67"/>
      <c r="C92" s="363"/>
      <c r="D92" s="363"/>
      <c r="E92" s="365"/>
      <c r="F92" s="15"/>
      <c r="G92" s="66"/>
      <c r="H92" s="365"/>
      <c r="I92" s="15"/>
      <c r="J92" s="150"/>
      <c r="K92" s="366"/>
      <c r="L92" s="150"/>
      <c r="M92" s="368"/>
      <c r="N92" s="150"/>
      <c r="O92" s="150"/>
      <c r="P92" s="366"/>
      <c r="Q92" s="150"/>
      <c r="R92" s="362"/>
      <c r="S92" s="366"/>
      <c r="T92" s="150"/>
    </row>
    <row r="93" spans="1:20" ht="13">
      <c r="A93" s="67"/>
      <c r="C93" s="363"/>
      <c r="D93" s="363"/>
      <c r="E93" s="365"/>
      <c r="F93" s="15"/>
      <c r="G93" s="66"/>
      <c r="H93" s="365"/>
      <c r="I93" s="15"/>
      <c r="J93" s="150"/>
      <c r="K93" s="366"/>
      <c r="L93" s="150"/>
      <c r="M93" s="368"/>
      <c r="N93" s="150"/>
      <c r="O93" s="150"/>
      <c r="P93" s="366"/>
      <c r="Q93" s="150"/>
      <c r="R93" s="362"/>
      <c r="S93" s="366"/>
      <c r="T93" s="150"/>
    </row>
    <row r="94" spans="1:20" ht="13">
      <c r="A94" s="68"/>
      <c r="B94" s="13"/>
      <c r="C94" s="364"/>
      <c r="D94" s="364"/>
      <c r="E94" s="364"/>
      <c r="F94" s="13"/>
      <c r="G94" s="14"/>
      <c r="H94" s="364"/>
      <c r="I94" s="13"/>
      <c r="J94" s="151"/>
      <c r="K94" s="367"/>
      <c r="L94" s="151"/>
      <c r="M94" s="369"/>
      <c r="N94" s="204"/>
      <c r="O94" s="204"/>
      <c r="P94" s="370"/>
      <c r="Q94" s="204"/>
      <c r="R94" s="587"/>
      <c r="S94" s="367"/>
      <c r="T94" s="151"/>
    </row>
    <row r="95" spans="1:20" ht="13">
      <c r="A95" s="39" t="s">
        <v>243</v>
      </c>
      <c r="B95" s="16"/>
      <c r="C95" s="26" t="s">
        <v>166</v>
      </c>
      <c r="D95" s="26"/>
      <c r="E95" s="197">
        <f>SUM(E66:E94)</f>
        <v>1659200189.1210399</v>
      </c>
      <c r="F95" s="198"/>
      <c r="G95" s="3"/>
      <c r="H95" s="197">
        <f t="shared" si="23" ref="H95:T95">SUM(H66:H94)</f>
        <v>1143058723.924094</v>
      </c>
      <c r="I95" s="3"/>
      <c r="J95" s="197">
        <f t="shared" si="23"/>
        <v>88439382.671579435</v>
      </c>
      <c r="K95" s="197">
        <f t="shared" si="23"/>
        <v>25205171.438255996</v>
      </c>
      <c r="L95" s="197">
        <f t="shared" si="23"/>
        <v>194769818.2734412</v>
      </c>
      <c r="M95" s="197"/>
      <c r="N95" s="197">
        <f t="shared" si="23"/>
        <v>0</v>
      </c>
      <c r="O95" s="197">
        <f t="shared" si="23"/>
        <v>194769818.2734412</v>
      </c>
      <c r="P95" s="197">
        <f t="shared" si="23"/>
        <v>0</v>
      </c>
      <c r="Q95" s="197">
        <f t="shared" si="23"/>
        <v>194769818.2734412</v>
      </c>
      <c r="R95" s="197">
        <f t="shared" si="23"/>
        <v>647525.13779280067</v>
      </c>
      <c r="S95" s="197">
        <f t="shared" si="23"/>
        <v>-850000</v>
      </c>
      <c r="T95" s="197">
        <f t="shared" si="23"/>
        <v>31777627.723152392</v>
      </c>
    </row>
    <row r="96" spans="5:12" ht="13">
      <c r="E96" s="197"/>
      <c r="F96" s="197"/>
      <c r="G96" s="197"/>
      <c r="H96" s="197"/>
      <c r="I96" s="197"/>
      <c r="J96" s="197"/>
      <c r="K96" s="197"/>
      <c r="L96" s="15"/>
    </row>
    <row r="97" spans="1:21" ht="13">
      <c r="A97" s="70"/>
      <c r="E97" s="197"/>
      <c r="F97" s="197"/>
      <c r="G97" s="197"/>
      <c r="H97" s="197"/>
      <c r="I97" s="197"/>
      <c r="J97" s="197"/>
      <c r="K97" s="197"/>
      <c r="L97" s="15"/>
      <c r="M97" s="46"/>
      <c r="N97" s="46"/>
      <c r="O97" s="46"/>
      <c r="U97" s="197">
        <f>+'Attachment H-7'!I11</f>
        <v>194769818.27344123</v>
      </c>
    </row>
    <row r="98" spans="11:21" ht="13">
      <c r="K98" s="16"/>
      <c r="L98" s="16"/>
      <c r="M98" s="16"/>
      <c r="N98" s="16"/>
      <c r="O98" s="16"/>
      <c r="U98" s="197">
        <f>+T95</f>
        <v>31777627.723152392</v>
      </c>
    </row>
    <row r="99" spans="11:21" ht="13">
      <c r="K99" s="16"/>
      <c r="L99" s="16"/>
      <c r="M99" s="16"/>
      <c r="N99" s="16"/>
      <c r="O99" s="16"/>
      <c r="U99" s="197">
        <f>+U97-U98</f>
        <v>162992190.55028883</v>
      </c>
    </row>
    <row r="101" ht="13.5" thickBot="1">
      <c r="A101" s="71" t="s">
        <v>182</v>
      </c>
    </row>
    <row r="102" spans="1:17" ht="13">
      <c r="A102" s="72" t="s">
        <v>58</v>
      </c>
      <c r="C102" s="1055" t="s">
        <v>374</v>
      </c>
      <c r="D102" s="1055"/>
      <c r="E102" s="1055"/>
      <c r="F102" s="1055"/>
      <c r="G102" s="1055"/>
      <c r="H102" s="1055"/>
      <c r="I102" s="1055"/>
      <c r="J102" s="1055"/>
      <c r="K102" s="1055"/>
      <c r="L102" s="1055"/>
      <c r="M102" s="1055"/>
      <c r="N102" s="1055"/>
      <c r="O102" s="1055"/>
      <c r="P102" s="1055"/>
      <c r="Q102" s="1055"/>
    </row>
    <row r="103" spans="1:17" ht="13">
      <c r="A103" s="72" t="s">
        <v>59</v>
      </c>
      <c r="C103" s="1055" t="s">
        <v>357</v>
      </c>
      <c r="D103" s="1055"/>
      <c r="E103" s="1055"/>
      <c r="F103" s="1055"/>
      <c r="G103" s="1055"/>
      <c r="H103" s="1055"/>
      <c r="I103" s="1055"/>
      <c r="J103" s="1055"/>
      <c r="K103" s="1055"/>
      <c r="L103" s="1055"/>
      <c r="M103" s="1055"/>
      <c r="N103" s="1055"/>
      <c r="O103" s="1055"/>
      <c r="P103" s="1055"/>
      <c r="Q103" s="1055"/>
    </row>
    <row r="104" spans="1:17" ht="13">
      <c r="A104" s="72" t="s">
        <v>60</v>
      </c>
      <c r="C104" s="1056" t="s">
        <v>364</v>
      </c>
      <c r="D104" s="1056"/>
      <c r="E104" s="1056"/>
      <c r="F104" s="1056"/>
      <c r="G104" s="1056"/>
      <c r="H104" s="1056"/>
      <c r="I104" s="1056"/>
      <c r="J104" s="1056"/>
      <c r="K104" s="1056"/>
      <c r="L104" s="1056"/>
      <c r="M104" s="1056"/>
      <c r="N104" s="1056"/>
      <c r="O104" s="1056"/>
      <c r="P104" s="1056"/>
      <c r="Q104" s="1056"/>
    </row>
    <row r="105" ht="13">
      <c r="C105" s="196" t="s">
        <v>358</v>
      </c>
    </row>
    <row r="106" spans="1:17" ht="13">
      <c r="A106" s="72" t="s">
        <v>61</v>
      </c>
      <c r="C106" s="1056" t="s">
        <v>1145</v>
      </c>
      <c r="D106" s="1056"/>
      <c r="E106" s="1056"/>
      <c r="F106" s="1056"/>
      <c r="G106" s="1056"/>
      <c r="H106" s="1056"/>
      <c r="I106" s="1056"/>
      <c r="J106" s="1056"/>
      <c r="K106" s="1056"/>
      <c r="L106" s="1056"/>
      <c r="M106" s="1056"/>
      <c r="N106" s="1056"/>
      <c r="O106" s="1056"/>
      <c r="P106" s="1056"/>
      <c r="Q106" s="1056"/>
    </row>
    <row r="107" spans="1:17" ht="13">
      <c r="A107" s="198" t="s">
        <v>62</v>
      </c>
      <c r="C107" s="1054" t="s">
        <v>925</v>
      </c>
      <c r="D107" s="1054"/>
      <c r="E107" s="1054"/>
      <c r="F107" s="1054"/>
      <c r="G107" s="1054"/>
      <c r="H107" s="1054"/>
      <c r="I107" s="1054"/>
      <c r="J107" s="1054"/>
      <c r="K107" s="1054"/>
      <c r="L107" s="1054"/>
      <c r="M107" s="1054"/>
      <c r="N107" s="1054"/>
      <c r="O107" s="1054"/>
      <c r="P107" s="1054"/>
      <c r="Q107" s="1054"/>
    </row>
    <row r="108" spans="1:17" ht="13">
      <c r="A108" s="198" t="s">
        <v>63</v>
      </c>
      <c r="C108" s="1054" t="s">
        <v>1398</v>
      </c>
      <c r="D108" s="1054"/>
      <c r="E108" s="1054"/>
      <c r="F108" s="1054"/>
      <c r="G108" s="1054"/>
      <c r="H108" s="1054"/>
      <c r="I108" s="1054"/>
      <c r="J108" s="1054"/>
      <c r="K108" s="1054"/>
      <c r="L108" s="1054"/>
      <c r="M108" s="1054"/>
      <c r="N108" s="1054"/>
      <c r="O108" s="1054"/>
      <c r="P108" s="1054"/>
      <c r="Q108" s="1054"/>
    </row>
    <row r="109" spans="1:17" ht="13">
      <c r="A109" s="198" t="s">
        <v>64</v>
      </c>
      <c r="C109" s="1054" t="s">
        <v>1399</v>
      </c>
      <c r="D109" s="1054"/>
      <c r="E109" s="1054"/>
      <c r="F109" s="1054"/>
      <c r="G109" s="1054"/>
      <c r="H109" s="1054"/>
      <c r="I109" s="1054"/>
      <c r="J109" s="1054"/>
      <c r="K109" s="1054"/>
      <c r="L109" s="1054"/>
      <c r="M109" s="1054"/>
      <c r="N109" s="1054"/>
      <c r="O109" s="1054"/>
      <c r="P109" s="1054"/>
      <c r="Q109" s="1054"/>
    </row>
    <row r="110" spans="1:17" ht="13">
      <c r="A110" s="198" t="s">
        <v>65</v>
      </c>
      <c r="C110" s="1054" t="s">
        <v>375</v>
      </c>
      <c r="D110" s="1054"/>
      <c r="E110" s="1054"/>
      <c r="F110" s="1054"/>
      <c r="G110" s="1054"/>
      <c r="H110" s="1054"/>
      <c r="I110" s="1054"/>
      <c r="J110" s="1054"/>
      <c r="K110" s="1054"/>
      <c r="L110" s="1054"/>
      <c r="M110" s="1054"/>
      <c r="N110" s="1054"/>
      <c r="O110" s="1054"/>
      <c r="P110" s="1054"/>
      <c r="Q110" s="1054"/>
    </row>
    <row r="111" spans="1:3" ht="13">
      <c r="A111" s="198" t="s">
        <v>66</v>
      </c>
      <c r="C111" s="196" t="s">
        <v>315</v>
      </c>
    </row>
    <row r="112" spans="1:17" ht="13">
      <c r="A112" s="25" t="s">
        <v>67</v>
      </c>
      <c r="C112" s="196" t="s">
        <v>429</v>
      </c>
      <c r="P112" s="3"/>
      <c r="Q112" s="48"/>
    </row>
    <row r="113" spans="1:17" ht="13">
      <c r="A113" s="25" t="s">
        <v>99</v>
      </c>
      <c r="C113" s="196" t="s">
        <v>311</v>
      </c>
      <c r="D113" s="25"/>
      <c r="E113" s="198"/>
      <c r="F113" s="198"/>
      <c r="G113" s="3"/>
      <c r="J113" s="37"/>
      <c r="P113" s="3"/>
      <c r="Q113" s="34"/>
    </row>
    <row r="114" spans="1:7" ht="13">
      <c r="A114" s="198" t="s">
        <v>117</v>
      </c>
      <c r="C114" s="109" t="s">
        <v>1117</v>
      </c>
      <c r="G114" s="390"/>
    </row>
    <row r="115" spans="1:11" ht="13">
      <c r="A115" s="198" t="s">
        <v>406</v>
      </c>
      <c r="C115" s="196" t="s">
        <v>407</v>
      </c>
      <c r="K115" s="390"/>
    </row>
    <row r="116" spans="1:3" ht="13">
      <c r="A116" s="198" t="s">
        <v>120</v>
      </c>
      <c r="C116" s="196" t="s">
        <v>410</v>
      </c>
    </row>
    <row r="117" ht="13">
      <c r="C117" s="196" t="s">
        <v>408</v>
      </c>
    </row>
    <row r="118" spans="1:7" ht="13">
      <c r="A118" s="198" t="s">
        <v>121</v>
      </c>
      <c r="C118" s="1053" t="s">
        <v>767</v>
      </c>
      <c r="D118" s="1053"/>
      <c r="E118" s="1053"/>
      <c r="F118" s="1053"/>
      <c r="G118" s="1053"/>
    </row>
    <row r="119" spans="1:7" ht="13">
      <c r="A119" s="198" t="s">
        <v>122</v>
      </c>
      <c r="C119" s="1053" t="s">
        <v>1230</v>
      </c>
      <c r="D119" s="1053"/>
      <c r="E119" s="1053"/>
      <c r="F119" s="1053"/>
      <c r="G119" s="1053"/>
    </row>
  </sheetData>
  <customSheetViews>
    <customSheetView guid="{f04a2b9a-c6fe-4feb-ad1e-2cf9ac309be4}" printArea="1" scale="60" showPageBreaks="1" topLeftCell="A1" view="pageBreakPreview">
      <selection pane="topLeft" activeCell="G20" sqref="G20"/>
      <rowBreaks count="1" manualBreakCount="1">
        <brk id="50" max="13" man="1"/>
      </rowBreaks>
      <pageMargins left="0.57" right="0.3" top="0.77" bottom="0.75" header="0.5" footer="0.5"/>
      <printOptions horizontalCentered="1"/>
      <pageSetup fitToHeight="0" horizontalDpi="300" verticalDpi="300" orientation="landscape" scale="43" r:id="rId2"/>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ageMargins left="0.25" right="0.25" top="0.75" bottom="0.75" header="0.3" footer="0.3"/>
  <pageSetup fitToHeight="2" orientation="landscape" scale="40" r:id="rId1"/>
  <rowBreaks count="1" manualBreakCount="1">
    <brk id="51"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view="pageBreakPreview" zoomScale="70" zoomScaleSheetLayoutView="70" workbookViewId="0" topLeftCell="A1">
      <selection pane="topLeft" activeCell="A1" sqref="A1"/>
    </sheetView>
  </sheetViews>
  <sheetFormatPr defaultColWidth="8.765625" defaultRowHeight="15.5"/>
  <cols>
    <col min="1" max="1" width="5.5" style="148" customWidth="1"/>
    <col min="2" max="2" width="21.5" style="117" customWidth="1"/>
    <col min="3" max="3" width="38.4285714285714" style="117" customWidth="1"/>
    <col min="4" max="4" width="25.2142857142857" style="117" customWidth="1"/>
    <col min="5" max="5" width="13.5" style="117" customWidth="1"/>
    <col min="6" max="6" width="6.5" style="117" customWidth="1"/>
    <col min="7" max="7" width="9" style="117" bestFit="1" customWidth="1"/>
    <col min="8" max="8" width="7.28571428571429" style="117" customWidth="1"/>
    <col min="9" max="9" width="12.2857142857143" style="117" customWidth="1"/>
    <col min="10" max="10" width="18" style="123" customWidth="1"/>
    <col min="11" max="11" width="16" style="117" customWidth="1"/>
    <col min="12" max="16384" width="8.78571428571429" style="117"/>
  </cols>
  <sheetData>
    <row r="1" spans="3:10" ht="15.5">
      <c r="C1" s="905"/>
      <c r="D1" s="905"/>
      <c r="E1" s="905"/>
      <c r="F1" s="614"/>
      <c r="G1" s="905"/>
      <c r="H1" s="905"/>
      <c r="I1" s="905"/>
      <c r="J1" s="156"/>
    </row>
    <row r="2" spans="2:10" ht="15.5">
      <c r="B2" s="148"/>
      <c r="C2" s="905"/>
      <c r="D2" s="905"/>
      <c r="E2" s="905"/>
      <c r="F2" s="614"/>
      <c r="G2" s="905"/>
      <c r="H2" s="905"/>
      <c r="I2" s="905"/>
      <c r="J2" s="156"/>
    </row>
    <row r="3" spans="3:11" ht="15.5">
      <c r="C3" s="905"/>
      <c r="D3" s="906" t="s">
        <v>2</v>
      </c>
      <c r="E3" s="906"/>
      <c r="F3" s="614" t="s">
        <v>251</v>
      </c>
      <c r="H3" s="906"/>
      <c r="I3" s="906"/>
      <c r="J3" s="907"/>
      <c r="K3" s="702" t="s">
        <v>419</v>
      </c>
    </row>
    <row r="4" spans="1:11" ht="15.5">
      <c r="A4" s="597"/>
      <c r="B4" s="908"/>
      <c r="C4" s="908"/>
      <c r="D4" s="908"/>
      <c r="E4" s="908"/>
      <c r="F4" s="909" t="s">
        <v>316</v>
      </c>
      <c r="H4" s="908"/>
      <c r="I4" s="908"/>
      <c r="J4" s="908"/>
      <c r="K4" s="702"/>
    </row>
    <row r="5" spans="2:11" ht="15.5">
      <c r="B5" s="908"/>
      <c r="C5" s="908"/>
      <c r="D5" s="908"/>
      <c r="F5" s="615" t="str">
        <f>+'Attachment H-7'!D5</f>
        <v>PECO Energy Company</v>
      </c>
      <c r="H5" s="908"/>
      <c r="I5" s="908"/>
      <c r="J5" s="908"/>
      <c r="K5" s="908"/>
    </row>
    <row r="7" spans="1:11" ht="15.5">
      <c r="A7" s="148">
        <v>1</v>
      </c>
      <c r="B7" s="117" t="s">
        <v>304</v>
      </c>
      <c r="C7" s="117" t="s">
        <v>1110</v>
      </c>
      <c r="J7" s="117"/>
      <c r="K7" s="148">
        <f>+'Attachment H-7'!I101</f>
        <v>960619871.69957626</v>
      </c>
    </row>
    <row r="8" spans="10:11" ht="15.5">
      <c r="J8" s="117"/>
      <c r="K8" s="123"/>
    </row>
    <row r="9" spans="1:11" ht="16" thickBot="1">
      <c r="A9" s="119">
        <f>+A7+1</f>
        <v>2</v>
      </c>
      <c r="B9" s="120" t="s">
        <v>252</v>
      </c>
      <c r="C9" s="121"/>
      <c r="D9" s="121"/>
      <c r="E9" s="121"/>
      <c r="F9" s="121"/>
      <c r="G9" s="121"/>
      <c r="H9" s="121"/>
      <c r="I9" s="121"/>
      <c r="J9" s="122" t="s">
        <v>44</v>
      </c>
      <c r="K9" s="123"/>
    </row>
    <row r="10" spans="1:11" ht="15.5">
      <c r="A10" s="119"/>
      <c r="B10" s="124"/>
      <c r="C10" s="121"/>
      <c r="D10" s="121"/>
      <c r="E10" s="121"/>
      <c r="F10" s="121"/>
      <c r="G10" s="121"/>
      <c r="H10" s="125" t="s">
        <v>52</v>
      </c>
      <c r="I10" s="121"/>
      <c r="J10" s="121"/>
      <c r="K10" s="123"/>
    </row>
    <row r="11" spans="1:11" ht="16" thickBot="1">
      <c r="A11" s="119"/>
      <c r="B11" s="124"/>
      <c r="C11" s="121"/>
      <c r="D11" s="121"/>
      <c r="E11" s="126" t="s">
        <v>44</v>
      </c>
      <c r="F11" s="126" t="s">
        <v>53</v>
      </c>
      <c r="G11" s="121"/>
      <c r="H11" s="126"/>
      <c r="I11" s="121"/>
      <c r="J11" s="126" t="s">
        <v>54</v>
      </c>
      <c r="K11" s="123"/>
    </row>
    <row r="12" spans="1:11" ht="15.5">
      <c r="A12" s="119">
        <f>+A9+1</f>
        <v>3</v>
      </c>
      <c r="B12" s="120" t="s">
        <v>235</v>
      </c>
      <c r="C12" s="127" t="s">
        <v>1108</v>
      </c>
      <c r="D12" s="127"/>
      <c r="E12" s="213">
        <f>+'Attachment H-7'!D203</f>
        <v>3126726301.3076925</v>
      </c>
      <c r="F12" s="386">
        <f>+'Attachment H-7'!E203</f>
        <v>0.46387322745475124</v>
      </c>
      <c r="G12" s="118"/>
      <c r="H12" s="1027">
        <f>+'Attachment H-7'!G203</f>
        <v>0.04134087882458367</v>
      </c>
      <c r="I12" s="118"/>
      <c r="J12" s="387">
        <f>F12*H12</f>
        <v>0.019176926886175411</v>
      </c>
      <c r="K12" s="123"/>
    </row>
    <row r="13" spans="1:11" ht="15.5">
      <c r="A13" s="119">
        <f>+A12+1</f>
        <v>4</v>
      </c>
      <c r="B13" s="120" t="s">
        <v>305</v>
      </c>
      <c r="C13" s="127" t="s">
        <v>1108</v>
      </c>
      <c r="D13" s="127"/>
      <c r="E13" s="213">
        <f>+'Attachment H-7'!D204</f>
        <v>0</v>
      </c>
      <c r="F13" s="386">
        <f>+'Attachment H-7'!E204</f>
        <v>0</v>
      </c>
      <c r="G13" s="118"/>
      <c r="H13" s="1027">
        <f>+'Attachment H-7'!G204</f>
        <v>0</v>
      </c>
      <c r="I13" s="118"/>
      <c r="J13" s="387">
        <f>F13*H13</f>
        <v>0</v>
      </c>
      <c r="K13" s="123"/>
    </row>
    <row r="14" spans="1:11" ht="31.5" thickBot="1">
      <c r="A14" s="545">
        <f>+A13+1</f>
        <v>5</v>
      </c>
      <c r="B14" s="120" t="s">
        <v>279</v>
      </c>
      <c r="C14" s="127" t="s">
        <v>1109</v>
      </c>
      <c r="D14" s="153" t="s">
        <v>1121</v>
      </c>
      <c r="E14" s="213">
        <f>+'Attachment H-7'!D205</f>
        <v>3613749579.2769237</v>
      </c>
      <c r="F14" s="386">
        <f>+'Attachment H-7'!E205</f>
        <v>0.53612677254524876</v>
      </c>
      <c r="G14" s="118"/>
      <c r="H14" s="1027">
        <f>+'Attachment H-7'!G205+0.01</f>
        <v>0.11349999999999999</v>
      </c>
      <c r="I14" s="118"/>
      <c r="J14" s="388">
        <f>F14*H14</f>
        <v>0.060850388683885731</v>
      </c>
      <c r="K14" s="123"/>
    </row>
    <row r="15" spans="1:11" ht="15.5">
      <c r="A15" s="119">
        <f>+A14+1</f>
        <v>6</v>
      </c>
      <c r="B15" s="124" t="s">
        <v>377</v>
      </c>
      <c r="C15" s="128"/>
      <c r="D15" s="128"/>
      <c r="E15" s="213">
        <f>SUM(E12:E14)</f>
        <v>6740475880.5846157</v>
      </c>
      <c r="F15" s="118" t="s">
        <v>2</v>
      </c>
      <c r="G15" s="118"/>
      <c r="H15" s="118"/>
      <c r="I15" s="118"/>
      <c r="J15" s="387">
        <f>SUM(J12:J14)</f>
        <v>0.080027315570061139</v>
      </c>
      <c r="K15" s="123"/>
    </row>
    <row r="16" spans="1:11" ht="15.5">
      <c r="A16" s="119">
        <f t="shared" si="0" ref="A16:A40">+A15+1</f>
        <v>7</v>
      </c>
      <c r="B16" s="124" t="s">
        <v>259</v>
      </c>
      <c r="C16" s="128"/>
      <c r="D16" s="128"/>
      <c r="E16" s="129"/>
      <c r="F16" s="121"/>
      <c r="G16" s="121"/>
      <c r="H16" s="121"/>
      <c r="I16" s="121"/>
      <c r="J16" s="118"/>
      <c r="K16" s="118">
        <f>+J15*K7</f>
        <v>76875829.615373626</v>
      </c>
    </row>
    <row r="17" spans="1:11" ht="15.5">
      <c r="A17" s="119"/>
      <c r="J17" s="117"/>
      <c r="K17" s="123"/>
    </row>
    <row r="18" spans="1:11" ht="15.5">
      <c r="A18" s="119">
        <f>+A16+1</f>
        <v>8</v>
      </c>
      <c r="B18" s="124" t="s">
        <v>36</v>
      </c>
      <c r="C18" s="130"/>
      <c r="D18" s="130"/>
      <c r="E18" s="121"/>
      <c r="F18" s="121"/>
      <c r="G18" s="128"/>
      <c r="H18" s="131"/>
      <c r="I18" s="121"/>
      <c r="J18" s="128"/>
      <c r="K18" s="123"/>
    </row>
    <row r="19" spans="1:11" ht="15.5">
      <c r="A19" s="119">
        <f t="shared" si="0"/>
        <v>9</v>
      </c>
      <c r="B19" s="132" t="s">
        <v>310</v>
      </c>
      <c r="C19" s="121"/>
      <c r="D19" s="8"/>
      <c r="E19" s="910">
        <f>IF('Attachment H-7'!D232&gt;0,1-(((1-'Attachment H-7'!D233)*(1-'Attachment H-7'!D232))/(1-'Attachment H-7'!D232*'Attachment H-7'!D233*'Attachment H-7'!D234)),0)</f>
        <v>0.28892099999999998</v>
      </c>
      <c r="F19" s="911"/>
      <c r="G19" s="128"/>
      <c r="H19" s="131"/>
      <c r="I19" s="121"/>
      <c r="J19" s="128"/>
      <c r="K19" s="123"/>
    </row>
    <row r="20" spans="1:11" ht="15.5">
      <c r="A20" s="119">
        <f t="shared" si="0"/>
        <v>10</v>
      </c>
      <c r="B20" s="128" t="s">
        <v>37</v>
      </c>
      <c r="C20" s="121"/>
      <c r="D20" s="8"/>
      <c r="E20" s="910">
        <f>IF(J15&gt;0,(E19/(1-E19))*(1-J12/J15),0)</f>
        <v>0.30894869408412445</v>
      </c>
      <c r="F20" s="121"/>
      <c r="G20" s="128"/>
      <c r="H20" s="131"/>
      <c r="I20" s="121"/>
      <c r="J20" s="128"/>
      <c r="K20" s="123"/>
    </row>
    <row r="21" spans="1:11" ht="15.5">
      <c r="A21" s="119">
        <f t="shared" si="0"/>
        <v>11</v>
      </c>
      <c r="B21" s="130" t="s">
        <v>306</v>
      </c>
      <c r="C21" s="130"/>
      <c r="D21" s="8"/>
      <c r="E21" s="121"/>
      <c r="F21" s="121"/>
      <c r="G21" s="128"/>
      <c r="H21" s="131"/>
      <c r="I21" s="121"/>
      <c r="J21" s="128"/>
      <c r="K21" s="123"/>
    </row>
    <row r="22" spans="1:11" ht="15.5">
      <c r="A22" s="119">
        <f t="shared" si="0"/>
        <v>12</v>
      </c>
      <c r="B22" s="133" t="s">
        <v>307</v>
      </c>
      <c r="C22" s="130"/>
      <c r="D22" s="130"/>
      <c r="E22" s="121"/>
      <c r="F22" s="121"/>
      <c r="G22" s="128"/>
      <c r="H22" s="131"/>
      <c r="I22" s="121"/>
      <c r="J22" s="128"/>
      <c r="K22" s="123"/>
    </row>
    <row r="23" spans="1:11" ht="15.5">
      <c r="A23" s="119">
        <f t="shared" si="0"/>
        <v>13</v>
      </c>
      <c r="B23" s="134" t="str">
        <f>"      1 / (1 - T)  =  (from line "&amp;A19&amp;")"</f>
        <v xml:space="preserve">      1 / (1 - T)  =  (from line 9)</v>
      </c>
      <c r="C23" s="130"/>
      <c r="D23" s="130"/>
      <c r="E23" s="911">
        <f>IF(E19&gt;0,1/(1-E19),0)</f>
        <v>1.4063135038441579</v>
      </c>
      <c r="F23" s="121"/>
      <c r="G23" s="128"/>
      <c r="H23" s="131"/>
      <c r="I23" s="121"/>
      <c r="J23" s="128"/>
      <c r="K23" s="123"/>
    </row>
    <row r="24" spans="1:11" ht="15.5">
      <c r="A24" s="119">
        <f t="shared" si="0"/>
        <v>14</v>
      </c>
      <c r="B24" s="133" t="s">
        <v>253</v>
      </c>
      <c r="C24" s="130"/>
      <c r="D24" s="130" t="s">
        <v>1111</v>
      </c>
      <c r="E24" s="555">
        <f>+'Attachment H-7'!D157</f>
        <v>-3978.9374610137602</v>
      </c>
      <c r="F24" s="121"/>
      <c r="G24" s="128"/>
      <c r="H24" s="131"/>
      <c r="I24" s="121"/>
      <c r="J24" s="128"/>
      <c r="K24" s="123"/>
    </row>
    <row r="25" spans="1:11" ht="15.5">
      <c r="A25" s="119">
        <f t="shared" si="0"/>
        <v>15</v>
      </c>
      <c r="B25" s="133" t="s">
        <v>254</v>
      </c>
      <c r="C25" s="130"/>
      <c r="D25" s="130" t="s">
        <v>1112</v>
      </c>
      <c r="E25" s="555">
        <f>+'Attachment H-7'!D158</f>
        <v>-3189177.4592907447</v>
      </c>
      <c r="F25" s="121"/>
      <c r="G25" s="128"/>
      <c r="H25" s="135"/>
      <c r="I25" s="121"/>
      <c r="J25" s="128"/>
      <c r="K25" s="123"/>
    </row>
    <row r="26" spans="1:11" ht="15.5">
      <c r="A26" s="119">
        <f t="shared" si="0"/>
        <v>16</v>
      </c>
      <c r="B26" s="133" t="s">
        <v>308</v>
      </c>
      <c r="C26" s="130"/>
      <c r="D26" s="130" t="s">
        <v>1113</v>
      </c>
      <c r="E26" s="555">
        <f>+'Attachment H-7'!D159</f>
        <v>296018.03437660693</v>
      </c>
      <c r="F26" s="121"/>
      <c r="G26" s="128"/>
      <c r="H26" s="131"/>
      <c r="I26" s="121"/>
      <c r="J26" s="128"/>
      <c r="K26" s="123"/>
    </row>
    <row r="27" spans="1:11" ht="15.5">
      <c r="A27" s="119">
        <f t="shared" si="0"/>
        <v>17</v>
      </c>
      <c r="B27" s="134" t="str">
        <f>"Income Tax Calculation = line "&amp;A20&amp;" * line "&amp;A16&amp;""</f>
        <v>Income Tax Calculation = line 10 * line 7</v>
      </c>
      <c r="C27" s="136"/>
      <c r="E27" s="556">
        <f>+E20*K16</f>
        <v>23750687.16630334</v>
      </c>
      <c r="F27" s="137"/>
      <c r="G27" s="137" t="s">
        <v>22</v>
      </c>
      <c r="H27" s="138"/>
      <c r="I27" s="137"/>
      <c r="J27" s="556">
        <f>+E20*K16</f>
        <v>23750687.16630334</v>
      </c>
      <c r="K27" s="123"/>
    </row>
    <row r="28" spans="1:11" ht="15.5">
      <c r="A28" s="119">
        <f t="shared" si="0"/>
        <v>18</v>
      </c>
      <c r="B28" s="127" t="str">
        <f>"ITC adjustment (line "&amp;A23&amp;" * line "&amp;A24&amp;")"</f>
        <v>ITC adjustment (line 13 * line 14)</v>
      </c>
      <c r="C28" s="136"/>
      <c r="D28" s="136"/>
      <c r="E28" s="556">
        <f>+E$23*E24</f>
        <v>-5595.6334823750385</v>
      </c>
      <c r="F28" s="137"/>
      <c r="G28" s="139" t="s">
        <v>15</v>
      </c>
      <c r="H28" s="387">
        <v>1</v>
      </c>
      <c r="I28" s="137"/>
      <c r="J28" s="556">
        <f>+E28*H28</f>
        <v>-5595.6334823750385</v>
      </c>
      <c r="K28" s="123"/>
    </row>
    <row r="29" spans="1:11" ht="15.5">
      <c r="A29" s="119">
        <f t="shared" si="0"/>
        <v>19</v>
      </c>
      <c r="B29" s="127" t="str">
        <f>"Excess Deferred Income Tax Adjustment (line "&amp;A23&amp;" * line "&amp;A25&amp;")"</f>
        <v>Excess Deferred Income Tax Adjustment (line 13 * line 15)</v>
      </c>
      <c r="C29" s="136"/>
      <c r="D29" s="136"/>
      <c r="E29" s="556">
        <f>+E$23*E25</f>
        <v>-4484983.3271559766</v>
      </c>
      <c r="F29" s="137"/>
      <c r="G29" s="139" t="s">
        <v>15</v>
      </c>
      <c r="H29" s="387">
        <f>H28</f>
        <v>1</v>
      </c>
      <c r="I29" s="137"/>
      <c r="J29" s="556">
        <f>+E29*H29</f>
        <v>-4484983.3271559766</v>
      </c>
      <c r="K29" s="123"/>
    </row>
    <row r="30" spans="1:11" ht="15.5">
      <c r="A30" s="119">
        <f t="shared" si="0"/>
        <v>20</v>
      </c>
      <c r="B30" s="127" t="str">
        <f>"Permanent Differences Tax Adjustment (line "&amp;A23&amp;" * "&amp;A26&amp;")"</f>
        <v>Permanent Differences Tax Adjustment (line 13 * 16)</v>
      </c>
      <c r="C30" s="136"/>
      <c r="D30" s="136"/>
      <c r="E30" s="557">
        <f>+E$23*E26</f>
        <v>416294.15912522649</v>
      </c>
      <c r="F30" s="137"/>
      <c r="G30" s="139" t="s">
        <v>15</v>
      </c>
      <c r="H30" s="387">
        <f>H29</f>
        <v>1</v>
      </c>
      <c r="I30" s="137"/>
      <c r="J30" s="557">
        <f>+E30*H30</f>
        <v>416294.15912522649</v>
      </c>
      <c r="K30" s="123"/>
    </row>
    <row r="31" spans="1:11" ht="15.5">
      <c r="A31" s="119">
        <f t="shared" si="0"/>
        <v>21</v>
      </c>
      <c r="B31" s="140" t="str">
        <f>"Total Income Taxes (sum lines "&amp;A27&amp;" - "&amp;A30&amp;")"</f>
        <v>Total Income Taxes (sum lines 17 - 20)</v>
      </c>
      <c r="C31" s="127"/>
      <c r="D31" s="127"/>
      <c r="E31" s="555">
        <f>SUM(E27:E30)</f>
        <v>19676402.364790216</v>
      </c>
      <c r="F31" s="137"/>
      <c r="G31" s="137" t="s">
        <v>2</v>
      </c>
      <c r="H31" s="138" t="s">
        <v>2</v>
      </c>
      <c r="I31" s="137"/>
      <c r="J31" s="555">
        <f>SUM(J27:J30)</f>
        <v>19676402.364790216</v>
      </c>
      <c r="K31" s="148">
        <f>+J31</f>
        <v>19676402.364790216</v>
      </c>
    </row>
    <row r="32" spans="1:11" ht="15.5">
      <c r="A32" s="119"/>
      <c r="J32" s="117"/>
      <c r="K32" s="558"/>
    </row>
    <row r="33" spans="1:11" ht="15.5">
      <c r="A33" s="119">
        <f>+A31+1</f>
        <v>22</v>
      </c>
      <c r="B33" s="127" t="s">
        <v>255</v>
      </c>
      <c r="D33" s="117" t="s">
        <v>431</v>
      </c>
      <c r="J33" s="117"/>
      <c r="K33" s="148">
        <f>+K31+K16</f>
        <v>96552231.980163842</v>
      </c>
    </row>
    <row r="34" spans="1:11" ht="15.5">
      <c r="A34" s="119"/>
      <c r="J34" s="117"/>
      <c r="K34" s="558"/>
    </row>
    <row r="35" spans="1:11" ht="15.5">
      <c r="A35" s="119">
        <f>+A33+1</f>
        <v>23</v>
      </c>
      <c r="B35" s="117" t="s">
        <v>1115</v>
      </c>
      <c r="J35" s="117"/>
      <c r="K35" s="148">
        <f>+'Attachment H-7'!I167</f>
        <v>71725689.300802395</v>
      </c>
    </row>
    <row r="36" spans="1:11" ht="15.5">
      <c r="A36" s="119">
        <f t="shared" si="0"/>
        <v>24</v>
      </c>
      <c r="B36" s="117" t="s">
        <v>1116</v>
      </c>
      <c r="J36" s="117"/>
      <c r="K36" s="148">
        <f>+'Attachment H-7'!I164</f>
        <v>17583830.808287725</v>
      </c>
    </row>
    <row r="37" spans="1:11" ht="15.5">
      <c r="A37" s="119">
        <f t="shared" si="0"/>
        <v>25</v>
      </c>
      <c r="B37" s="127" t="s">
        <v>256</v>
      </c>
      <c r="D37" s="117" t="s">
        <v>432</v>
      </c>
      <c r="J37" s="117"/>
      <c r="K37" s="559">
        <f>SUM(K35:K36)</f>
        <v>89309520.10909012</v>
      </c>
    </row>
    <row r="38" spans="1:11" ht="15.5">
      <c r="A38" s="119">
        <f t="shared" si="0"/>
        <v>26</v>
      </c>
      <c r="B38" s="127" t="s">
        <v>257</v>
      </c>
      <c r="D38" s="117" t="s">
        <v>433</v>
      </c>
      <c r="J38" s="117"/>
      <c r="K38" s="148">
        <f>+K33-K37</f>
        <v>7242711.8710737228</v>
      </c>
    </row>
    <row r="39" spans="1:11" ht="15.5">
      <c r="A39" s="119">
        <f t="shared" si="0"/>
        <v>27</v>
      </c>
      <c r="B39" s="117" t="s">
        <v>309</v>
      </c>
      <c r="J39" s="117"/>
      <c r="K39" s="154">
        <f>+K7</f>
        <v>960619871.69957626</v>
      </c>
    </row>
    <row r="40" spans="1:11" ht="15.5">
      <c r="A40" s="119">
        <f t="shared" si="0"/>
        <v>28</v>
      </c>
      <c r="B40" s="117" t="s">
        <v>258</v>
      </c>
      <c r="E40" s="117" t="s">
        <v>434</v>
      </c>
      <c r="J40" s="117"/>
      <c r="K40" s="155">
        <f>IF(K39=0,0,K38/K39)</f>
        <v>0.0075396232000276633</v>
      </c>
    </row>
    <row r="41" spans="10:11" ht="15.5">
      <c r="J41" s="117"/>
      <c r="K41" s="123"/>
    </row>
    <row r="42" spans="1:11" ht="16" thickBot="1">
      <c r="A42" s="924" t="s">
        <v>288</v>
      </c>
      <c r="J42" s="117"/>
      <c r="K42" s="123"/>
    </row>
    <row r="43" spans="1:11" ht="15.5">
      <c r="A43" s="619" t="s">
        <v>58</v>
      </c>
      <c r="B43" s="148" t="s">
        <v>287</v>
      </c>
      <c r="J43" s="117"/>
      <c r="K43" s="123"/>
    </row>
    <row r="44" spans="1:11" ht="15.5">
      <c r="A44" s="619"/>
      <c r="B44" s="117" t="s">
        <v>379</v>
      </c>
      <c r="J44" s="117"/>
      <c r="K44" s="123"/>
    </row>
    <row r="45" spans="1:11" ht="15.5">
      <c r="A45" s="619"/>
      <c r="B45" s="117" t="s">
        <v>290</v>
      </c>
      <c r="J45" s="117"/>
      <c r="K45" s="123"/>
    </row>
    <row r="46" spans="1:11" ht="15.5">
      <c r="A46" s="619"/>
      <c r="B46" s="117" t="s">
        <v>378</v>
      </c>
      <c r="J46" s="117"/>
      <c r="K46" s="123"/>
    </row>
    <row r="47" spans="1:11" ht="15.5">
      <c r="A47" s="619" t="s">
        <v>59</v>
      </c>
      <c r="B47" s="117" t="s">
        <v>289</v>
      </c>
      <c r="J47" s="117"/>
      <c r="K47" s="123"/>
    </row>
    <row r="48" spans="2:11" ht="15.5">
      <c r="B48" s="117" t="s">
        <v>973</v>
      </c>
      <c r="J48" s="117"/>
      <c r="K48" s="123"/>
    </row>
    <row r="68" ht="24" customHeight="1"/>
  </sheetData>
  <pageMargins left="0.7" right="0.7" top="0.75" bottom="0.75" header="0.3" footer="0.3"/>
  <pageSetup orientation="landscape" scale="5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4"/>
  <sheetViews>
    <sheetView view="pageBreakPreview" zoomScale="70" zoomScaleNormal="65" zoomScaleSheetLayoutView="70" workbookViewId="0" topLeftCell="A1"/>
  </sheetViews>
  <sheetFormatPr defaultColWidth="8.84375" defaultRowHeight="13"/>
  <cols>
    <col min="1" max="1" width="6" style="196" customWidth="1"/>
    <col min="2" max="2" width="37.5" style="196" customWidth="1"/>
    <col min="3" max="3" width="11.2142857142857" style="196" customWidth="1"/>
    <col min="4" max="4" width="18.7142857142857" style="196" customWidth="1"/>
    <col min="5" max="5" width="22.2142857142857" style="196" customWidth="1"/>
    <col min="6" max="6" width="15.2142857142857" style="196" customWidth="1"/>
    <col min="7" max="7" width="18.2857142857143" style="196" customWidth="1"/>
    <col min="8" max="8" width="14.4285714285714" style="196" customWidth="1"/>
    <col min="9" max="9" width="18.5" style="196" customWidth="1"/>
    <col min="10" max="10" width="13.7857142857143" style="196" customWidth="1"/>
    <col min="11" max="11" width="14.4285714285714" style="196" customWidth="1"/>
    <col min="12" max="12" width="13.5" style="196" customWidth="1"/>
    <col min="13" max="16384" width="8.85714285714286" style="196"/>
  </cols>
  <sheetData>
    <row r="1" ht="13">
      <c r="J1" s="2" t="s">
        <v>419</v>
      </c>
    </row>
    <row r="5" spans="1:12" ht="13">
      <c r="A5" s="186"/>
      <c r="D5" s="2"/>
      <c r="E5" s="427" t="s">
        <v>190</v>
      </c>
      <c r="F5" s="2"/>
      <c r="G5" s="2"/>
      <c r="I5" s="2"/>
      <c r="J5" s="2"/>
      <c r="K5" s="2"/>
      <c r="L5" s="5"/>
    </row>
    <row r="6" spans="1:12" ht="13">
      <c r="A6" s="186"/>
      <c r="D6" s="2"/>
      <c r="E6" s="163" t="s">
        <v>292</v>
      </c>
      <c r="F6" s="3"/>
      <c r="G6" s="3"/>
      <c r="I6" s="3"/>
      <c r="J6" s="3"/>
      <c r="K6" s="3"/>
      <c r="L6" s="5"/>
    </row>
    <row r="7" spans="1:12" ht="13">
      <c r="A7" s="186"/>
      <c r="C7" s="6"/>
      <c r="D7" s="6"/>
      <c r="E7" s="202" t="str">
        <f>+'2-Incentive ROE'!F5</f>
        <v>PECO Energy Company</v>
      </c>
      <c r="F7" s="6"/>
      <c r="G7" s="6"/>
      <c r="I7" s="6"/>
      <c r="J7" s="6"/>
      <c r="K7" s="6"/>
      <c r="L7" s="6"/>
    </row>
    <row r="8" spans="1:12" ht="13">
      <c r="A8" s="187"/>
      <c r="E8" s="31"/>
      <c r="F8" s="31"/>
      <c r="G8" s="31"/>
      <c r="I8" s="6"/>
      <c r="J8" s="6"/>
      <c r="K8" s="6"/>
      <c r="L8" s="6"/>
    </row>
    <row r="9" spans="1:12" ht="13">
      <c r="A9" s="190"/>
      <c r="B9" s="110"/>
      <c r="C9" s="110"/>
      <c r="D9" s="110"/>
      <c r="E9" s="110"/>
      <c r="F9" s="110"/>
      <c r="G9" s="110"/>
      <c r="H9" s="110"/>
      <c r="I9" s="110"/>
      <c r="J9" s="110"/>
      <c r="K9" s="149"/>
      <c r="L9" s="110"/>
    </row>
    <row r="10" spans="1:11" ht="13">
      <c r="A10" s="190"/>
      <c r="B10" s="110"/>
      <c r="C10" s="110"/>
      <c r="D10" s="1060" t="s">
        <v>417</v>
      </c>
      <c r="E10" s="1061"/>
      <c r="F10" s="300"/>
      <c r="G10" s="301" t="s">
        <v>342</v>
      </c>
      <c r="H10" s="300"/>
      <c r="I10" s="302"/>
      <c r="J10" s="302"/>
      <c r="K10" s="303"/>
    </row>
    <row r="11" spans="1:11" ht="15.5">
      <c r="A11" s="190">
        <v>1</v>
      </c>
      <c r="B11" s="110" t="s">
        <v>416</v>
      </c>
      <c r="C11" s="110"/>
      <c r="D11" s="1062" t="s">
        <v>418</v>
      </c>
      <c r="E11" s="1063"/>
      <c r="F11" s="610" t="s">
        <v>380</v>
      </c>
      <c r="G11" s="305" t="s">
        <v>1271</v>
      </c>
      <c r="H11" s="304" t="s">
        <v>344</v>
      </c>
      <c r="I11" s="306"/>
      <c r="J11" s="306"/>
      <c r="K11" s="307"/>
    </row>
    <row r="12" spans="1:11" ht="13">
      <c r="A12" s="190">
        <v>2</v>
      </c>
      <c r="B12" s="110"/>
      <c r="C12" s="110"/>
      <c r="D12" s="308"/>
      <c r="E12" s="308"/>
      <c r="F12" s="568"/>
      <c r="G12" s="309"/>
      <c r="H12" s="308"/>
      <c r="I12" s="308"/>
      <c r="J12" s="308"/>
      <c r="K12" s="300"/>
    </row>
    <row r="13" spans="2:13" ht="13">
      <c r="B13" s="310" t="s">
        <v>58</v>
      </c>
      <c r="C13" s="310" t="s">
        <v>59</v>
      </c>
      <c r="D13" s="305" t="s">
        <v>60</v>
      </c>
      <c r="E13" s="305" t="s">
        <v>61</v>
      </c>
      <c r="F13" s="301" t="s">
        <v>62</v>
      </c>
      <c r="G13" s="310" t="s">
        <v>63</v>
      </c>
      <c r="H13" s="311" t="s">
        <v>64</v>
      </c>
      <c r="I13" s="311" t="s">
        <v>65</v>
      </c>
      <c r="J13" s="311" t="s">
        <v>66</v>
      </c>
      <c r="K13" s="312" t="s">
        <v>67</v>
      </c>
      <c r="M13" s="613"/>
    </row>
    <row r="14" spans="1:11" ht="13">
      <c r="A14" s="190"/>
      <c r="B14" s="308"/>
      <c r="C14" s="301"/>
      <c r="D14" s="301"/>
      <c r="E14" s="608" t="s">
        <v>381</v>
      </c>
      <c r="F14" s="301"/>
      <c r="G14" s="301"/>
      <c r="H14" s="308"/>
      <c r="I14" s="301"/>
      <c r="J14" s="308"/>
      <c r="K14" s="308"/>
    </row>
    <row r="15" spans="1:11" ht="13">
      <c r="A15" s="190"/>
      <c r="B15" s="308"/>
      <c r="C15" s="301"/>
      <c r="D15" s="311" t="s">
        <v>412</v>
      </c>
      <c r="E15" s="312" t="s">
        <v>13</v>
      </c>
      <c r="F15" s="311" t="s">
        <v>347</v>
      </c>
      <c r="G15" s="311" t="s">
        <v>411</v>
      </c>
      <c r="H15" s="311" t="s">
        <v>345</v>
      </c>
      <c r="I15" s="311"/>
      <c r="J15" s="311" t="s">
        <v>297</v>
      </c>
      <c r="K15" s="311"/>
    </row>
    <row r="16" spans="1:11" ht="25.5" customHeight="1">
      <c r="A16" s="190"/>
      <c r="B16" s="1058" t="s">
        <v>426</v>
      </c>
      <c r="C16" s="1064" t="s">
        <v>699</v>
      </c>
      <c r="D16" s="311" t="s">
        <v>346</v>
      </c>
      <c r="E16" s="312" t="s">
        <v>382</v>
      </c>
      <c r="F16" s="311" t="s">
        <v>350</v>
      </c>
      <c r="G16" s="311" t="s">
        <v>346</v>
      </c>
      <c r="H16" s="311" t="s">
        <v>303</v>
      </c>
      <c r="I16" s="301" t="s">
        <v>365</v>
      </c>
      <c r="J16" s="311" t="s">
        <v>348</v>
      </c>
      <c r="K16" s="311" t="s">
        <v>383</v>
      </c>
    </row>
    <row r="17" spans="1:11" ht="15.5">
      <c r="A17" s="190"/>
      <c r="B17" s="1059"/>
      <c r="C17" s="1065"/>
      <c r="D17" s="305" t="s">
        <v>349</v>
      </c>
      <c r="E17" s="312" t="s">
        <v>343</v>
      </c>
      <c r="F17" s="904"/>
      <c r="G17" s="305" t="s">
        <v>384</v>
      </c>
      <c r="H17" s="305" t="s">
        <v>413</v>
      </c>
      <c r="I17" s="311" t="s">
        <v>385</v>
      </c>
      <c r="J17" s="305" t="s">
        <v>386</v>
      </c>
      <c r="K17" s="305" t="s">
        <v>414</v>
      </c>
    </row>
    <row r="18" spans="1:11" ht="13">
      <c r="A18" s="190">
        <v>3</v>
      </c>
      <c r="B18" s="309" t="s">
        <v>447</v>
      </c>
      <c r="C18" s="309" t="s">
        <v>447</v>
      </c>
      <c r="D18" s="391">
        <v>164478501.79752573</v>
      </c>
      <c r="E18" s="358">
        <f>IF(D$48=0,0,D18/D$48)</f>
        <v>0.83368207953625206</v>
      </c>
      <c r="F18" s="1028">
        <v>157396708.62570021</v>
      </c>
      <c r="G18" s="1031">
        <v>156588631.79322082</v>
      </c>
      <c r="H18" s="1032">
        <f t="shared" si="0" ref="H18:H43">+G18-F18</f>
        <v>-808076.83247938752</v>
      </c>
      <c r="I18" s="359">
        <v>0</v>
      </c>
      <c r="J18" s="1031">
        <f>+'6-True-Up Interest'!G41</f>
        <v>-54949.22460859835</v>
      </c>
      <c r="K18" s="1033">
        <f>+H18+J18+I18</f>
        <v>-863026.05708798592</v>
      </c>
    </row>
    <row r="19" spans="1:11" ht="13">
      <c r="A19" s="64" t="s">
        <v>387</v>
      </c>
      <c r="B19" s="353" t="s">
        <v>1238</v>
      </c>
      <c r="C19" s="353" t="s">
        <v>720</v>
      </c>
      <c r="D19" s="354">
        <v>3406598.7443175656</v>
      </c>
      <c r="E19" s="355">
        <f t="shared" si="1" ref="E19:E43">IF(D$48=0,0,D19/D$48)</f>
        <v>0.017266817816740204</v>
      </c>
      <c r="F19" s="1029">
        <v>3259924.0879764264</v>
      </c>
      <c r="G19" s="1031">
        <v>5029283.2970318152</v>
      </c>
      <c r="H19" s="1032">
        <f t="shared" si="0"/>
        <v>1769359.2090553888</v>
      </c>
      <c r="I19" s="355">
        <v>0</v>
      </c>
      <c r="J19" s="1031">
        <f>+'6-True-Up Interest'!G42</f>
        <v>120316.42621576645</v>
      </c>
      <c r="K19" s="1033">
        <f t="shared" si="2" ref="K19:K43">+H19+J19+I19</f>
        <v>1889675.6352711553</v>
      </c>
    </row>
    <row r="20" spans="1:11" ht="13">
      <c r="A20" s="64" t="s">
        <v>388</v>
      </c>
      <c r="B20" s="353" t="s">
        <v>1238</v>
      </c>
      <c r="C20" s="353" t="s">
        <v>720</v>
      </c>
      <c r="D20" s="354">
        <v>4145362.0003050086</v>
      </c>
      <c r="E20" s="355">
        <f t="shared" si="1"/>
        <v>0.021011341756377946</v>
      </c>
      <c r="F20" s="1029">
        <v>3966879.1226785872</v>
      </c>
      <c r="G20" s="1031">
        <v>2514641.6485159076</v>
      </c>
      <c r="H20" s="1032">
        <f t="shared" si="0"/>
        <v>-1452237.4741626796</v>
      </c>
      <c r="I20" s="355">
        <v>0</v>
      </c>
      <c r="J20" s="1031">
        <f>+'6-True-Up Interest'!G43</f>
        <v>-98752.148243062213</v>
      </c>
      <c r="K20" s="1033">
        <f t="shared" si="2"/>
        <v>-1550989.6224057418</v>
      </c>
    </row>
    <row r="21" spans="1:11" ht="13">
      <c r="A21" s="64" t="s">
        <v>389</v>
      </c>
      <c r="B21" s="353" t="s">
        <v>803</v>
      </c>
      <c r="C21" s="353" t="s">
        <v>722</v>
      </c>
      <c r="D21" s="354">
        <v>727773.66229510226</v>
      </c>
      <c r="E21" s="355">
        <f t="shared" si="1"/>
        <v>0.0036888216610872731</v>
      </c>
      <c r="F21" s="1029">
        <v>696438.60941007268</v>
      </c>
      <c r="G21" s="1031">
        <v>725876.84196569317</v>
      </c>
      <c r="H21" s="1032">
        <f t="shared" si="0"/>
        <v>29438.232555620489</v>
      </c>
      <c r="I21" s="355">
        <v>0</v>
      </c>
      <c r="J21" s="1031">
        <f>+'6-True-Up Interest'!G44</f>
        <v>2001.7998137821933</v>
      </c>
      <c r="K21" s="1033">
        <f t="shared" si="2"/>
        <v>31440.032369402681</v>
      </c>
    </row>
    <row r="22" spans="1:11" ht="13">
      <c r="A22" s="64" t="s">
        <v>821</v>
      </c>
      <c r="B22" s="353" t="s">
        <v>803</v>
      </c>
      <c r="C22" s="353" t="s">
        <v>1239</v>
      </c>
      <c r="D22" s="354">
        <v>242591.22076503412</v>
      </c>
      <c r="E22" s="355">
        <f t="shared" si="1"/>
        <v>0.0012296072203624245</v>
      </c>
      <c r="F22" s="1029">
        <v>232146.20313669092</v>
      </c>
      <c r="G22" s="1031">
        <v>241958.94732189772</v>
      </c>
      <c r="H22" s="1032">
        <f t="shared" si="0"/>
        <v>9812.7441852068005</v>
      </c>
      <c r="I22" s="355">
        <v>0</v>
      </c>
      <c r="J22" s="1031">
        <f>+'6-True-Up Interest'!G45</f>
        <v>667.26660459406241</v>
      </c>
      <c r="K22" s="1033">
        <f t="shared" si="2"/>
        <v>10480.010789800863</v>
      </c>
    </row>
    <row r="23" spans="1:11" ht="13">
      <c r="A23" s="64" t="s">
        <v>822</v>
      </c>
      <c r="B23" s="353" t="s">
        <v>804</v>
      </c>
      <c r="C23" s="353" t="s">
        <v>723</v>
      </c>
      <c r="D23" s="354">
        <v>469284.39678591292</v>
      </c>
      <c r="E23" s="355">
        <f t="shared" si="1"/>
        <v>0.0023786329978127325</v>
      </c>
      <c r="F23" s="1029">
        <v>449078.86840084876</v>
      </c>
      <c r="G23" s="1031">
        <v>468796.0865040248</v>
      </c>
      <c r="H23" s="1032">
        <f t="shared" si="0"/>
        <v>19717.218103176041</v>
      </c>
      <c r="I23" s="355">
        <v>0</v>
      </c>
      <c r="J23" s="1031">
        <f>+'6-True-Up Interest'!G46</f>
        <v>1340.7708310159708</v>
      </c>
      <c r="K23" s="1033">
        <f t="shared" si="2"/>
        <v>21057.988934192013</v>
      </c>
    </row>
    <row r="24" spans="1:11" ht="13">
      <c r="A24" s="64" t="s">
        <v>823</v>
      </c>
      <c r="B24" s="353" t="s">
        <v>805</v>
      </c>
      <c r="C24" s="353" t="s">
        <v>724</v>
      </c>
      <c r="D24" s="354">
        <v>632226.30067980359</v>
      </c>
      <c r="E24" s="355">
        <f t="shared" si="1"/>
        <v>0.0032045266179350578</v>
      </c>
      <c r="F24" s="1029">
        <v>605005.13894576544</v>
      </c>
      <c r="G24" s="1031">
        <v>631764.7723786945</v>
      </c>
      <c r="H24" s="1032">
        <f t="shared" si="0"/>
        <v>26759.633432929055</v>
      </c>
      <c r="I24" s="355">
        <v>0</v>
      </c>
      <c r="J24" s="1031">
        <f>+'6-True-Up Interest'!G47</f>
        <v>1819.6550734391758</v>
      </c>
      <c r="K24" s="1033">
        <f t="shared" si="2"/>
        <v>28579.28850636823</v>
      </c>
    </row>
    <row r="25" spans="1:11" ht="13">
      <c r="A25" s="64" t="s">
        <v>824</v>
      </c>
      <c r="B25" s="353" t="s">
        <v>806</v>
      </c>
      <c r="C25" s="353" t="s">
        <v>802</v>
      </c>
      <c r="D25" s="354">
        <v>2170155.6599381659</v>
      </c>
      <c r="E25" s="355">
        <f t="shared" si="1"/>
        <v>0.010999734699199661</v>
      </c>
      <c r="F25" s="1029">
        <v>2076717.3481442789</v>
      </c>
      <c r="G25" s="1031">
        <v>2165391.6454889141</v>
      </c>
      <c r="H25" s="1032">
        <f t="shared" si="0"/>
        <v>88674.297344635241</v>
      </c>
      <c r="I25" s="355">
        <v>0</v>
      </c>
      <c r="J25" s="1031">
        <f>+'6-True-Up Interest'!G48</f>
        <v>6029.8522194351963</v>
      </c>
      <c r="K25" s="1033">
        <f t="shared" si="2"/>
        <v>94704.149564070438</v>
      </c>
    </row>
    <row r="26" spans="1:11" ht="13">
      <c r="A26" s="64" t="s">
        <v>825</v>
      </c>
      <c r="B26" s="353" t="s">
        <v>918</v>
      </c>
      <c r="C26" s="353" t="s">
        <v>919</v>
      </c>
      <c r="D26" s="354">
        <v>4830638.858944633</v>
      </c>
      <c r="E26" s="355">
        <f t="shared" si="1"/>
        <v>0.024484762478996336</v>
      </c>
      <c r="F26" s="1029">
        <v>4622650.6725679031</v>
      </c>
      <c r="G26" s="1031">
        <v>4876376.5438697897</v>
      </c>
      <c r="H26" s="1032">
        <f t="shared" si="0"/>
        <v>253725.87130188663</v>
      </c>
      <c r="I26" s="355">
        <v>0</v>
      </c>
      <c r="J26" s="1031">
        <f>+'6-True-Up Interest'!G49</f>
        <v>17253.35924852829</v>
      </c>
      <c r="K26" s="1033">
        <f t="shared" si="2"/>
        <v>270979.23055041494</v>
      </c>
    </row>
    <row r="27" spans="1:11" ht="13">
      <c r="A27" s="64" t="s">
        <v>826</v>
      </c>
      <c r="B27" s="353" t="s">
        <v>807</v>
      </c>
      <c r="C27" s="353" t="s">
        <v>725</v>
      </c>
      <c r="D27" s="354">
        <v>2940069.0930101089</v>
      </c>
      <c r="E27" s="355">
        <f t="shared" si="1"/>
        <v>0.014902147628133381</v>
      </c>
      <c r="F27" s="1029">
        <v>2813481.356618851</v>
      </c>
      <c r="G27" s="1031">
        <v>2934480.0909864716</v>
      </c>
      <c r="H27" s="1032">
        <f t="shared" si="0"/>
        <v>120998.73436762067</v>
      </c>
      <c r="I27" s="355">
        <v>0</v>
      </c>
      <c r="J27" s="1031">
        <f>+'6-True-Up Interest'!G50</f>
        <v>8227.9139369982058</v>
      </c>
      <c r="K27" s="1033">
        <f t="shared" si="2"/>
        <v>129226.64830461887</v>
      </c>
    </row>
    <row r="28" spans="1:11" ht="12.75" customHeight="1">
      <c r="A28" s="64" t="s">
        <v>827</v>
      </c>
      <c r="B28" s="353" t="s">
        <v>808</v>
      </c>
      <c r="C28" s="353" t="s">
        <v>726</v>
      </c>
      <c r="D28" s="354">
        <v>2666137.175603305</v>
      </c>
      <c r="E28" s="355">
        <f t="shared" si="1"/>
        <v>0.013513685743697049</v>
      </c>
      <c r="F28" s="1029">
        <v>2551343.8631704114</v>
      </c>
      <c r="G28" s="1031">
        <v>2659202.1608750583</v>
      </c>
      <c r="H28" s="1032">
        <f t="shared" si="0"/>
        <v>107858.29770464683</v>
      </c>
      <c r="I28" s="355">
        <v>0</v>
      </c>
      <c r="J28" s="1031">
        <f>+'6-True-Up Interest'!G51</f>
        <v>7334.3642439159848</v>
      </c>
      <c r="K28" s="1033">
        <f t="shared" si="2"/>
        <v>115192.66194856282</v>
      </c>
    </row>
    <row r="29" spans="1:11" ht="13">
      <c r="A29" s="64" t="s">
        <v>828</v>
      </c>
      <c r="B29" s="353" t="s">
        <v>809</v>
      </c>
      <c r="C29" s="353" t="s">
        <v>727</v>
      </c>
      <c r="D29" s="354">
        <v>2726376.2657687864</v>
      </c>
      <c r="E29" s="355">
        <f t="shared" si="1"/>
        <v>0.013819015920040411</v>
      </c>
      <c r="F29" s="1029">
        <v>2608989.2965798504</v>
      </c>
      <c r="G29" s="1031">
        <v>2722230.5224658945</v>
      </c>
      <c r="H29" s="1032">
        <f t="shared" si="0"/>
        <v>113241.22588604409</v>
      </c>
      <c r="I29" s="355">
        <v>0</v>
      </c>
      <c r="J29" s="1031">
        <f>+'6-True-Up Interest'!G52</f>
        <v>7700.403360250998</v>
      </c>
      <c r="K29" s="1033">
        <f t="shared" si="2"/>
        <v>120941.6292462951</v>
      </c>
    </row>
    <row r="30" spans="1:11" ht="13">
      <c r="A30" s="64" t="s">
        <v>829</v>
      </c>
      <c r="B30" s="353" t="s">
        <v>810</v>
      </c>
      <c r="C30" s="353" t="s">
        <v>728</v>
      </c>
      <c r="D30" s="354">
        <v>1766804.8153301666</v>
      </c>
      <c r="E30" s="355">
        <f t="shared" si="1"/>
        <v>0.008955295047570009</v>
      </c>
      <c r="F30" s="1029">
        <v>1690733.1941735235</v>
      </c>
      <c r="G30" s="1031">
        <v>1762070.5748013891</v>
      </c>
      <c r="H30" s="1032">
        <f t="shared" si="0"/>
        <v>71337.38062786567</v>
      </c>
      <c r="I30" s="355">
        <v>0</v>
      </c>
      <c r="J30" s="1031">
        <f>+'6-True-Up Interest'!G53</f>
        <v>4850.9418826948659</v>
      </c>
      <c r="K30" s="1033">
        <f t="shared" si="2"/>
        <v>76188.322510560538</v>
      </c>
    </row>
    <row r="31" spans="1:11" ht="13">
      <c r="A31" s="64" t="s">
        <v>830</v>
      </c>
      <c r="B31" s="353" t="s">
        <v>811</v>
      </c>
      <c r="C31" s="353" t="s">
        <v>729</v>
      </c>
      <c r="D31" s="354">
        <v>1238123.627807661</v>
      </c>
      <c r="E31" s="355">
        <f t="shared" si="1"/>
        <v>0.0062756011847937858</v>
      </c>
      <c r="F31" s="1029">
        <v>1184814.9257130993</v>
      </c>
      <c r="G31" s="1031">
        <v>1236153.8879576714</v>
      </c>
      <c r="H31" s="1032">
        <f t="shared" si="0"/>
        <v>51338.962244572118</v>
      </c>
      <c r="I31" s="355">
        <v>0</v>
      </c>
      <c r="J31" s="1031">
        <f>+'6-True-Up Interest'!G54</f>
        <v>3491.049432630904</v>
      </c>
      <c r="K31" s="1033">
        <f t="shared" si="2"/>
        <v>54830.011677203023</v>
      </c>
    </row>
    <row r="32" spans="1:11" ht="13">
      <c r="A32" s="64" t="s">
        <v>831</v>
      </c>
      <c r="B32" s="353" t="s">
        <v>812</v>
      </c>
      <c r="C32" s="353" t="s">
        <v>730</v>
      </c>
      <c r="D32" s="354">
        <v>262590.3633770044</v>
      </c>
      <c r="E32" s="355">
        <f t="shared" si="1"/>
        <v>0.0013309756461413384</v>
      </c>
      <c r="F32" s="1029">
        <v>251284.26183773062</v>
      </c>
      <c r="G32" s="1031">
        <v>261993.9850039524</v>
      </c>
      <c r="H32" s="1032">
        <f t="shared" si="0"/>
        <v>10709.723166221782</v>
      </c>
      <c r="I32" s="355">
        <v>0</v>
      </c>
      <c r="J32" s="1031">
        <f>+'6-True-Up Interest'!G55</f>
        <v>728.26117530308113</v>
      </c>
      <c r="K32" s="1033">
        <f t="shared" si="2"/>
        <v>11437.984341524863</v>
      </c>
    </row>
    <row r="33" spans="1:11" ht="13">
      <c r="A33" s="64" t="s">
        <v>832</v>
      </c>
      <c r="B33" s="353" t="s">
        <v>813</v>
      </c>
      <c r="C33" s="353" t="s">
        <v>731</v>
      </c>
      <c r="D33" s="354">
        <v>328507.06726591132</v>
      </c>
      <c r="E33" s="355">
        <f t="shared" si="1"/>
        <v>0.0016650835944367792</v>
      </c>
      <c r="F33" s="1029">
        <v>314362.85339944507</v>
      </c>
      <c r="G33" s="1031">
        <v>328196.50320462766</v>
      </c>
      <c r="H33" s="1032">
        <f t="shared" si="0"/>
        <v>13833.649805182591</v>
      </c>
      <c r="I33" s="355">
        <v>0</v>
      </c>
      <c r="J33" s="1031">
        <f>+'6-True-Up Interest'!G56</f>
        <v>940.68818675241619</v>
      </c>
      <c r="K33" s="1033">
        <f t="shared" si="2"/>
        <v>14774.337991935008</v>
      </c>
    </row>
    <row r="34" spans="1:11" ht="13">
      <c r="A34" s="64" t="s">
        <v>833</v>
      </c>
      <c r="B34" s="353" t="s">
        <v>1049</v>
      </c>
      <c r="C34" s="353" t="s">
        <v>732</v>
      </c>
      <c r="D34" s="354">
        <v>367423.52433621418</v>
      </c>
      <c r="E34" s="355">
        <f t="shared" si="1"/>
        <v>0.001862337050079828</v>
      </c>
      <c r="F34" s="1029">
        <v>351603.72188558528</v>
      </c>
      <c r="G34" s="1031">
        <v>367230.63690204691</v>
      </c>
      <c r="H34" s="1032">
        <f t="shared" si="0"/>
        <v>15626.915016461629</v>
      </c>
      <c r="I34" s="355">
        <v>0</v>
      </c>
      <c r="J34" s="1031">
        <f>+'6-True-Up Interest'!G57</f>
        <v>1062.6302211193909</v>
      </c>
      <c r="K34" s="1033">
        <f t="shared" si="2"/>
        <v>16689.54523758102</v>
      </c>
    </row>
    <row r="35" spans="1:11" ht="13">
      <c r="A35" s="64" t="s">
        <v>834</v>
      </c>
      <c r="B35" s="353" t="s">
        <v>812</v>
      </c>
      <c r="C35" s="353" t="s">
        <v>733</v>
      </c>
      <c r="D35" s="354">
        <v>359390.54986825591</v>
      </c>
      <c r="E35" s="355">
        <f t="shared" si="1"/>
        <v>0.0018216208057918477</v>
      </c>
      <c r="F35" s="1029">
        <v>343916.61549834837</v>
      </c>
      <c r="G35" s="1031">
        <v>358618.39810527279</v>
      </c>
      <c r="H35" s="1032">
        <f t="shared" si="0"/>
        <v>14701.782606924418</v>
      </c>
      <c r="I35" s="355">
        <v>0</v>
      </c>
      <c r="J35" s="1031">
        <f>+'6-True-Up Interest'!G58</f>
        <v>999.72121727086051</v>
      </c>
      <c r="K35" s="1033">
        <f t="shared" si="2"/>
        <v>15701.503824195279</v>
      </c>
    </row>
    <row r="36" spans="1:11" ht="13">
      <c r="A36" s="64" t="s">
        <v>835</v>
      </c>
      <c r="B36" s="353" t="s">
        <v>814</v>
      </c>
      <c r="C36" s="353" t="s">
        <v>734</v>
      </c>
      <c r="D36" s="354">
        <v>488954.08928355708</v>
      </c>
      <c r="E36" s="355">
        <f t="shared" si="1"/>
        <v>0.002478331560032499</v>
      </c>
      <c r="F36" s="1029">
        <v>467901.66180530202</v>
      </c>
      <c r="G36" s="1031">
        <v>489137.34156480269</v>
      </c>
      <c r="H36" s="1032">
        <f t="shared" si="0"/>
        <v>21235.679759500665</v>
      </c>
      <c r="I36" s="355">
        <v>0</v>
      </c>
      <c r="J36" s="1031">
        <f>+'6-True-Up Interest'!G59</f>
        <v>1444.0262236460453</v>
      </c>
      <c r="K36" s="1033">
        <f t="shared" si="2"/>
        <v>22679.705983146709</v>
      </c>
    </row>
    <row r="37" spans="1:11" ht="13">
      <c r="A37" s="64" t="s">
        <v>836</v>
      </c>
      <c r="B37" s="353" t="s">
        <v>815</v>
      </c>
      <c r="C37" s="353" t="s">
        <v>735</v>
      </c>
      <c r="D37" s="354">
        <v>658982.10965930554</v>
      </c>
      <c r="E37" s="355">
        <f t="shared" si="1"/>
        <v>0.003340142143526144</v>
      </c>
      <c r="F37" s="1029">
        <v>630608.94870794134</v>
      </c>
      <c r="G37" s="1031">
        <v>658988.29720578704</v>
      </c>
      <c r="H37" s="1032">
        <f t="shared" si="0"/>
        <v>28379.348497845698</v>
      </c>
      <c r="I37" s="355">
        <v>0</v>
      </c>
      <c r="J37" s="1031">
        <f>+'6-True-Up Interest'!G60</f>
        <v>1929.7956978535076</v>
      </c>
      <c r="K37" s="1033">
        <f t="shared" si="2"/>
        <v>30309.144195699206</v>
      </c>
    </row>
    <row r="38" spans="1:11" ht="13">
      <c r="A38" s="64" t="s">
        <v>837</v>
      </c>
      <c r="B38" s="353" t="s">
        <v>816</v>
      </c>
      <c r="C38" s="353" t="s">
        <v>737</v>
      </c>
      <c r="D38" s="354">
        <v>373410.50792662584</v>
      </c>
      <c r="E38" s="355">
        <f t="shared" si="1"/>
        <v>0.0018926829060747232</v>
      </c>
      <c r="F38" s="1029">
        <v>357332.92966306669</v>
      </c>
      <c r="G38" s="1031">
        <v>373334.45531999314</v>
      </c>
      <c r="H38" s="1032">
        <f t="shared" si="0"/>
        <v>16001.525656926446</v>
      </c>
      <c r="I38" s="355">
        <v>0</v>
      </c>
      <c r="J38" s="1031">
        <f>+'6-True-Up Interest'!G61</f>
        <v>1088.1037446709984</v>
      </c>
      <c r="K38" s="1033">
        <f t="shared" si="2"/>
        <v>17089.629401597445</v>
      </c>
    </row>
    <row r="39" spans="1:11" ht="13">
      <c r="A39" s="64" t="s">
        <v>838</v>
      </c>
      <c r="B39" s="353" t="s">
        <v>1050</v>
      </c>
      <c r="C39" s="353" t="s">
        <v>1051</v>
      </c>
      <c r="D39" s="354">
        <v>312516.3708848629</v>
      </c>
      <c r="E39" s="355">
        <f t="shared" si="1"/>
        <v>0.0015840325338635499</v>
      </c>
      <c r="F39" s="1029">
        <v>299060.65310272656</v>
      </c>
      <c r="G39" s="1031">
        <v>312510.68734842952</v>
      </c>
      <c r="H39" s="1032">
        <f t="shared" si="0"/>
        <v>13450.034245702962</v>
      </c>
      <c r="I39" s="355">
        <v>0</v>
      </c>
      <c r="J39" s="1031">
        <f>+'6-True-Up Interest'!G62</f>
        <v>914.60232870780146</v>
      </c>
      <c r="K39" s="1033">
        <f t="shared" si="2"/>
        <v>14364.636574410764</v>
      </c>
    </row>
    <row r="40" spans="1:11" ht="13">
      <c r="A40" s="64" t="s">
        <v>839</v>
      </c>
      <c r="B40" s="353" t="s">
        <v>817</v>
      </c>
      <c r="C40" s="353" t="s">
        <v>738</v>
      </c>
      <c r="D40" s="354">
        <v>315913.75836188323</v>
      </c>
      <c r="E40" s="355">
        <f t="shared" si="1"/>
        <v>0.0016012526630955109</v>
      </c>
      <c r="F40" s="1029">
        <v>302311.7625241112</v>
      </c>
      <c r="G40" s="1031">
        <v>314497.00970751158</v>
      </c>
      <c r="H40" s="1032">
        <f t="shared" si="0"/>
        <v>12185.247183400381</v>
      </c>
      <c r="I40" s="355">
        <v>0</v>
      </c>
      <c r="J40" s="1031">
        <f>+'6-True-Up Interest'!G63</f>
        <v>828.59680847122593</v>
      </c>
      <c r="K40" s="1033">
        <f t="shared" si="2"/>
        <v>13013.843991871607</v>
      </c>
    </row>
    <row r="41" spans="1:11" ht="13">
      <c r="A41" s="64" t="s">
        <v>840</v>
      </c>
      <c r="B41" s="353" t="s">
        <v>1240</v>
      </c>
      <c r="C41" s="353" t="s">
        <v>721</v>
      </c>
      <c r="D41" s="354">
        <v>792337.25411585893</v>
      </c>
      <c r="E41" s="355">
        <f t="shared" si="1"/>
        <v>0.0040160711733531239</v>
      </c>
      <c r="F41" s="1029">
        <v>758222.34855277161</v>
      </c>
      <c r="G41" s="1031">
        <v>790997.62687907519</v>
      </c>
      <c r="H41" s="1032">
        <f t="shared" si="0"/>
        <v>32775.278326303582</v>
      </c>
      <c r="I41" s="355">
        <v>0</v>
      </c>
      <c r="J41" s="1031">
        <f>+'6-True-Up Interest'!G64</f>
        <v>2228.7189261886438</v>
      </c>
      <c r="K41" s="1033">
        <f t="shared" si="2"/>
        <v>35003.997252492227</v>
      </c>
    </row>
    <row r="42" spans="1:11" ht="13">
      <c r="A42" s="64" t="s">
        <v>841</v>
      </c>
      <c r="B42" s="353" t="s">
        <v>1241</v>
      </c>
      <c r="C42" s="353" t="s">
        <v>736</v>
      </c>
      <c r="D42" s="354">
        <v>590967.29195551947</v>
      </c>
      <c r="E42" s="355">
        <f t="shared" si="1"/>
        <v>0.0029953996146066327</v>
      </c>
      <c r="F42" s="1029">
        <v>565522.57980648312</v>
      </c>
      <c r="G42" s="1031">
        <v>590972.84087336471</v>
      </c>
      <c r="H42" s="1032">
        <f t="shared" si="0"/>
        <v>25450.261066881591</v>
      </c>
      <c r="I42" s="355">
        <v>0</v>
      </c>
      <c r="J42" s="1031">
        <f>+'6-True-Up Interest'!G65</f>
        <v>1730.6177525479482</v>
      </c>
      <c r="K42" s="1033">
        <f t="shared" si="2"/>
        <v>27180.878819429538</v>
      </c>
    </row>
    <row r="43" spans="1:11" ht="13">
      <c r="A43" s="190"/>
      <c r="B43" s="353"/>
      <c r="C43" s="353"/>
      <c r="D43" s="354"/>
      <c r="E43" s="355">
        <f t="shared" si="1"/>
        <v>0</v>
      </c>
      <c r="F43" s="1029">
        <v>0</v>
      </c>
      <c r="G43" s="1031">
        <v>0</v>
      </c>
      <c r="H43" s="1032">
        <f t="shared" si="0"/>
        <v>0</v>
      </c>
      <c r="I43" s="355">
        <v>0</v>
      </c>
      <c r="J43" s="1031">
        <f>+'6-True-Up Interest'!G66</f>
        <v>0</v>
      </c>
      <c r="K43" s="1033">
        <f t="shared" si="2"/>
        <v>0</v>
      </c>
    </row>
    <row r="44" spans="1:11" ht="13.5" customHeight="1">
      <c r="A44" s="190"/>
      <c r="B44" s="353"/>
      <c r="C44" s="353"/>
      <c r="D44" s="354"/>
      <c r="E44" s="355"/>
      <c r="F44" s="355"/>
      <c r="G44" s="943"/>
      <c r="H44" s="356"/>
      <c r="I44" s="355"/>
      <c r="J44" s="394"/>
      <c r="K44" s="357"/>
    </row>
    <row r="45" spans="1:11" ht="13.5" customHeight="1">
      <c r="A45" s="190"/>
      <c r="B45" s="353"/>
      <c r="C45" s="353"/>
      <c r="D45" s="354"/>
      <c r="E45" s="355"/>
      <c r="F45" s="355"/>
      <c r="G45" s="943"/>
      <c r="H45" s="356"/>
      <c r="I45" s="355"/>
      <c r="J45" s="394"/>
      <c r="K45" s="357"/>
    </row>
    <row r="46" spans="1:11" ht="13">
      <c r="A46" s="190"/>
      <c r="B46" s="353"/>
      <c r="C46" s="353"/>
      <c r="D46" s="354"/>
      <c r="E46" s="355"/>
      <c r="F46" s="355"/>
      <c r="G46" s="943"/>
      <c r="H46" s="356"/>
      <c r="I46" s="355"/>
      <c r="J46" s="394"/>
      <c r="K46" s="357"/>
    </row>
    <row r="47" spans="1:11" ht="13">
      <c r="A47" s="190"/>
      <c r="B47" s="313"/>
      <c r="C47" s="313"/>
      <c r="D47" s="188"/>
      <c r="E47" s="314"/>
      <c r="F47" s="313"/>
      <c r="G47" s="944"/>
      <c r="H47" s="395"/>
      <c r="I47" s="313"/>
      <c r="J47" s="313"/>
      <c r="K47" s="313"/>
    </row>
    <row r="48" spans="1:11" ht="13">
      <c r="A48" s="190">
        <v>4</v>
      </c>
      <c r="B48" s="110" t="s">
        <v>359</v>
      </c>
      <c r="C48" s="110"/>
      <c r="D48" s="74">
        <f>SUM(D18:D47)</f>
        <v>197291636.50611192</v>
      </c>
      <c r="E48" s="74">
        <f>SUM(E18:E47)</f>
        <v>1.0000000000000004</v>
      </c>
      <c r="F48" s="74">
        <f>SUM(F18:F47)</f>
        <v>188797039.64999995</v>
      </c>
      <c r="G48" s="74">
        <f>SUM(G18:G47)</f>
        <v>189403336.5954988</v>
      </c>
      <c r="H48" s="74">
        <f>SUM(H18:H47)</f>
        <v>606296.9454988772</v>
      </c>
      <c r="I48" s="74"/>
      <c r="J48" s="74">
        <f>SUM(J18:J47)</f>
        <v>41228.192293923654</v>
      </c>
      <c r="K48" s="74">
        <f>SUM(K18:K47)</f>
        <v>647525.13779280067</v>
      </c>
    </row>
    <row r="49" spans="1:11" ht="13">
      <c r="A49" s="190"/>
      <c r="B49" s="110"/>
      <c r="C49" s="110"/>
      <c r="D49" s="74"/>
      <c r="E49" s="74"/>
      <c r="F49" s="74"/>
      <c r="G49" s="74"/>
      <c r="H49" s="74"/>
      <c r="I49" s="74"/>
      <c r="J49" s="74"/>
      <c r="K49" s="74"/>
    </row>
    <row r="50" spans="1:11" ht="13">
      <c r="A50" s="190"/>
      <c r="B50" s="110"/>
      <c r="C50" s="110"/>
      <c r="D50" s="74"/>
      <c r="E50" s="74"/>
      <c r="F50" s="74"/>
      <c r="G50" s="74" t="s">
        <v>351</v>
      </c>
      <c r="H50" s="74"/>
      <c r="I50" s="74"/>
      <c r="J50" s="74">
        <f>'6-True-Up Interest'!E26</f>
        <v>0.0040000000000000001</v>
      </c>
      <c r="K50" s="74"/>
    </row>
    <row r="51" spans="1:11" ht="13">
      <c r="A51" s="190"/>
      <c r="B51" s="110"/>
      <c r="C51" s="110"/>
      <c r="D51" s="74"/>
      <c r="E51" s="74"/>
      <c r="F51" s="74"/>
      <c r="G51" s="74" t="s">
        <v>352</v>
      </c>
      <c r="H51" s="74"/>
      <c r="I51" s="74"/>
      <c r="J51" s="74">
        <f>+J48</f>
        <v>41228.192293923654</v>
      </c>
      <c r="K51" s="74"/>
    </row>
    <row r="52" spans="1:12" ht="13">
      <c r="A52" s="190"/>
      <c r="B52" s="925" t="s">
        <v>182</v>
      </c>
      <c r="C52" s="110"/>
      <c r="D52" s="110"/>
      <c r="E52" s="110"/>
      <c r="F52" s="110"/>
      <c r="G52" s="110"/>
      <c r="H52" s="110"/>
      <c r="I52" s="110"/>
      <c r="J52" s="110"/>
      <c r="K52" s="110"/>
      <c r="L52" s="110"/>
    </row>
    <row r="53" spans="1:12" ht="13">
      <c r="A53" s="190"/>
      <c r="B53" s="110" t="s">
        <v>1146</v>
      </c>
      <c r="C53" s="110"/>
      <c r="D53" s="110"/>
      <c r="E53" s="110"/>
      <c r="F53" s="110"/>
      <c r="G53" s="110"/>
      <c r="H53" s="110"/>
      <c r="I53" s="110"/>
      <c r="J53" s="110"/>
      <c r="K53" s="110"/>
      <c r="L53" s="110"/>
    </row>
    <row r="54" spans="1:12" ht="13">
      <c r="A54" s="190"/>
      <c r="B54" s="110" t="s">
        <v>1283</v>
      </c>
      <c r="C54" s="110"/>
      <c r="D54" s="110"/>
      <c r="E54" s="110"/>
      <c r="F54" s="110"/>
      <c r="G54" s="110"/>
      <c r="H54" s="110"/>
      <c r="I54" s="110"/>
      <c r="J54" s="110"/>
      <c r="K54" s="110"/>
      <c r="L54" s="110"/>
    </row>
    <row r="55" spans="1:12" ht="13">
      <c r="A55" s="190"/>
      <c r="B55" s="110" t="s">
        <v>1187</v>
      </c>
      <c r="C55" s="110"/>
      <c r="D55" s="110"/>
      <c r="E55" s="110"/>
      <c r="F55" s="110"/>
      <c r="G55" s="110"/>
      <c r="H55" s="110"/>
      <c r="I55" s="110"/>
      <c r="J55" s="110"/>
      <c r="K55" s="110"/>
      <c r="L55" s="110"/>
    </row>
    <row r="56" spans="1:12" ht="13">
      <c r="A56" s="190"/>
      <c r="B56" s="196" t="s">
        <v>1188</v>
      </c>
      <c r="C56" s="110"/>
      <c r="D56" s="110"/>
      <c r="E56" s="110"/>
      <c r="F56" s="110"/>
      <c r="G56" s="110"/>
      <c r="H56" s="110"/>
      <c r="I56" s="110"/>
      <c r="J56" s="110"/>
      <c r="K56" s="110"/>
      <c r="L56" s="110"/>
    </row>
    <row r="57" spans="1:12" ht="13">
      <c r="A57" s="190"/>
      <c r="C57" s="110"/>
      <c r="D57" s="110"/>
      <c r="E57" s="110"/>
      <c r="F57" s="110"/>
      <c r="G57" s="110"/>
      <c r="H57" s="110"/>
      <c r="I57" s="110"/>
      <c r="J57" s="110"/>
      <c r="K57" s="110"/>
      <c r="L57" s="110"/>
    </row>
    <row r="58" spans="1:12" ht="13">
      <c r="A58" s="190"/>
      <c r="B58" s="110" t="s">
        <v>409</v>
      </c>
      <c r="C58" s="110"/>
      <c r="D58" s="110"/>
      <c r="E58" s="110"/>
      <c r="F58" s="110"/>
      <c r="G58" s="110"/>
      <c r="H58" s="110"/>
      <c r="I58" s="110"/>
      <c r="J58" s="110"/>
      <c r="K58" s="110"/>
      <c r="L58" s="110"/>
    </row>
    <row r="59" spans="1:12" ht="13">
      <c r="A59" s="190"/>
      <c r="B59" s="178" t="s">
        <v>415</v>
      </c>
      <c r="C59" s="110"/>
      <c r="D59" s="110"/>
      <c r="E59" s="110"/>
      <c r="F59" s="110"/>
      <c r="G59" s="110"/>
      <c r="H59" s="110"/>
      <c r="I59" s="110"/>
      <c r="J59" s="110"/>
      <c r="K59" s="110"/>
      <c r="L59" s="110"/>
    </row>
    <row r="60" spans="1:12" ht="13">
      <c r="A60" s="190"/>
      <c r="J60" s="110"/>
      <c r="K60" s="110"/>
      <c r="L60" s="110"/>
    </row>
    <row r="61" spans="1:12" ht="13">
      <c r="A61" s="190"/>
      <c r="C61" s="110"/>
      <c r="D61" s="110"/>
      <c r="E61" s="110"/>
      <c r="F61" s="110"/>
      <c r="G61" s="110"/>
      <c r="H61" s="110"/>
      <c r="I61" s="110"/>
      <c r="J61" s="110"/>
      <c r="K61" s="110"/>
      <c r="L61" s="110"/>
    </row>
    <row r="62" spans="1:12" ht="13">
      <c r="A62" s="190"/>
      <c r="C62" s="110"/>
      <c r="D62" s="110"/>
      <c r="E62" s="110"/>
      <c r="F62" s="110"/>
      <c r="G62" s="110"/>
      <c r="H62" s="110"/>
      <c r="I62" s="110"/>
      <c r="J62" s="110"/>
      <c r="K62" s="110"/>
      <c r="L62" s="110"/>
    </row>
    <row r="63" spans="1:10" ht="13">
      <c r="A63" s="190"/>
      <c r="B63" s="315"/>
      <c r="C63" s="315"/>
      <c r="D63" s="78"/>
      <c r="E63" s="78"/>
      <c r="F63" s="78"/>
      <c r="G63" s="78"/>
      <c r="H63" s="78"/>
      <c r="I63" s="315"/>
      <c r="J63" s="315"/>
    </row>
    <row r="64" spans="1:10" ht="13">
      <c r="A64" s="189" t="s">
        <v>976</v>
      </c>
      <c r="C64" s="315"/>
      <c r="D64" s="78"/>
      <c r="E64" s="78"/>
      <c r="F64" s="78"/>
      <c r="G64" s="78"/>
      <c r="H64" s="78"/>
      <c r="I64" s="315"/>
      <c r="J64" s="315"/>
    </row>
    <row r="65" spans="1:10" ht="13">
      <c r="A65" s="190"/>
      <c r="B65" s="198" t="s">
        <v>198</v>
      </c>
      <c r="C65" s="179" t="s">
        <v>199</v>
      </c>
      <c r="D65" s="316" t="s">
        <v>200</v>
      </c>
      <c r="E65" s="316" t="s">
        <v>201</v>
      </c>
      <c r="F65" s="198"/>
      <c r="J65" s="315"/>
    </row>
    <row r="66" spans="1:10" ht="13">
      <c r="A66" s="190"/>
      <c r="B66" s="180" t="str">
        <f>+A64</f>
        <v>Prior Period Adjustments</v>
      </c>
      <c r="C66" s="181" t="s">
        <v>11</v>
      </c>
      <c r="D66" s="181" t="s">
        <v>297</v>
      </c>
      <c r="E66" s="181" t="s">
        <v>13</v>
      </c>
      <c r="J66" s="315"/>
    </row>
    <row r="67" spans="1:10" ht="13">
      <c r="A67" s="190"/>
      <c r="B67" s="317" t="s">
        <v>390</v>
      </c>
      <c r="C67" s="318" t="s">
        <v>353</v>
      </c>
      <c r="D67" s="317" t="s">
        <v>390</v>
      </c>
      <c r="E67" s="318" t="s">
        <v>354</v>
      </c>
      <c r="J67" s="315"/>
    </row>
    <row r="68" spans="1:10" ht="13">
      <c r="A68" s="190" t="s">
        <v>132</v>
      </c>
      <c r="B68" s="360">
        <v>0</v>
      </c>
      <c r="C68" s="361">
        <v>0</v>
      </c>
      <c r="D68" s="361">
        <v>0</v>
      </c>
      <c r="E68" s="362">
        <f>+C68+D68</f>
        <v>0</v>
      </c>
      <c r="J68" s="315"/>
    </row>
    <row r="69" spans="1:10" ht="13">
      <c r="A69" s="190"/>
      <c r="B69" s="182"/>
      <c r="C69" s="14"/>
      <c r="D69" s="14"/>
      <c r="E69" s="151"/>
      <c r="J69" s="315"/>
    </row>
    <row r="70" spans="1:10" ht="13">
      <c r="A70" s="190"/>
      <c r="C70" s="315"/>
      <c r="D70" s="315"/>
      <c r="E70" s="315"/>
      <c r="F70" s="315"/>
      <c r="G70" s="315"/>
      <c r="H70" s="90"/>
      <c r="J70" s="315"/>
    </row>
    <row r="71" spans="1:10" ht="66" customHeight="1" thickBot="1">
      <c r="A71" s="926" t="s">
        <v>182</v>
      </c>
      <c r="C71" s="109"/>
      <c r="D71" s="319"/>
      <c r="E71" s="319"/>
      <c r="F71" s="319"/>
      <c r="G71" s="319"/>
      <c r="H71" s="319"/>
      <c r="I71" s="319"/>
      <c r="J71" s="315"/>
    </row>
    <row r="72" spans="1:11" ht="49.9" customHeight="1">
      <c r="A72" s="72" t="s">
        <v>58</v>
      </c>
      <c r="B72" s="1066" t="s">
        <v>425</v>
      </c>
      <c r="C72" s="1066"/>
      <c r="D72" s="1066"/>
      <c r="E72" s="1066"/>
      <c r="F72" s="1066"/>
      <c r="G72" s="1066"/>
      <c r="H72" s="1066"/>
      <c r="I72" s="1066"/>
      <c r="J72" s="1066"/>
      <c r="K72" s="1066"/>
    </row>
    <row r="73" spans="1:11" ht="27" customHeight="1">
      <c r="A73" s="183" t="s">
        <v>59</v>
      </c>
      <c r="B73" s="1057" t="s">
        <v>1410</v>
      </c>
      <c r="C73" s="1057"/>
      <c r="D73" s="1057"/>
      <c r="E73" s="1057"/>
      <c r="F73" s="1057"/>
      <c r="G73" s="1057"/>
      <c r="H73" s="1057"/>
      <c r="I73" s="1057"/>
      <c r="J73" s="1057"/>
      <c r="K73" s="1057"/>
    </row>
    <row r="74" spans="1:11" ht="13">
      <c r="A74" s="183" t="s">
        <v>60</v>
      </c>
      <c r="B74" s="1057" t="s">
        <v>1567</v>
      </c>
      <c r="C74" s="1057"/>
      <c r="D74" s="1057"/>
      <c r="E74" s="1057"/>
      <c r="F74" s="1057"/>
      <c r="G74" s="1057"/>
      <c r="H74" s="1057"/>
      <c r="I74" s="1057"/>
      <c r="J74" s="1057"/>
      <c r="K74" s="1057"/>
    </row>
    <row r="78" ht="24" customHeight="1"/>
  </sheetData>
  <mergeCells count="7">
    <mergeCell ref="B73:K73"/>
    <mergeCell ref="B74:K74"/>
    <mergeCell ref="B16:B17"/>
    <mergeCell ref="D10:E10"/>
    <mergeCell ref="D11:E11"/>
    <mergeCell ref="C16:C17"/>
    <mergeCell ref="B72:K72"/>
  </mergeCells>
  <pageMargins left="0.25" right="0.25" top="0.75" bottom="0.75" header="0.3" footer="0.3"/>
  <pageSetup orientation="landscape" scale="1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4"/>
  <sheetViews>
    <sheetView view="pageBreakPreview" zoomScale="70" zoomScaleNormal="85" zoomScaleSheetLayoutView="70" workbookViewId="0" topLeftCell="A1">
      <selection pane="topLeft" activeCell="A1" sqref="A1"/>
    </sheetView>
  </sheetViews>
  <sheetFormatPr defaultColWidth="8.84375" defaultRowHeight="13"/>
  <cols>
    <col min="1" max="1" width="4.85714285714286" style="320" customWidth="1"/>
    <col min="2" max="2" width="29" style="109" bestFit="1" customWidth="1"/>
    <col min="3" max="3" width="35.5" style="109" customWidth="1"/>
    <col min="4" max="4" width="19.2142857142857" style="109" customWidth="1"/>
    <col min="5" max="5" width="20.2857142857143" style="109" customWidth="1"/>
    <col min="6" max="6" width="19.7142857142857" style="109" customWidth="1"/>
    <col min="7" max="7" width="21.0714285714286" style="109" customWidth="1"/>
    <col min="8" max="9" width="21.4285714285714" style="109" customWidth="1"/>
    <col min="10" max="12" width="18.4285714285714" style="109" customWidth="1"/>
    <col min="13" max="14" width="11.7857142857143" style="109" customWidth="1"/>
    <col min="15" max="16384" width="8.85714285714286" style="109"/>
  </cols>
  <sheetData>
    <row r="1" spans="3:12" ht="13">
      <c r="C1" s="114"/>
      <c r="D1" s="114"/>
      <c r="E1" s="114"/>
      <c r="G1" s="427" t="s">
        <v>191</v>
      </c>
      <c r="H1" s="114"/>
      <c r="I1" s="114"/>
      <c r="L1" s="321" t="s">
        <v>422</v>
      </c>
    </row>
    <row r="2" spans="1:12" ht="13">
      <c r="A2" s="174"/>
      <c r="C2" s="114"/>
      <c r="D2" s="114"/>
      <c r="E2" s="114"/>
      <c r="F2" s="114"/>
      <c r="G2" s="231" t="s">
        <v>260</v>
      </c>
      <c r="H2" s="114"/>
      <c r="I2" s="114"/>
      <c r="J2" s="114"/>
      <c r="L2" s="228"/>
    </row>
    <row r="3" spans="1:10" ht="13">
      <c r="A3" s="174"/>
      <c r="C3" s="114"/>
      <c r="D3" s="114"/>
      <c r="E3" s="114"/>
      <c r="F3" s="114"/>
      <c r="G3" s="202" t="str">
        <f>+'Attachment H-7'!D5</f>
        <v>PECO Energy Company</v>
      </c>
      <c r="H3" s="114"/>
      <c r="I3" s="114"/>
      <c r="J3" s="114"/>
    </row>
    <row r="4" spans="1:10" ht="13">
      <c r="A4" s="174"/>
      <c r="C4" s="114"/>
      <c r="D4" s="114"/>
      <c r="E4" s="114"/>
      <c r="F4" s="114"/>
      <c r="G4" s="114"/>
      <c r="H4" s="114"/>
      <c r="I4" s="114"/>
      <c r="J4" s="114"/>
    </row>
    <row r="5" spans="1:10" ht="13">
      <c r="A5" s="174"/>
      <c r="B5" s="322"/>
      <c r="C5" s="322"/>
      <c r="D5" s="322"/>
      <c r="E5" s="322"/>
      <c r="F5" s="322"/>
      <c r="G5" s="322"/>
      <c r="H5" s="322"/>
      <c r="I5" s="322"/>
      <c r="J5" s="322"/>
    </row>
    <row r="6" spans="1:12" ht="13">
      <c r="A6" s="174"/>
      <c r="B6" s="322"/>
      <c r="C6" s="1071" t="s">
        <v>209</v>
      </c>
      <c r="D6" s="1072"/>
      <c r="E6" s="1073"/>
      <c r="F6" s="338" t="s">
        <v>211</v>
      </c>
      <c r="G6" s="338" t="s">
        <v>212</v>
      </c>
      <c r="H6" s="338" t="s">
        <v>210</v>
      </c>
      <c r="I6" s="338"/>
      <c r="J6" s="1068" t="s">
        <v>208</v>
      </c>
      <c r="K6" s="1069"/>
      <c r="L6" s="1070"/>
    </row>
    <row r="7" spans="1:12" s="324" customFormat="1" ht="26">
      <c r="A7" s="323" t="s">
        <v>197</v>
      </c>
      <c r="B7" s="175" t="s">
        <v>167</v>
      </c>
      <c r="C7" s="175" t="s">
        <v>17</v>
      </c>
      <c r="D7" s="175" t="s">
        <v>660</v>
      </c>
      <c r="E7" s="331" t="s">
        <v>702</v>
      </c>
      <c r="F7" s="175" t="s">
        <v>391</v>
      </c>
      <c r="G7" s="175" t="s">
        <v>168</v>
      </c>
      <c r="H7" s="175" t="s">
        <v>169</v>
      </c>
      <c r="I7" s="175" t="s">
        <v>170</v>
      </c>
      <c r="J7" s="175" t="s">
        <v>17</v>
      </c>
      <c r="K7" s="175" t="s">
        <v>660</v>
      </c>
      <c r="L7" s="331" t="s">
        <v>702</v>
      </c>
    </row>
    <row r="8" spans="1:12" s="287" customFormat="1" ht="13">
      <c r="A8" s="174"/>
      <c r="B8" s="338" t="s">
        <v>198</v>
      </c>
      <c r="C8" s="338" t="s">
        <v>199</v>
      </c>
      <c r="D8" s="338" t="s">
        <v>200</v>
      </c>
      <c r="E8" s="175" t="s">
        <v>1149</v>
      </c>
      <c r="F8" s="175" t="s">
        <v>203</v>
      </c>
      <c r="G8" s="175" t="s">
        <v>202</v>
      </c>
      <c r="H8" s="175" t="s">
        <v>204</v>
      </c>
      <c r="I8" s="1" t="s">
        <v>1148</v>
      </c>
      <c r="J8" s="1" t="s">
        <v>1150</v>
      </c>
      <c r="K8" s="1" t="s">
        <v>1151</v>
      </c>
      <c r="L8" s="1" t="s">
        <v>1152</v>
      </c>
    </row>
    <row r="9" spans="1:12" s="287" customFormat="1" ht="13">
      <c r="A9" s="174"/>
      <c r="B9" s="184" t="s">
        <v>393</v>
      </c>
      <c r="C9" s="231">
        <v>2</v>
      </c>
      <c r="D9" s="231">
        <v>4</v>
      </c>
      <c r="E9" s="343">
        <v>5</v>
      </c>
      <c r="F9" s="341">
        <v>27</v>
      </c>
      <c r="G9" s="341">
        <v>31</v>
      </c>
      <c r="H9" s="341">
        <v>34</v>
      </c>
      <c r="I9" s="341">
        <v>35</v>
      </c>
      <c r="J9" s="342">
        <v>9</v>
      </c>
      <c r="K9" s="342">
        <v>11</v>
      </c>
      <c r="L9" s="343">
        <v>12</v>
      </c>
    </row>
    <row r="10" spans="1:12" s="287" customFormat="1" ht="77.25" customHeight="1">
      <c r="A10" s="174"/>
      <c r="B10" s="338"/>
      <c r="C10" s="325" t="s">
        <v>667</v>
      </c>
      <c r="D10" s="210" t="s">
        <v>666</v>
      </c>
      <c r="E10" s="326" t="s">
        <v>1122</v>
      </c>
      <c r="F10" s="326" t="s">
        <v>103</v>
      </c>
      <c r="G10" s="210" t="s">
        <v>924</v>
      </c>
      <c r="H10" s="210" t="s">
        <v>1576</v>
      </c>
      <c r="I10" s="210" t="s">
        <v>302</v>
      </c>
      <c r="J10" s="210" t="s">
        <v>449</v>
      </c>
      <c r="K10" s="210" t="s">
        <v>659</v>
      </c>
      <c r="L10" s="326" t="s">
        <v>1122</v>
      </c>
    </row>
    <row r="11" spans="1:12" ht="13">
      <c r="A11" s="174">
        <v>1</v>
      </c>
      <c r="B11" s="327" t="s">
        <v>195</v>
      </c>
      <c r="C11" s="372">
        <v>1611375788</v>
      </c>
      <c r="D11" s="372">
        <v>273765316</v>
      </c>
      <c r="E11" s="372">
        <v>589225120.88320005</v>
      </c>
      <c r="F11" s="372">
        <v>0</v>
      </c>
      <c r="G11" s="372">
        <v>1141404.6000000001</v>
      </c>
      <c r="H11" s="372">
        <v>12899807.336660909</v>
      </c>
      <c r="I11" s="372">
        <v>1170892.4827870003</v>
      </c>
      <c r="J11" s="372">
        <v>502822050.15999997</v>
      </c>
      <c r="K11" s="372">
        <v>74681276.480000004</v>
      </c>
      <c r="L11" s="372">
        <v>283339966.83827198</v>
      </c>
    </row>
    <row r="12" spans="1:12" ht="13">
      <c r="A12" s="174">
        <v>2</v>
      </c>
      <c r="B12" s="327" t="s">
        <v>84</v>
      </c>
      <c r="C12" s="372">
        <v>1622558712.7280376</v>
      </c>
      <c r="D12" s="372">
        <v>274164100.88999999</v>
      </c>
      <c r="E12" s="373">
        <v>622958373.79212797</v>
      </c>
      <c r="F12" s="373">
        <v>0</v>
      </c>
      <c r="G12" s="373">
        <v>1141404.6000000001</v>
      </c>
      <c r="H12" s="373">
        <v>13355337.150049359</v>
      </c>
      <c r="I12" s="373">
        <v>1177054.123341738</v>
      </c>
      <c r="J12" s="372">
        <v>505005889.06542641</v>
      </c>
      <c r="K12" s="372">
        <v>75966860.964741349</v>
      </c>
      <c r="L12" s="372">
        <v>285812475.79532737</v>
      </c>
    </row>
    <row r="13" spans="1:12" ht="13">
      <c r="A13" s="174">
        <v>3</v>
      </c>
      <c r="B13" s="114" t="s">
        <v>83</v>
      </c>
      <c r="C13" s="372">
        <v>1625225092.0165083</v>
      </c>
      <c r="D13" s="372">
        <v>274550848.82999998</v>
      </c>
      <c r="E13" s="373">
        <v>628770147.84345603</v>
      </c>
      <c r="F13" s="373">
        <v>0</v>
      </c>
      <c r="G13" s="373">
        <v>1141404.6000000001</v>
      </c>
      <c r="H13" s="373">
        <v>13191630.132446861</v>
      </c>
      <c r="I13" s="373">
        <v>1468020.7303056957</v>
      </c>
      <c r="J13" s="372">
        <v>507199560.35866219</v>
      </c>
      <c r="K13" s="372">
        <v>77238571.597615525</v>
      </c>
      <c r="L13" s="372">
        <v>288562417.39165556</v>
      </c>
    </row>
    <row r="14" spans="1:12" ht="13">
      <c r="A14" s="174">
        <v>4</v>
      </c>
      <c r="B14" s="114" t="s">
        <v>171</v>
      </c>
      <c r="C14" s="372">
        <v>1628832331.9825437</v>
      </c>
      <c r="D14" s="372">
        <v>274956587.82999998</v>
      </c>
      <c r="E14" s="373">
        <v>635077820.2801919</v>
      </c>
      <c r="F14" s="373">
        <v>0</v>
      </c>
      <c r="G14" s="373">
        <v>1141404.6000000001</v>
      </c>
      <c r="H14" s="373">
        <v>14054169.508615065</v>
      </c>
      <c r="I14" s="373">
        <v>1503394.0799935781</v>
      </c>
      <c r="J14" s="372">
        <v>509395138.50901306</v>
      </c>
      <c r="K14" s="372">
        <v>78496729.491353571</v>
      </c>
      <c r="L14" s="372">
        <v>291323272.06496811</v>
      </c>
    </row>
    <row r="15" spans="1:12" ht="13">
      <c r="A15" s="174">
        <v>5</v>
      </c>
      <c r="B15" s="114" t="s">
        <v>74</v>
      </c>
      <c r="C15" s="372">
        <v>1633171102.0367365</v>
      </c>
      <c r="D15" s="372">
        <v>275431528.60999995</v>
      </c>
      <c r="E15" s="373">
        <v>643059923.22816002</v>
      </c>
      <c r="F15" s="373">
        <v>0</v>
      </c>
      <c r="G15" s="373">
        <v>1141404.6000000001</v>
      </c>
      <c r="H15" s="373">
        <v>13177750.583280385</v>
      </c>
      <c r="I15" s="373">
        <v>1642131.225411624</v>
      </c>
      <c r="J15" s="372">
        <v>511594364.97174591</v>
      </c>
      <c r="K15" s="372">
        <v>79741909.623353392</v>
      </c>
      <c r="L15" s="372">
        <v>294126025.80535871</v>
      </c>
    </row>
    <row r="16" spans="1:12" ht="13">
      <c r="A16" s="174">
        <v>6</v>
      </c>
      <c r="B16" s="114" t="s">
        <v>73</v>
      </c>
      <c r="C16" s="372">
        <v>1646924876.3680129</v>
      </c>
      <c r="D16" s="372">
        <v>275906818.27999997</v>
      </c>
      <c r="E16" s="373">
        <v>649996794.41254401</v>
      </c>
      <c r="F16" s="373">
        <v>0</v>
      </c>
      <c r="G16" s="373">
        <v>1141404.6000000001</v>
      </c>
      <c r="H16" s="373">
        <v>13012938.819244141</v>
      </c>
      <c r="I16" s="373">
        <v>1399195.2233572898</v>
      </c>
      <c r="J16" s="372">
        <v>513807820.40831137</v>
      </c>
      <c r="K16" s="372">
        <v>80974634.424752131</v>
      </c>
      <c r="L16" s="372">
        <v>296973755.1166839</v>
      </c>
    </row>
    <row r="17" spans="1:12" ht="13">
      <c r="A17" s="174">
        <v>7</v>
      </c>
      <c r="B17" s="114" t="s">
        <v>93</v>
      </c>
      <c r="C17" s="372">
        <v>1660987012.9328182</v>
      </c>
      <c r="D17" s="372">
        <v>276406667.59999996</v>
      </c>
      <c r="E17" s="373">
        <v>657233762.18854403</v>
      </c>
      <c r="F17" s="373">
        <v>0</v>
      </c>
      <c r="G17" s="373">
        <v>360384</v>
      </c>
      <c r="H17" s="373">
        <v>13132445.666025329</v>
      </c>
      <c r="I17" s="373">
        <v>1826624.5831349113</v>
      </c>
      <c r="J17" s="372">
        <v>516045621.81784207</v>
      </c>
      <c r="K17" s="372">
        <v>82195261.107377142</v>
      </c>
      <c r="L17" s="372">
        <v>299859430.7860384</v>
      </c>
    </row>
    <row r="18" spans="1:12" ht="13">
      <c r="A18" s="174">
        <v>8</v>
      </c>
      <c r="B18" s="114" t="s">
        <v>81</v>
      </c>
      <c r="C18" s="372">
        <v>1666005018.1845584</v>
      </c>
      <c r="D18" s="372">
        <v>276938936.10999995</v>
      </c>
      <c r="E18" s="373">
        <v>664949164.414976</v>
      </c>
      <c r="F18" s="373">
        <v>0</v>
      </c>
      <c r="G18" s="373">
        <v>360384.10000000003</v>
      </c>
      <c r="H18" s="373">
        <v>13299137.164404953</v>
      </c>
      <c r="I18" s="373">
        <v>1321766.571332704</v>
      </c>
      <c r="J18" s="372">
        <v>518298602.81756705</v>
      </c>
      <c r="K18" s="372">
        <v>83404219.744314536</v>
      </c>
      <c r="L18" s="372">
        <v>302786596.48692471</v>
      </c>
    </row>
    <row r="19" spans="1:12" ht="13">
      <c r="A19" s="174">
        <v>9</v>
      </c>
      <c r="B19" s="114" t="s">
        <v>172</v>
      </c>
      <c r="C19" s="372">
        <v>1670786409.2340081</v>
      </c>
      <c r="D19" s="372">
        <v>277499859.62999994</v>
      </c>
      <c r="E19" s="373">
        <v>673247161.72479999</v>
      </c>
      <c r="F19" s="373">
        <v>0</v>
      </c>
      <c r="G19" s="373">
        <v>360384.10000000003</v>
      </c>
      <c r="H19" s="373">
        <v>13604281.220214199</v>
      </c>
      <c r="I19" s="373">
        <v>1134358.8053027566</v>
      </c>
      <c r="J19" s="372">
        <v>520557047.46652389</v>
      </c>
      <c r="K19" s="372">
        <v>84601944.361240804</v>
      </c>
      <c r="L19" s="372">
        <v>305764097.07379812</v>
      </c>
    </row>
    <row r="20" spans="1:12" ht="13">
      <c r="A20" s="174">
        <v>10</v>
      </c>
      <c r="B20" s="114" t="s">
        <v>79</v>
      </c>
      <c r="C20" s="372">
        <v>1680365669.9154248</v>
      </c>
      <c r="D20" s="372">
        <v>278051074.50999993</v>
      </c>
      <c r="E20" s="373">
        <v>682702070.05887997</v>
      </c>
      <c r="F20" s="373">
        <v>0</v>
      </c>
      <c r="G20" s="373">
        <v>244518.93999999997</v>
      </c>
      <c r="H20" s="373">
        <v>13564403.983337855</v>
      </c>
      <c r="I20" s="373">
        <v>1234717.8505224681</v>
      </c>
      <c r="J20" s="372">
        <v>522825704.34698027</v>
      </c>
      <c r="K20" s="372">
        <v>85788761.670015842</v>
      </c>
      <c r="L20" s="372">
        <v>308792053.2105096</v>
      </c>
    </row>
    <row r="21" spans="1:12" ht="13">
      <c r="A21" s="174">
        <v>11</v>
      </c>
      <c r="B21" s="114" t="s">
        <v>85</v>
      </c>
      <c r="C21" s="372">
        <v>1690267767.4247687</v>
      </c>
      <c r="D21" s="372">
        <v>278570913.33999991</v>
      </c>
      <c r="E21" s="373">
        <v>690638115.3247999</v>
      </c>
      <c r="F21" s="373">
        <v>0</v>
      </c>
      <c r="G21" s="373">
        <v>244519.27000000002</v>
      </c>
      <c r="H21" s="373">
        <v>13207655.131544577</v>
      </c>
      <c r="I21" s="373">
        <v>1579536.5152145827</v>
      </c>
      <c r="J21" s="372">
        <v>525111396.14211035</v>
      </c>
      <c r="K21" s="372">
        <v>86964806.121347472</v>
      </c>
      <c r="L21" s="372">
        <v>311850364.91017991</v>
      </c>
    </row>
    <row r="22" spans="1:12" ht="13">
      <c r="A22" s="174">
        <v>12</v>
      </c>
      <c r="B22" s="114" t="s">
        <v>78</v>
      </c>
      <c r="C22" s="372">
        <v>1698507383.9620667</v>
      </c>
      <c r="D22" s="372">
        <v>279036991.32999992</v>
      </c>
      <c r="E22" s="373">
        <v>697660029.17606401</v>
      </c>
      <c r="F22" s="373">
        <v>0</v>
      </c>
      <c r="G22" s="373">
        <v>244519.27000000002</v>
      </c>
      <c r="H22" s="373">
        <v>13249323.070558511</v>
      </c>
      <c r="I22" s="373">
        <v>1752720.4587439492</v>
      </c>
      <c r="J22" s="372">
        <v>527411189.64525038</v>
      </c>
      <c r="K22" s="372">
        <v>88130084.058794424</v>
      </c>
      <c r="L22" s="372">
        <v>314921622.82062107</v>
      </c>
    </row>
    <row r="23" spans="1:12" ht="13">
      <c r="A23" s="174">
        <v>13</v>
      </c>
      <c r="B23" s="114" t="s">
        <v>196</v>
      </c>
      <c r="C23" s="372">
        <v>1734595293.7880368</v>
      </c>
      <c r="D23" s="372">
        <v>279495337.07999992</v>
      </c>
      <c r="E23" s="372">
        <v>711661587.52102399</v>
      </c>
      <c r="F23" s="372">
        <v>0</v>
      </c>
      <c r="G23" s="372">
        <v>244519.27000000002</v>
      </c>
      <c r="H23" s="372">
        <v>13217722.852653034</v>
      </c>
      <c r="I23" s="372">
        <v>1490809.4852337933</v>
      </c>
      <c r="J23" s="372">
        <v>529752380.81836385</v>
      </c>
      <c r="K23" s="372">
        <v>89284674.664166659</v>
      </c>
      <c r="L23" s="372">
        <v>318073862.13534462</v>
      </c>
    </row>
    <row r="24" spans="1:12" ht="13.5" thickBot="1">
      <c r="A24" s="174">
        <v>14</v>
      </c>
      <c r="B24" s="321" t="s">
        <v>261</v>
      </c>
      <c r="C24" s="527">
        <f t="shared" si="0" ref="C24:E24">SUM(C11:C23)/13</f>
        <v>1659200189.1210401</v>
      </c>
      <c r="D24" s="527">
        <f t="shared" si="0"/>
        <v>276521152.31076914</v>
      </c>
      <c r="E24" s="527">
        <f t="shared" si="0"/>
        <v>657475390.06528974</v>
      </c>
      <c r="F24" s="527">
        <f t="shared" si="1" ref="F24:L24">SUM(F11:F23)/13</f>
        <v>0</v>
      </c>
      <c r="G24" s="527">
        <f t="shared" si="1"/>
        <v>685204.34999999986</v>
      </c>
      <c r="H24" s="527">
        <f t="shared" si="1"/>
        <v>13305123.278387321</v>
      </c>
      <c r="I24" s="527">
        <f t="shared" si="1"/>
        <v>1438555.5488216993</v>
      </c>
      <c r="J24" s="527">
        <f t="shared" si="1"/>
        <v>516140520.5021382</v>
      </c>
      <c r="K24" s="527">
        <f t="shared" si="1"/>
        <v>82113056.485313296</v>
      </c>
      <c r="L24" s="527">
        <f t="shared" si="1"/>
        <v>300168149.26428324</v>
      </c>
    </row>
    <row r="25" spans="1:9" ht="13.5" thickTop="1">
      <c r="A25" s="174"/>
      <c r="B25" s="114"/>
      <c r="C25" s="328"/>
      <c r="D25" s="329"/>
      <c r="E25" s="329"/>
      <c r="F25" s="329"/>
      <c r="G25" s="328"/>
      <c r="H25" s="328"/>
      <c r="I25" s="328"/>
    </row>
    <row r="26" spans="1:9" ht="13">
      <c r="A26" s="174"/>
      <c r="B26" s="330"/>
      <c r="C26" s="1074" t="s">
        <v>213</v>
      </c>
      <c r="D26" s="1074"/>
      <c r="E26" s="1074"/>
      <c r="F26" s="1074"/>
      <c r="G26" s="1074"/>
      <c r="H26" s="1074"/>
      <c r="I26" s="1074"/>
    </row>
    <row r="27" spans="1:10" ht="72" customHeight="1">
      <c r="A27" s="174" t="s">
        <v>197</v>
      </c>
      <c r="B27" s="338" t="s">
        <v>167</v>
      </c>
      <c r="C27" s="1" t="s">
        <v>173</v>
      </c>
      <c r="D27" s="1" t="s">
        <v>174</v>
      </c>
      <c r="E27" s="1" t="s">
        <v>339</v>
      </c>
      <c r="F27" s="1" t="s">
        <v>340</v>
      </c>
      <c r="G27" s="1" t="s">
        <v>341</v>
      </c>
      <c r="H27" s="1" t="s">
        <v>392</v>
      </c>
      <c r="I27" s="1" t="s">
        <v>263</v>
      </c>
      <c r="J27" s="611" t="s">
        <v>654</v>
      </c>
    </row>
    <row r="28" spans="1:10" s="287" customFormat="1" ht="13">
      <c r="A28" s="174"/>
      <c r="B28" s="338" t="s">
        <v>198</v>
      </c>
      <c r="C28" s="1" t="s">
        <v>199</v>
      </c>
      <c r="D28" s="1" t="s">
        <v>200</v>
      </c>
      <c r="E28" s="1" t="s">
        <v>201</v>
      </c>
      <c r="F28" s="1" t="s">
        <v>203</v>
      </c>
      <c r="G28" s="1" t="s">
        <v>202</v>
      </c>
      <c r="H28" s="1" t="s">
        <v>204</v>
      </c>
      <c r="I28" s="1" t="s">
        <v>205</v>
      </c>
      <c r="J28" s="611" t="s">
        <v>206</v>
      </c>
    </row>
    <row r="29" spans="1:10" s="287" customFormat="1" ht="13">
      <c r="A29" s="174"/>
      <c r="B29" s="184" t="s">
        <v>393</v>
      </c>
      <c r="C29" s="141">
        <v>28</v>
      </c>
      <c r="D29" s="141">
        <v>29</v>
      </c>
      <c r="E29" s="141">
        <v>22</v>
      </c>
      <c r="F29" s="141">
        <v>23</v>
      </c>
      <c r="G29" s="141">
        <v>24</v>
      </c>
      <c r="H29" s="141">
        <v>25</v>
      </c>
      <c r="I29" s="141">
        <v>26</v>
      </c>
      <c r="J29" s="149" t="s">
        <v>653</v>
      </c>
    </row>
    <row r="30" spans="1:10" s="287" customFormat="1" ht="51" customHeight="1">
      <c r="A30" s="174"/>
      <c r="B30" s="338"/>
      <c r="C30" s="175" t="s">
        <v>337</v>
      </c>
      <c r="D30" s="1" t="s">
        <v>338</v>
      </c>
      <c r="E30" s="1" t="s">
        <v>705</v>
      </c>
      <c r="F30" s="1" t="s">
        <v>706</v>
      </c>
      <c r="G30" s="1" t="s">
        <v>707</v>
      </c>
      <c r="H30" s="1" t="s">
        <v>708</v>
      </c>
      <c r="I30" s="1" t="s">
        <v>795</v>
      </c>
      <c r="J30" s="331" t="s">
        <v>1337</v>
      </c>
    </row>
    <row r="31" spans="1:10" ht="13">
      <c r="A31" s="174">
        <v>15</v>
      </c>
      <c r="B31" s="327" t="s">
        <v>195</v>
      </c>
      <c r="C31" s="372">
        <v>0</v>
      </c>
      <c r="D31" s="372">
        <v>0</v>
      </c>
      <c r="E31" s="339"/>
      <c r="F31" s="339"/>
      <c r="G31" s="339"/>
      <c r="H31" s="339"/>
      <c r="I31" s="372">
        <v>0</v>
      </c>
      <c r="J31" s="372">
        <v>26927374.960411768</v>
      </c>
    </row>
    <row r="32" spans="1:10" ht="13">
      <c r="A32" s="174">
        <v>16</v>
      </c>
      <c r="B32" s="327" t="s">
        <v>84</v>
      </c>
      <c r="C32" s="372">
        <v>0</v>
      </c>
      <c r="D32" s="372">
        <v>0</v>
      </c>
      <c r="E32" s="339"/>
      <c r="F32" s="339"/>
      <c r="G32" s="339"/>
      <c r="H32" s="339"/>
      <c r="I32" s="372">
        <v>0</v>
      </c>
      <c r="J32" s="372">
        <v>28643300.519202802</v>
      </c>
    </row>
    <row r="33" spans="1:10" ht="13">
      <c r="A33" s="174">
        <v>17</v>
      </c>
      <c r="B33" s="114" t="s">
        <v>83</v>
      </c>
      <c r="C33" s="372">
        <v>0</v>
      </c>
      <c r="D33" s="372">
        <v>0</v>
      </c>
      <c r="E33" s="339"/>
      <c r="F33" s="339"/>
      <c r="G33" s="339"/>
      <c r="H33" s="339"/>
      <c r="I33" s="372">
        <v>0</v>
      </c>
      <c r="J33" s="372">
        <v>28546634.924407315</v>
      </c>
    </row>
    <row r="34" spans="1:10" ht="13">
      <c r="A34" s="174">
        <v>18</v>
      </c>
      <c r="B34" s="114" t="s">
        <v>171</v>
      </c>
      <c r="C34" s="372">
        <v>0</v>
      </c>
      <c r="D34" s="372">
        <v>0</v>
      </c>
      <c r="E34" s="339"/>
      <c r="F34" s="339"/>
      <c r="G34" s="339"/>
      <c r="H34" s="339"/>
      <c r="I34" s="372">
        <v>0</v>
      </c>
      <c r="J34" s="372">
        <v>28432558.951232187</v>
      </c>
    </row>
    <row r="35" spans="1:10" ht="13">
      <c r="A35" s="174">
        <v>19</v>
      </c>
      <c r="B35" s="114" t="s">
        <v>74</v>
      </c>
      <c r="C35" s="372">
        <v>0</v>
      </c>
      <c r="D35" s="372">
        <v>0</v>
      </c>
      <c r="E35" s="339"/>
      <c r="F35" s="339"/>
      <c r="G35" s="339"/>
      <c r="H35" s="339"/>
      <c r="I35" s="372">
        <v>0</v>
      </c>
      <c r="J35" s="372">
        <v>28313623.225868359</v>
      </c>
    </row>
    <row r="36" spans="1:10" ht="13">
      <c r="A36" s="174">
        <v>20</v>
      </c>
      <c r="B36" s="114" t="s">
        <v>73</v>
      </c>
      <c r="C36" s="372">
        <v>0</v>
      </c>
      <c r="D36" s="372">
        <v>0</v>
      </c>
      <c r="E36" s="339"/>
      <c r="F36" s="339"/>
      <c r="G36" s="339"/>
      <c r="H36" s="339"/>
      <c r="I36" s="372">
        <v>0</v>
      </c>
      <c r="J36" s="372">
        <v>28190629.362137444</v>
      </c>
    </row>
    <row r="37" spans="1:10" ht="13">
      <c r="A37" s="174">
        <v>21</v>
      </c>
      <c r="B37" s="114" t="s">
        <v>93</v>
      </c>
      <c r="C37" s="372">
        <v>0</v>
      </c>
      <c r="D37" s="372">
        <v>0</v>
      </c>
      <c r="E37" s="339"/>
      <c r="F37" s="339"/>
      <c r="G37" s="339"/>
      <c r="H37" s="339"/>
      <c r="I37" s="372">
        <v>0</v>
      </c>
      <c r="J37" s="372">
        <v>28067635.498406526</v>
      </c>
    </row>
    <row r="38" spans="1:10" ht="13">
      <c r="A38" s="174">
        <v>22</v>
      </c>
      <c r="B38" s="114" t="s">
        <v>81</v>
      </c>
      <c r="C38" s="372">
        <v>0</v>
      </c>
      <c r="D38" s="372">
        <v>0</v>
      </c>
      <c r="E38" s="339"/>
      <c r="F38" s="339"/>
      <c r="G38" s="339"/>
      <c r="H38" s="339"/>
      <c r="I38" s="372">
        <v>0</v>
      </c>
      <c r="J38" s="372">
        <v>27953862.753273685</v>
      </c>
    </row>
    <row r="39" spans="1:10" ht="13">
      <c r="A39" s="174">
        <v>23</v>
      </c>
      <c r="B39" s="114" t="s">
        <v>172</v>
      </c>
      <c r="C39" s="372">
        <v>0</v>
      </c>
      <c r="D39" s="372">
        <v>0</v>
      </c>
      <c r="E39" s="339"/>
      <c r="F39" s="339"/>
      <c r="G39" s="339"/>
      <c r="H39" s="339"/>
      <c r="I39" s="372">
        <v>0</v>
      </c>
      <c r="J39" s="372">
        <v>27835216.850337368</v>
      </c>
    </row>
    <row r="40" spans="1:10" ht="13">
      <c r="A40" s="174">
        <v>24</v>
      </c>
      <c r="B40" s="114" t="s">
        <v>79</v>
      </c>
      <c r="C40" s="372">
        <v>0</v>
      </c>
      <c r="D40" s="372">
        <v>0</v>
      </c>
      <c r="E40" s="339"/>
      <c r="F40" s="339"/>
      <c r="G40" s="339"/>
      <c r="H40" s="339"/>
      <c r="I40" s="372">
        <v>0</v>
      </c>
      <c r="J40" s="372">
        <v>27708454.670666877</v>
      </c>
    </row>
    <row r="41" spans="1:10" ht="13">
      <c r="A41" s="174">
        <v>25</v>
      </c>
      <c r="B41" s="114" t="s">
        <v>85</v>
      </c>
      <c r="C41" s="372">
        <v>0</v>
      </c>
      <c r="D41" s="372">
        <v>0</v>
      </c>
      <c r="E41" s="339"/>
      <c r="F41" s="339"/>
      <c r="G41" s="339"/>
      <c r="H41" s="339"/>
      <c r="I41" s="372">
        <v>0</v>
      </c>
      <c r="J41" s="372">
        <v>27587205.933090754</v>
      </c>
    </row>
    <row r="42" spans="1:10" ht="13">
      <c r="A42" s="174">
        <v>26</v>
      </c>
      <c r="B42" s="114" t="s">
        <v>78</v>
      </c>
      <c r="C42" s="372">
        <v>0</v>
      </c>
      <c r="D42" s="372">
        <v>0</v>
      </c>
      <c r="E42" s="339"/>
      <c r="F42" s="339"/>
      <c r="G42" s="339"/>
      <c r="H42" s="339"/>
      <c r="I42" s="372">
        <v>0</v>
      </c>
      <c r="J42" s="372">
        <v>27468755.158611212</v>
      </c>
    </row>
    <row r="43" spans="1:10" ht="13">
      <c r="A43" s="174">
        <v>27</v>
      </c>
      <c r="B43" s="114" t="s">
        <v>196</v>
      </c>
      <c r="C43" s="372">
        <v>0</v>
      </c>
      <c r="D43" s="372">
        <v>0</v>
      </c>
      <c r="E43" s="339"/>
      <c r="F43" s="339"/>
      <c r="G43" s="339"/>
      <c r="H43" s="339"/>
      <c r="I43" s="372">
        <v>0</v>
      </c>
      <c r="J43" s="372">
        <v>27614545.798896968</v>
      </c>
    </row>
    <row r="44" spans="1:10" ht="13.5" thickBot="1">
      <c r="A44" s="174">
        <v>28</v>
      </c>
      <c r="B44" s="340" t="s">
        <v>262</v>
      </c>
      <c r="C44" s="527">
        <f t="shared" si="2" ref="C44:I44">SUM(C31:C43)/13</f>
        <v>0</v>
      </c>
      <c r="D44" s="528">
        <f t="shared" si="2"/>
        <v>0</v>
      </c>
      <c r="E44" s="528" t="str">
        <f>+'4A - ADIT Summary'!M90</f>
        <v>Zero</v>
      </c>
      <c r="F44" s="527">
        <f>'4A - ADIT Summary'!M30</f>
        <v>-200013163.04214197</v>
      </c>
      <c r="G44" s="527">
        <f>'4A - ADIT Summary'!M34</f>
        <v>-11806600.003910126</v>
      </c>
      <c r="H44" s="527">
        <f>'4A - ADIT Summary'!M57</f>
        <v>15676016.413377274</v>
      </c>
      <c r="I44" s="527">
        <f t="shared" si="2"/>
        <v>0</v>
      </c>
      <c r="J44" s="527">
        <f>SUM(J31:J43)/13</f>
        <v>27945369.123580255</v>
      </c>
    </row>
    <row r="45" spans="1:10" ht="13.5" thickTop="1">
      <c r="A45" s="174"/>
      <c r="B45" s="114" t="s">
        <v>704</v>
      </c>
      <c r="E45" s="1075"/>
      <c r="F45" s="1075"/>
      <c r="G45" s="1075"/>
      <c r="H45" s="1075"/>
      <c r="I45" s="329"/>
      <c r="J45" s="228"/>
    </row>
    <row r="46" spans="1:10" ht="13">
      <c r="A46" s="174"/>
      <c r="J46" s="149"/>
    </row>
    <row r="47" ht="13">
      <c r="F47" s="427" t="s">
        <v>191</v>
      </c>
    </row>
    <row r="48" spans="1:15" ht="13">
      <c r="A48" s="174"/>
      <c r="C48" s="167"/>
      <c r="D48" s="167"/>
      <c r="E48" s="167"/>
      <c r="F48" s="231" t="s">
        <v>260</v>
      </c>
      <c r="G48" s="167"/>
      <c r="L48" s="287"/>
      <c r="M48" s="287"/>
      <c r="N48" s="287"/>
      <c r="O48" s="287"/>
    </row>
    <row r="49" spans="1:15" ht="18" customHeight="1">
      <c r="A49" s="174"/>
      <c r="C49" s="167"/>
      <c r="D49" s="167"/>
      <c r="E49" s="167"/>
      <c r="F49" s="202" t="str">
        <f>'Attachment H-7'!$D$5</f>
        <v>PECO Energy Company</v>
      </c>
      <c r="G49" s="167"/>
      <c r="K49" s="287"/>
      <c r="L49" s="287"/>
      <c r="M49" s="287"/>
      <c r="N49" s="287"/>
      <c r="O49" s="287"/>
    </row>
    <row r="50" spans="1:15" ht="13">
      <c r="A50" s="174"/>
      <c r="B50" s="149" t="s">
        <v>394</v>
      </c>
      <c r="C50" s="167"/>
      <c r="D50" s="167"/>
      <c r="E50" s="167"/>
      <c r="F50" s="202"/>
      <c r="G50" s="167"/>
      <c r="K50" s="287"/>
      <c r="L50" s="287"/>
      <c r="M50" s="287"/>
      <c r="N50" s="287"/>
      <c r="O50" s="287"/>
    </row>
    <row r="51" spans="1:16" ht="13">
      <c r="A51" s="174"/>
      <c r="B51" s="149" t="s">
        <v>198</v>
      </c>
      <c r="C51" s="149" t="s">
        <v>199</v>
      </c>
      <c r="D51" s="149" t="s">
        <v>200</v>
      </c>
      <c r="E51" s="149" t="s">
        <v>201</v>
      </c>
      <c r="F51" s="149" t="s">
        <v>203</v>
      </c>
      <c r="G51" s="149" t="s">
        <v>202</v>
      </c>
      <c r="H51" s="149" t="s">
        <v>204</v>
      </c>
      <c r="I51" s="149" t="s">
        <v>205</v>
      </c>
      <c r="J51" s="228" t="s">
        <v>154</v>
      </c>
      <c r="L51" s="287"/>
      <c r="M51" s="287"/>
      <c r="N51" s="287"/>
      <c r="O51" s="287"/>
      <c r="P51" s="287"/>
    </row>
    <row r="52" spans="1:16" ht="65">
      <c r="A52" s="174">
        <v>29</v>
      </c>
      <c r="B52" s="168" t="s">
        <v>325</v>
      </c>
      <c r="C52" s="108"/>
      <c r="D52" s="169" t="s">
        <v>11</v>
      </c>
      <c r="E52" s="169" t="s">
        <v>1274</v>
      </c>
      <c r="F52" s="169" t="s">
        <v>326</v>
      </c>
      <c r="G52" s="169" t="s">
        <v>423</v>
      </c>
      <c r="H52" s="170" t="s">
        <v>327</v>
      </c>
      <c r="I52" s="170" t="s">
        <v>328</v>
      </c>
      <c r="J52" s="168"/>
      <c r="K52" s="168"/>
      <c r="L52" s="168"/>
      <c r="M52" s="332"/>
      <c r="N52" s="287"/>
      <c r="O52" s="287"/>
      <c r="P52" s="287"/>
    </row>
    <row r="53" spans="1:16" ht="13">
      <c r="A53" s="174" t="s">
        <v>329</v>
      </c>
      <c r="B53" s="162"/>
      <c r="C53" s="505" t="s">
        <v>1242</v>
      </c>
      <c r="D53" s="506">
        <v>-1280524.689025335</v>
      </c>
      <c r="E53" s="507">
        <v>1</v>
      </c>
      <c r="F53" s="508">
        <v>1</v>
      </c>
      <c r="G53" s="509">
        <v>1</v>
      </c>
      <c r="H53" s="428">
        <f>'Attachment H-7'!I197</f>
        <v>0.09880621410235467</v>
      </c>
      <c r="I53" s="171">
        <f>+H53*E53*D53*F53*G53</f>
        <v>-126523.79658718838</v>
      </c>
      <c r="J53" s="168"/>
      <c r="K53" s="162"/>
      <c r="L53" s="162"/>
      <c r="M53" s="332"/>
      <c r="N53" s="287"/>
      <c r="O53" s="287"/>
      <c r="P53" s="287"/>
    </row>
    <row r="54" spans="1:16" ht="13">
      <c r="A54" s="174" t="s">
        <v>330</v>
      </c>
      <c r="B54" s="162"/>
      <c r="C54" s="505" t="s">
        <v>1243</v>
      </c>
      <c r="D54" s="506">
        <v>-173263.13865154321</v>
      </c>
      <c r="E54" s="507">
        <v>1</v>
      </c>
      <c r="F54" s="508">
        <v>1</v>
      </c>
      <c r="G54" s="509">
        <v>1</v>
      </c>
      <c r="H54" s="428">
        <f>H53</f>
        <v>0.09880621410235467</v>
      </c>
      <c r="I54" s="171">
        <f t="shared" si="3" ref="I54:I65">+H54*E54*D54*F54*G54</f>
        <v>-17119.474773650341</v>
      </c>
      <c r="J54" s="168"/>
      <c r="K54" s="162"/>
      <c r="L54" s="162"/>
      <c r="M54" s="332"/>
      <c r="N54" s="287"/>
      <c r="O54" s="287"/>
      <c r="P54" s="287"/>
    </row>
    <row r="55" spans="1:16" ht="13">
      <c r="A55" s="174" t="s">
        <v>331</v>
      </c>
      <c r="B55" s="162"/>
      <c r="C55" s="505" t="s">
        <v>920</v>
      </c>
      <c r="D55" s="506">
        <v>-1172299.4114695783</v>
      </c>
      <c r="E55" s="507">
        <v>1</v>
      </c>
      <c r="F55" s="508">
        <v>1</v>
      </c>
      <c r="G55" s="509">
        <v>1</v>
      </c>
      <c r="H55" s="428">
        <f t="shared" si="4" ref="H55:H58">H54</f>
        <v>0.09880621410235467</v>
      </c>
      <c r="I55" s="171">
        <f t="shared" si="3"/>
        <v>-115830.46664172753</v>
      </c>
      <c r="J55" s="168"/>
      <c r="K55" s="162"/>
      <c r="L55" s="162"/>
      <c r="M55" s="332"/>
      <c r="N55" s="287"/>
      <c r="O55" s="287"/>
      <c r="P55" s="287"/>
    </row>
    <row r="56" spans="1:16" ht="13">
      <c r="A56" s="174" t="s">
        <v>332</v>
      </c>
      <c r="B56" s="162"/>
      <c r="C56" s="505" t="s">
        <v>921</v>
      </c>
      <c r="D56" s="506">
        <v>-9929165.3573560938</v>
      </c>
      <c r="E56" s="507">
        <v>1</v>
      </c>
      <c r="F56" s="508">
        <v>1</v>
      </c>
      <c r="G56" s="509">
        <v>1</v>
      </c>
      <c r="H56" s="428">
        <f t="shared" si="4"/>
        <v>0.09880621410235467</v>
      </c>
      <c r="I56" s="171">
        <f t="shared" si="3"/>
        <v>-981063.23815660912</v>
      </c>
      <c r="J56" s="168"/>
      <c r="K56" s="162"/>
      <c r="L56" s="162"/>
      <c r="M56" s="332"/>
      <c r="N56" s="287"/>
      <c r="O56" s="287"/>
      <c r="P56" s="287"/>
    </row>
    <row r="57" spans="1:16" ht="13">
      <c r="A57" s="174" t="s">
        <v>333</v>
      </c>
      <c r="B57" s="162"/>
      <c r="C57" s="505" t="s">
        <v>922</v>
      </c>
      <c r="D57" s="506">
        <v>-323448.41063858161</v>
      </c>
      <c r="E57" s="507">
        <v>1</v>
      </c>
      <c r="F57" s="508">
        <v>1</v>
      </c>
      <c r="G57" s="509">
        <v>1</v>
      </c>
      <c r="H57" s="428">
        <f t="shared" si="4"/>
        <v>0.09880621410235467</v>
      </c>
      <c r="I57" s="171">
        <f t="shared" si="3"/>
        <v>-31958.712912622028</v>
      </c>
      <c r="J57" s="168"/>
      <c r="K57" s="162"/>
      <c r="L57" s="162"/>
      <c r="M57" s="332"/>
      <c r="N57" s="287"/>
      <c r="O57" s="287"/>
      <c r="P57" s="287"/>
    </row>
    <row r="58" spans="1:16" ht="13">
      <c r="A58" s="174" t="s">
        <v>334</v>
      </c>
      <c r="B58" s="162"/>
      <c r="C58" s="505" t="s">
        <v>796</v>
      </c>
      <c r="D58" s="506">
        <v>-19748313.494147688</v>
      </c>
      <c r="E58" s="507">
        <v>1</v>
      </c>
      <c r="F58" s="508">
        <v>1</v>
      </c>
      <c r="G58" s="509">
        <v>1</v>
      </c>
      <c r="H58" s="428">
        <f t="shared" si="4"/>
        <v>0.09880621410235467</v>
      </c>
      <c r="I58" s="171">
        <f t="shared" si="3"/>
        <v>-1951256.0912631764</v>
      </c>
      <c r="J58" s="168"/>
      <c r="K58" s="162"/>
      <c r="L58" s="162"/>
      <c r="M58" s="332"/>
      <c r="N58" s="287"/>
      <c r="O58" s="287"/>
      <c r="P58" s="287"/>
    </row>
    <row r="59" spans="1:16" ht="13">
      <c r="A59" s="174" t="s">
        <v>1184</v>
      </c>
      <c r="B59" s="162"/>
      <c r="C59" s="505" t="s">
        <v>923</v>
      </c>
      <c r="D59" s="506">
        <v>0</v>
      </c>
      <c r="E59" s="507">
        <v>1</v>
      </c>
      <c r="F59" s="508">
        <v>1</v>
      </c>
      <c r="G59" s="509">
        <v>1</v>
      </c>
      <c r="H59" s="428">
        <v>1</v>
      </c>
      <c r="I59" s="171">
        <f t="shared" si="3"/>
        <v>0</v>
      </c>
      <c r="J59" s="168"/>
      <c r="K59" s="162"/>
      <c r="L59" s="162"/>
      <c r="M59" s="332"/>
      <c r="N59" s="287"/>
      <c r="O59" s="287"/>
      <c r="P59" s="287"/>
    </row>
    <row r="60" spans="1:16" ht="13">
      <c r="A60" s="174" t="s">
        <v>1185</v>
      </c>
      <c r="B60" s="162"/>
      <c r="C60" s="595" t="s">
        <v>1599</v>
      </c>
      <c r="D60" s="506">
        <v>-19749762.201096158</v>
      </c>
      <c r="E60" s="507">
        <v>1</v>
      </c>
      <c r="F60" s="508">
        <v>1</v>
      </c>
      <c r="G60" s="509">
        <v>1</v>
      </c>
      <c r="H60" s="428">
        <f>H58</f>
        <v>0.09880621410235467</v>
      </c>
      <c r="I60" s="171">
        <f t="shared" si="3"/>
        <v>-1951399.2325120985</v>
      </c>
      <c r="J60" s="168"/>
      <c r="K60" s="162"/>
      <c r="L60" s="162"/>
      <c r="M60" s="332"/>
      <c r="N60" s="287"/>
      <c r="O60" s="287"/>
      <c r="P60" s="287"/>
    </row>
    <row r="61" spans="1:16" ht="13">
      <c r="A61" s="174" t="s">
        <v>1261</v>
      </c>
      <c r="B61" s="162"/>
      <c r="C61" s="595" t="s">
        <v>1600</v>
      </c>
      <c r="D61" s="506">
        <v>-1521410.7100337152</v>
      </c>
      <c r="E61" s="507">
        <v>1</v>
      </c>
      <c r="F61" s="508">
        <v>1</v>
      </c>
      <c r="G61" s="509">
        <v>1</v>
      </c>
      <c r="H61" s="428">
        <f>H60</f>
        <v>0.09880621410235467</v>
      </c>
      <c r="I61" s="171">
        <f t="shared" si="3"/>
        <v>-150324.8323532067</v>
      </c>
      <c r="J61" s="168"/>
      <c r="K61" s="162"/>
      <c r="L61" s="162"/>
      <c r="M61" s="332"/>
      <c r="N61" s="287"/>
      <c r="O61" s="287"/>
      <c r="P61" s="287"/>
    </row>
    <row r="62" spans="1:16" ht="13">
      <c r="A62" s="174" t="s">
        <v>1262</v>
      </c>
      <c r="B62" s="162"/>
      <c r="C62" s="595" t="s">
        <v>1601</v>
      </c>
      <c r="D62" s="506">
        <v>-1316408.9823042646</v>
      </c>
      <c r="E62" s="507">
        <v>1</v>
      </c>
      <c r="F62" s="508">
        <v>1</v>
      </c>
      <c r="G62" s="509">
        <v>1</v>
      </c>
      <c r="H62" s="428">
        <f>H61</f>
        <v>0.09880621410235467</v>
      </c>
      <c r="I62" s="171">
        <f t="shared" si="3"/>
        <v>-130069.38775181798</v>
      </c>
      <c r="J62" s="168"/>
      <c r="K62" s="162"/>
      <c r="L62" s="162"/>
      <c r="M62" s="332"/>
      <c r="N62" s="287"/>
      <c r="O62" s="287"/>
      <c r="P62" s="287"/>
    </row>
    <row r="63" spans="1:16" ht="13">
      <c r="A63" s="174" t="s">
        <v>1606</v>
      </c>
      <c r="B63" s="162"/>
      <c r="C63" s="595" t="s">
        <v>1602</v>
      </c>
      <c r="D63" s="506">
        <v>-288527.68865771132</v>
      </c>
      <c r="E63" s="507">
        <v>1</v>
      </c>
      <c r="F63" s="508">
        <v>1</v>
      </c>
      <c r="G63" s="509">
        <v>1</v>
      </c>
      <c r="H63" s="428">
        <f t="shared" si="5" ref="H63:H65">H62</f>
        <v>0.09880621410235467</v>
      </c>
      <c r="I63" s="171">
        <f t="shared" si="3"/>
        <v>-28508.328579971352</v>
      </c>
      <c r="J63" s="168"/>
      <c r="K63" s="162"/>
      <c r="L63" s="162"/>
      <c r="M63" s="332"/>
      <c r="N63" s="287"/>
      <c r="O63" s="287"/>
      <c r="P63" s="287"/>
    </row>
    <row r="64" spans="1:16" ht="13">
      <c r="A64" s="174" t="s">
        <v>1604</v>
      </c>
      <c r="B64" s="162"/>
      <c r="C64" s="595" t="s">
        <v>1603</v>
      </c>
      <c r="D64" s="506">
        <v>-4384739.759502246</v>
      </c>
      <c r="E64" s="507">
        <v>1</v>
      </c>
      <c r="F64" s="508">
        <v>1</v>
      </c>
      <c r="G64" s="509">
        <v>1</v>
      </c>
      <c r="H64" s="428">
        <f t="shared" si="5"/>
        <v>0.09880621410235467</v>
      </c>
      <c r="I64" s="171">
        <f t="shared" si="3"/>
        <v>-433239.53546048602</v>
      </c>
      <c r="J64" s="168"/>
      <c r="K64" s="162"/>
      <c r="L64" s="162"/>
      <c r="M64" s="332"/>
      <c r="N64" s="287"/>
      <c r="O64" s="287"/>
      <c r="P64" s="287"/>
    </row>
    <row r="65" spans="1:16" ht="13">
      <c r="A65" s="174" t="s">
        <v>1605</v>
      </c>
      <c r="B65" s="162"/>
      <c r="C65" s="595" t="s">
        <v>1598</v>
      </c>
      <c r="D65" s="506">
        <v>-7167.3087336455983</v>
      </c>
      <c r="E65" s="507">
        <v>1</v>
      </c>
      <c r="F65" s="508">
        <v>1</v>
      </c>
      <c r="G65" s="509">
        <v>1</v>
      </c>
      <c r="H65" s="428">
        <f t="shared" si="5"/>
        <v>0.09880621410235467</v>
      </c>
      <c r="I65" s="171">
        <f t="shared" si="3"/>
        <v>-708.17464127426354</v>
      </c>
      <c r="J65" s="168"/>
      <c r="K65" s="162"/>
      <c r="L65" s="162"/>
      <c r="M65" s="332"/>
      <c r="N65" s="287"/>
      <c r="O65" s="287"/>
      <c r="P65" s="287"/>
    </row>
    <row r="66" spans="1:16" ht="3.65" customHeight="1">
      <c r="A66" s="174"/>
      <c r="B66" s="162"/>
      <c r="C66" s="595"/>
      <c r="D66" s="596"/>
      <c r="E66" s="507"/>
      <c r="F66" s="508"/>
      <c r="G66" s="509"/>
      <c r="H66" s="428"/>
      <c r="I66" s="171"/>
      <c r="J66" s="168"/>
      <c r="K66" s="162"/>
      <c r="L66" s="162"/>
      <c r="M66" s="332"/>
      <c r="N66" s="287"/>
      <c r="O66" s="287"/>
      <c r="P66" s="287"/>
    </row>
    <row r="67" spans="1:16" ht="3.65" customHeight="1">
      <c r="A67" s="174"/>
      <c r="B67" s="162"/>
      <c r="C67" s="595"/>
      <c r="D67" s="596"/>
      <c r="E67" s="507"/>
      <c r="F67" s="508"/>
      <c r="G67" s="509"/>
      <c r="H67" s="428"/>
      <c r="I67" s="171"/>
      <c r="J67" s="168"/>
      <c r="K67" s="162"/>
      <c r="L67" s="162"/>
      <c r="M67" s="332"/>
      <c r="N67" s="287"/>
      <c r="O67" s="287"/>
      <c r="P67" s="287"/>
    </row>
    <row r="68" spans="1:16" ht="3.65" customHeight="1">
      <c r="A68" s="174"/>
      <c r="B68" s="162"/>
      <c r="C68" s="595"/>
      <c r="D68" s="596"/>
      <c r="E68" s="507"/>
      <c r="F68" s="508"/>
      <c r="G68" s="509"/>
      <c r="H68" s="428"/>
      <c r="I68" s="171"/>
      <c r="J68" s="168"/>
      <c r="K68" s="162"/>
      <c r="L68" s="162"/>
      <c r="M68" s="332"/>
      <c r="N68" s="287"/>
      <c r="O68" s="287"/>
      <c r="P68" s="287"/>
    </row>
    <row r="69" spans="1:16" ht="3.65" customHeight="1">
      <c r="A69" s="174"/>
      <c r="B69" s="162"/>
      <c r="C69" s="505"/>
      <c r="D69" s="510"/>
      <c r="E69" s="506"/>
      <c r="F69" s="511"/>
      <c r="G69" s="511"/>
      <c r="H69" s="38"/>
      <c r="I69" s="171"/>
      <c r="J69" s="168"/>
      <c r="K69" s="162"/>
      <c r="L69" s="162"/>
      <c r="M69" s="332"/>
      <c r="N69" s="287"/>
      <c r="O69" s="287"/>
      <c r="P69" s="287"/>
    </row>
    <row r="70" spans="1:16" ht="13">
      <c r="A70" s="174" t="s">
        <v>1134</v>
      </c>
      <c r="B70" s="162"/>
      <c r="C70" s="512" t="s">
        <v>296</v>
      </c>
      <c r="D70" s="513">
        <v>0</v>
      </c>
      <c r="E70" s="514">
        <v>0</v>
      </c>
      <c r="F70" s="515"/>
      <c r="G70" s="515"/>
      <c r="H70" s="333"/>
      <c r="I70" s="172">
        <f>+H70*E70*D70</f>
        <v>0</v>
      </c>
      <c r="J70" s="168"/>
      <c r="K70" s="162"/>
      <c r="L70" s="162"/>
      <c r="M70" s="332"/>
      <c r="N70" s="287"/>
      <c r="O70" s="287"/>
      <c r="P70" s="287"/>
    </row>
    <row r="71" spans="1:16" ht="13">
      <c r="A71" s="174">
        <v>31</v>
      </c>
      <c r="B71" s="162"/>
      <c r="C71" s="168" t="s">
        <v>13</v>
      </c>
      <c r="D71" s="173">
        <f>SUM(D53:D70)</f>
        <v>-59895031.151616558</v>
      </c>
      <c r="E71" s="69"/>
      <c r="F71" s="287"/>
      <c r="G71" s="287"/>
      <c r="H71" s="69"/>
      <c r="I71" s="171">
        <f>SUM(I53:I70)</f>
        <v>-5918001.2716338281</v>
      </c>
      <c r="J71" s="168"/>
      <c r="K71" s="162"/>
      <c r="L71" s="162"/>
      <c r="M71" s="332"/>
      <c r="N71" s="287"/>
      <c r="O71" s="287"/>
      <c r="P71" s="287"/>
    </row>
    <row r="72" spans="1:11" ht="3.65" customHeight="1">
      <c r="A72" s="334"/>
      <c r="B72" s="335"/>
      <c r="C72" s="336"/>
      <c r="D72" s="336"/>
      <c r="E72" s="336"/>
      <c r="F72" s="336"/>
      <c r="G72" s="336"/>
      <c r="I72" s="162"/>
      <c r="J72" s="162"/>
      <c r="K72" s="162"/>
    </row>
    <row r="73" spans="1:16" ht="3.65" customHeight="1">
      <c r="A73" s="334"/>
      <c r="B73" s="335"/>
      <c r="C73" s="336"/>
      <c r="D73" s="336"/>
      <c r="E73" s="336"/>
      <c r="F73" s="336"/>
      <c r="G73" s="336"/>
      <c r="L73" s="287"/>
      <c r="M73" s="287"/>
      <c r="N73" s="287"/>
      <c r="O73" s="287"/>
      <c r="P73" s="287"/>
    </row>
    <row r="74" spans="1:16" ht="3.65" customHeight="1">
      <c r="A74" s="334"/>
      <c r="B74" s="335"/>
      <c r="C74" s="336"/>
      <c r="D74" s="336"/>
      <c r="E74" s="336"/>
      <c r="F74" s="336"/>
      <c r="G74" s="336"/>
      <c r="L74" s="287"/>
      <c r="M74" s="287"/>
      <c r="N74" s="287"/>
      <c r="O74" s="287"/>
      <c r="P74" s="287"/>
    </row>
    <row r="75" ht="13.5" thickBot="1">
      <c r="A75" s="939" t="s">
        <v>182</v>
      </c>
    </row>
    <row r="76" spans="1:11" ht="12.75" customHeight="1">
      <c r="A76" s="174" t="s">
        <v>58</v>
      </c>
      <c r="B76" s="1053" t="s">
        <v>335</v>
      </c>
      <c r="C76" s="1053"/>
      <c r="D76" s="1053"/>
      <c r="E76" s="1053"/>
      <c r="F76" s="1053"/>
      <c r="G76" s="1053"/>
      <c r="H76" s="1053"/>
      <c r="I76" s="1053"/>
      <c r="J76" s="1053"/>
      <c r="K76" s="1053"/>
    </row>
    <row r="77" spans="1:12" ht="12.75" customHeight="1">
      <c r="A77" s="174" t="s">
        <v>59</v>
      </c>
      <c r="B77" s="1053" t="s">
        <v>395</v>
      </c>
      <c r="C77" s="1053"/>
      <c r="D77" s="1053"/>
      <c r="E77" s="1053"/>
      <c r="F77" s="1053"/>
      <c r="G77" s="1053"/>
      <c r="H77" s="1053"/>
      <c r="I77" s="1053"/>
      <c r="J77" s="1053"/>
      <c r="K77" s="1053"/>
      <c r="L77" s="228"/>
    </row>
    <row r="78" spans="1:11" ht="12.75" customHeight="1">
      <c r="A78" s="174" t="s">
        <v>60</v>
      </c>
      <c r="B78" s="109" t="s">
        <v>396</v>
      </c>
      <c r="C78" s="191"/>
      <c r="D78" s="191"/>
      <c r="E78" s="191"/>
      <c r="F78" s="191"/>
      <c r="G78" s="191"/>
      <c r="H78" s="191"/>
      <c r="I78" s="191"/>
      <c r="J78" s="191"/>
      <c r="K78" s="191"/>
    </row>
    <row r="79" spans="1:11" ht="13">
      <c r="A79" s="174"/>
      <c r="B79" s="192" t="s">
        <v>664</v>
      </c>
      <c r="C79" s="606"/>
      <c r="D79" s="606"/>
      <c r="E79" s="606"/>
      <c r="F79" s="606"/>
      <c r="G79" s="606"/>
      <c r="H79" s="606"/>
      <c r="I79" s="606"/>
      <c r="J79" s="606"/>
      <c r="K79" s="606"/>
    </row>
    <row r="80" spans="1:11" ht="13">
      <c r="A80" s="174"/>
      <c r="B80" s="192" t="s">
        <v>665</v>
      </c>
      <c r="C80" s="606"/>
      <c r="D80" s="606"/>
      <c r="E80" s="606"/>
      <c r="F80" s="606"/>
      <c r="G80" s="606"/>
      <c r="H80" s="606"/>
      <c r="I80" s="606"/>
      <c r="J80" s="606"/>
      <c r="K80" s="606"/>
    </row>
    <row r="81" spans="1:2" ht="12.75" customHeight="1">
      <c r="A81" s="174" t="s">
        <v>61</v>
      </c>
      <c r="B81" s="109" t="s">
        <v>1153</v>
      </c>
    </row>
    <row r="82" spans="1:11" ht="30" customHeight="1">
      <c r="A82" s="183" t="s">
        <v>62</v>
      </c>
      <c r="B82" s="1067" t="s">
        <v>435</v>
      </c>
      <c r="C82" s="1067"/>
      <c r="D82" s="1067"/>
      <c r="E82" s="1067"/>
      <c r="F82" s="1067"/>
      <c r="G82" s="1067"/>
      <c r="H82" s="1067"/>
      <c r="I82" s="1067"/>
      <c r="J82" s="1067"/>
      <c r="K82" s="605"/>
    </row>
    <row r="83" spans="1:11" ht="12.75" customHeight="1">
      <c r="A83" s="174" t="s">
        <v>63</v>
      </c>
      <c r="B83" s="1076" t="s">
        <v>336</v>
      </c>
      <c r="C83" s="1076"/>
      <c r="D83" s="1076"/>
      <c r="E83" s="1076"/>
      <c r="F83" s="1076"/>
      <c r="G83" s="1076"/>
      <c r="H83" s="1076"/>
      <c r="I83" s="1076"/>
      <c r="J83" s="1076"/>
      <c r="K83" s="1076"/>
    </row>
    <row r="84" spans="1:11" ht="43.5" customHeight="1">
      <c r="A84" s="183" t="s">
        <v>64</v>
      </c>
      <c r="B84" s="1067" t="s">
        <v>397</v>
      </c>
      <c r="C84" s="1067"/>
      <c r="D84" s="1067"/>
      <c r="E84" s="1067"/>
      <c r="F84" s="1067"/>
      <c r="G84" s="1067"/>
      <c r="H84" s="1067"/>
      <c r="I84" s="1067"/>
      <c r="J84" s="1067"/>
      <c r="K84" s="605"/>
    </row>
    <row r="85" spans="1:2" ht="13">
      <c r="A85" s="174" t="s">
        <v>65</v>
      </c>
      <c r="B85" s="193" t="s">
        <v>1186</v>
      </c>
    </row>
    <row r="86" spans="1:2" ht="13">
      <c r="A86" s="174" t="s">
        <v>66</v>
      </c>
      <c r="B86" s="109" t="s">
        <v>448</v>
      </c>
    </row>
    <row r="87" spans="1:2" ht="13">
      <c r="A87" s="174" t="s">
        <v>67</v>
      </c>
      <c r="B87" s="109" t="s">
        <v>1147</v>
      </c>
    </row>
    <row r="88" spans="1:10" ht="42.65" customHeight="1">
      <c r="A88" s="183" t="s">
        <v>99</v>
      </c>
      <c r="B88" s="1067" t="s">
        <v>1189</v>
      </c>
      <c r="C88" s="1067"/>
      <c r="D88" s="1067"/>
      <c r="E88" s="1067"/>
      <c r="F88" s="1067"/>
      <c r="G88" s="1067"/>
      <c r="H88" s="1067"/>
      <c r="I88" s="1067"/>
      <c r="J88" s="1067"/>
    </row>
    <row r="89" spans="1:10" ht="30" customHeight="1">
      <c r="A89" s="183" t="s">
        <v>1577</v>
      </c>
      <c r="B89" s="1067" t="s">
        <v>1585</v>
      </c>
      <c r="C89" s="1067"/>
      <c r="D89" s="1067"/>
      <c r="E89" s="1067"/>
      <c r="F89" s="1067"/>
      <c r="G89" s="1067"/>
      <c r="H89" s="1067"/>
      <c r="I89" s="1067"/>
      <c r="J89" s="1067"/>
    </row>
    <row r="90" spans="3:11" ht="31.9" customHeight="1">
      <c r="C90" s="945" t="s">
        <v>45</v>
      </c>
      <c r="D90" s="945" t="s">
        <v>1353</v>
      </c>
      <c r="E90" s="945" t="s">
        <v>1420</v>
      </c>
      <c r="F90" s="945" t="s">
        <v>698</v>
      </c>
      <c r="G90" s="945" t="s">
        <v>1354</v>
      </c>
      <c r="H90" s="945" t="s">
        <v>1355</v>
      </c>
      <c r="J90" s="986" t="s">
        <v>1478</v>
      </c>
      <c r="K90" s="986" t="s">
        <v>1479</v>
      </c>
    </row>
    <row r="91" spans="1:11" ht="13">
      <c r="A91" s="320" t="s">
        <v>1356</v>
      </c>
      <c r="B91" s="953" t="s">
        <v>1339</v>
      </c>
      <c r="C91" s="953" t="s">
        <v>854</v>
      </c>
      <c r="D91" s="952">
        <v>18361.630000000012</v>
      </c>
      <c r="E91" s="952">
        <v>20334.670000000016</v>
      </c>
      <c r="F91" s="525">
        <f>J91*K91</f>
        <v>0</v>
      </c>
      <c r="G91" s="952">
        <f>D91*F91</f>
        <v>0</v>
      </c>
      <c r="H91" s="952">
        <f>E91*F91</f>
        <v>0</v>
      </c>
      <c r="J91" s="955">
        <v>0</v>
      </c>
      <c r="K91" s="955">
        <v>0</v>
      </c>
    </row>
    <row r="92" spans="1:11" ht="13">
      <c r="A92" s="320" t="s">
        <v>1357</v>
      </c>
      <c r="B92" s="953" t="s">
        <v>1340</v>
      </c>
      <c r="C92" s="953" t="s">
        <v>1477</v>
      </c>
      <c r="D92" s="952">
        <v>38232.770000000033</v>
      </c>
      <c r="E92" s="952">
        <v>58423.350000000013</v>
      </c>
      <c r="F92" s="525">
        <f>J92*K92</f>
        <v>0.077147891971118529</v>
      </c>
      <c r="G92" s="952">
        <f t="shared" si="6" ref="G92:G111">D92*F92</f>
        <v>2949.577609716624</v>
      </c>
      <c r="H92" s="952">
        <f t="shared" si="7" ref="H92:H111">E92*F92</f>
        <v>4507.2382943908488</v>
      </c>
      <c r="J92" s="955">
        <v>0.78080000000000005</v>
      </c>
      <c r="K92" s="955">
        <f>'Attachment H-7'!I197</f>
        <v>0.09880621410235467</v>
      </c>
    </row>
    <row r="93" spans="1:11" ht="13">
      <c r="A93" s="320" t="s">
        <v>1358</v>
      </c>
      <c r="B93" s="953" t="s">
        <v>1341</v>
      </c>
      <c r="C93" s="953" t="s">
        <v>854</v>
      </c>
      <c r="D93" s="952">
        <v>25620.819999999945</v>
      </c>
      <c r="E93" s="952">
        <v>23723.019999999928</v>
      </c>
      <c r="F93" s="525">
        <f t="shared" si="8" ref="F93:F111">J93*K93</f>
        <v>0</v>
      </c>
      <c r="G93" s="952">
        <f t="shared" si="6"/>
        <v>0</v>
      </c>
      <c r="H93" s="952">
        <f t="shared" si="7"/>
        <v>0</v>
      </c>
      <c r="J93" s="955">
        <v>0</v>
      </c>
      <c r="K93" s="955">
        <v>0</v>
      </c>
    </row>
    <row r="94" spans="1:11" ht="13">
      <c r="A94" s="320" t="s">
        <v>1359</v>
      </c>
      <c r="B94" s="953" t="s">
        <v>1342</v>
      </c>
      <c r="C94" s="953" t="s">
        <v>1477</v>
      </c>
      <c r="D94" s="952">
        <v>310312.10000000009</v>
      </c>
      <c r="E94" s="952">
        <v>321536.46000000008</v>
      </c>
      <c r="F94" s="525">
        <f t="shared" si="8"/>
        <v>0.077147891971118529</v>
      </c>
      <c r="G94" s="952">
        <f t="shared" si="6"/>
        <v>23939.924368130938</v>
      </c>
      <c r="H94" s="952">
        <f t="shared" si="7"/>
        <v>24805.86008085588</v>
      </c>
      <c r="J94" s="955">
        <v>0.78080000000000005</v>
      </c>
      <c r="K94" s="955">
        <f>'Attachment H-7'!I197</f>
        <v>0.09880621410235467</v>
      </c>
    </row>
    <row r="95" spans="1:11" ht="13">
      <c r="A95" s="320" t="s">
        <v>1360</v>
      </c>
      <c r="B95" s="953" t="s">
        <v>1344</v>
      </c>
      <c r="C95" s="953" t="s">
        <v>854</v>
      </c>
      <c r="D95" s="952">
        <v>400520.99999999988</v>
      </c>
      <c r="E95" s="952">
        <v>399.97000000001208</v>
      </c>
      <c r="F95" s="525">
        <f t="shared" si="8"/>
        <v>0</v>
      </c>
      <c r="G95" s="952">
        <f t="shared" si="6"/>
        <v>0</v>
      </c>
      <c r="H95" s="952">
        <f t="shared" si="7"/>
        <v>0</v>
      </c>
      <c r="J95" s="955">
        <v>0</v>
      </c>
      <c r="K95" s="955">
        <v>0</v>
      </c>
    </row>
    <row r="96" spans="1:11" ht="13">
      <c r="A96" s="320" t="s">
        <v>1361</v>
      </c>
      <c r="B96" s="953" t="s">
        <v>1343</v>
      </c>
      <c r="C96" s="953" t="s">
        <v>1477</v>
      </c>
      <c r="D96" s="952">
        <v>588153</v>
      </c>
      <c r="E96" s="952">
        <v>598296</v>
      </c>
      <c r="F96" s="525">
        <f>J96*K96</f>
        <v>0.077147891971118529</v>
      </c>
      <c r="G96" s="952">
        <f t="shared" si="6"/>
        <v>45374.764106489274</v>
      </c>
      <c r="H96" s="952">
        <f t="shared" si="7"/>
        <v>46157.275174752329</v>
      </c>
      <c r="J96" s="955">
        <v>0.78080000000000005</v>
      </c>
      <c r="K96" s="955">
        <f>'Attachment H-7'!I197</f>
        <v>0.09880621410235467</v>
      </c>
    </row>
    <row r="97" spans="1:11" ht="13">
      <c r="A97" s="320" t="s">
        <v>1362</v>
      </c>
      <c r="B97" s="953" t="s">
        <v>1343</v>
      </c>
      <c r="C97" s="953" t="s">
        <v>1477</v>
      </c>
      <c r="D97" s="952">
        <v>22386</v>
      </c>
      <c r="E97" s="952">
        <v>0</v>
      </c>
      <c r="F97" s="525">
        <f t="shared" si="8"/>
        <v>0.07913586054554024</v>
      </c>
      <c r="G97" s="952">
        <f t="shared" si="6"/>
        <v>1771.5353741724639</v>
      </c>
      <c r="H97" s="952">
        <f t="shared" si="7"/>
        <v>0</v>
      </c>
      <c r="J97" s="955">
        <v>0.80091987396220199</v>
      </c>
      <c r="K97" s="955">
        <f>'Attachment H-7'!I197</f>
        <v>0.09880621410235467</v>
      </c>
    </row>
    <row r="98" spans="1:11" ht="13">
      <c r="A98" s="320" t="s">
        <v>1363</v>
      </c>
      <c r="B98" s="953" t="s">
        <v>1343</v>
      </c>
      <c r="C98" s="953" t="s">
        <v>854</v>
      </c>
      <c r="D98" s="952">
        <v>694167</v>
      </c>
      <c r="E98" s="952">
        <v>1317780</v>
      </c>
      <c r="F98" s="525">
        <f>J98*K98</f>
        <v>0</v>
      </c>
      <c r="G98" s="952">
        <f>D98*F98</f>
        <v>0</v>
      </c>
      <c r="H98" s="952">
        <f t="shared" si="7"/>
        <v>0</v>
      </c>
      <c r="J98" s="955">
        <v>0</v>
      </c>
      <c r="K98" s="955">
        <v>0</v>
      </c>
    </row>
    <row r="99" spans="1:11" ht="13">
      <c r="A99" s="320" t="s">
        <v>1364</v>
      </c>
      <c r="B99" s="953" t="s">
        <v>1345</v>
      </c>
      <c r="C99" s="953" t="s">
        <v>854</v>
      </c>
      <c r="D99" s="952">
        <v>583032.05999999994</v>
      </c>
      <c r="E99" s="952">
        <v>650425.93999999994</v>
      </c>
      <c r="F99" s="525">
        <f t="shared" si="8"/>
        <v>0</v>
      </c>
      <c r="G99" s="952">
        <f t="shared" si="6"/>
        <v>0</v>
      </c>
      <c r="H99" s="952">
        <f t="shared" si="7"/>
        <v>0</v>
      </c>
      <c r="J99" s="955">
        <v>0</v>
      </c>
      <c r="K99" s="955">
        <v>0</v>
      </c>
    </row>
    <row r="100" spans="1:11" ht="13">
      <c r="A100" s="320" t="s">
        <v>1365</v>
      </c>
      <c r="B100" s="953" t="s">
        <v>1346</v>
      </c>
      <c r="C100" s="953" t="s">
        <v>855</v>
      </c>
      <c r="D100" s="952">
        <v>949729.80812429427</v>
      </c>
      <c r="E100" s="952">
        <v>1334854.2003656665</v>
      </c>
      <c r="F100" s="525">
        <f>J100*K100</f>
        <v>1</v>
      </c>
      <c r="G100" s="952">
        <f t="shared" si="6"/>
        <v>949729.80812429427</v>
      </c>
      <c r="H100" s="952">
        <f t="shared" si="7"/>
        <v>1334854.2003656665</v>
      </c>
      <c r="J100" s="955">
        <v>1</v>
      </c>
      <c r="K100" s="955">
        <v>1</v>
      </c>
    </row>
    <row r="101" spans="1:11" ht="13">
      <c r="A101" s="320" t="s">
        <v>1366</v>
      </c>
      <c r="B101" s="953" t="s">
        <v>1347</v>
      </c>
      <c r="C101" s="953" t="s">
        <v>854</v>
      </c>
      <c r="D101" s="952">
        <v>238112.39074386199</v>
      </c>
      <c r="E101" s="952">
        <v>229627.500787</v>
      </c>
      <c r="F101" s="525">
        <f t="shared" si="8"/>
        <v>0</v>
      </c>
      <c r="G101" s="952">
        <f t="shared" si="6"/>
        <v>0</v>
      </c>
      <c r="H101" s="952">
        <f t="shared" si="7"/>
        <v>0</v>
      </c>
      <c r="J101" s="955">
        <v>0</v>
      </c>
      <c r="K101" s="955">
        <v>0</v>
      </c>
    </row>
    <row r="102" spans="1:11" ht="13">
      <c r="A102" s="320" t="s">
        <v>1367</v>
      </c>
      <c r="B102" s="953" t="s">
        <v>1348</v>
      </c>
      <c r="C102" s="953" t="s">
        <v>854</v>
      </c>
      <c r="D102" s="952">
        <v>52410.042798509632</v>
      </c>
      <c r="E102" s="952">
        <v>46934.456347333311</v>
      </c>
      <c r="F102" s="525">
        <f t="shared" si="8"/>
        <v>0</v>
      </c>
      <c r="G102" s="952">
        <f t="shared" si="6"/>
        <v>0</v>
      </c>
      <c r="H102" s="952">
        <f t="shared" si="7"/>
        <v>0</v>
      </c>
      <c r="J102" s="955">
        <v>0</v>
      </c>
      <c r="K102" s="955">
        <v>0</v>
      </c>
    </row>
    <row r="103" spans="1:11" ht="13">
      <c r="A103" s="320" t="s">
        <v>1368</v>
      </c>
      <c r="B103" s="953" t="s">
        <v>1618</v>
      </c>
      <c r="C103" s="953" t="s">
        <v>854</v>
      </c>
      <c r="D103" s="952">
        <v>6399988.3800000157</v>
      </c>
      <c r="E103" s="952">
        <v>0</v>
      </c>
      <c r="F103" s="525">
        <f t="shared" si="8"/>
        <v>0</v>
      </c>
      <c r="G103" s="952">
        <f t="shared" si="6"/>
        <v>0</v>
      </c>
      <c r="H103" s="952">
        <f t="shared" si="7"/>
        <v>0</v>
      </c>
      <c r="J103" s="955">
        <v>0</v>
      </c>
      <c r="K103" s="955">
        <v>0</v>
      </c>
    </row>
    <row r="104" spans="1:11" ht="13">
      <c r="A104" s="320" t="s">
        <v>1369</v>
      </c>
      <c r="B104" s="953" t="s">
        <v>1349</v>
      </c>
      <c r="C104" s="953" t="s">
        <v>1477</v>
      </c>
      <c r="D104" s="952">
        <v>1886145.3900000006</v>
      </c>
      <c r="E104" s="952">
        <v>0</v>
      </c>
      <c r="F104" s="525">
        <f t="shared" si="8"/>
        <v>0.077147891971118529</v>
      </c>
      <c r="G104" s="952">
        <f t="shared" si="6"/>
        <v>145512.14078954328</v>
      </c>
      <c r="H104" s="952">
        <f>E104*F104</f>
        <v>0</v>
      </c>
      <c r="J104" s="955">
        <v>0.78080000000000005</v>
      </c>
      <c r="K104" s="955">
        <f>'Attachment H-7'!I197</f>
        <v>0.09880621410235467</v>
      </c>
    </row>
    <row r="105" spans="1:11" ht="13">
      <c r="A105" s="320" t="s">
        <v>1370</v>
      </c>
      <c r="B105" s="953" t="s">
        <v>1350</v>
      </c>
      <c r="C105" s="953" t="s">
        <v>854</v>
      </c>
      <c r="D105" s="952">
        <v>5105477.9799999967</v>
      </c>
      <c r="E105" s="952">
        <v>4635978.5199999958</v>
      </c>
      <c r="F105" s="525">
        <f t="shared" si="8"/>
        <v>0</v>
      </c>
      <c r="G105" s="952">
        <f t="shared" si="6"/>
        <v>0</v>
      </c>
      <c r="H105" s="952">
        <f t="shared" si="7"/>
        <v>0</v>
      </c>
      <c r="J105" s="955">
        <v>0</v>
      </c>
      <c r="K105" s="955">
        <v>0</v>
      </c>
    </row>
    <row r="106" spans="1:11" ht="13">
      <c r="A106" s="320" t="s">
        <v>1371</v>
      </c>
      <c r="B106" s="953" t="s">
        <v>1351</v>
      </c>
      <c r="C106" s="953" t="s">
        <v>1477</v>
      </c>
      <c r="D106" s="952">
        <v>20416.669999999998</v>
      </c>
      <c r="E106" s="952">
        <v>13000</v>
      </c>
      <c r="F106" s="525">
        <f t="shared" si="8"/>
        <v>0.07913586054554024</v>
      </c>
      <c r="G106" s="952">
        <f t="shared" si="6"/>
        <v>1615.690749924315</v>
      </c>
      <c r="H106" s="952">
        <f t="shared" si="7"/>
        <v>1028.7661870920231</v>
      </c>
      <c r="J106" s="955">
        <v>0.80091987396220199</v>
      </c>
      <c r="K106" s="955">
        <f>'Attachment H-7'!I197</f>
        <v>0.09880621410235467</v>
      </c>
    </row>
    <row r="107" spans="1:11" ht="13">
      <c r="A107" s="320" t="s">
        <v>1372</v>
      </c>
      <c r="B107" s="953" t="s">
        <v>1619</v>
      </c>
      <c r="C107" s="953" t="s">
        <v>854</v>
      </c>
      <c r="D107" s="952">
        <v>48747.520000000077</v>
      </c>
      <c r="E107" s="952">
        <v>236260.81000000006</v>
      </c>
      <c r="F107" s="525">
        <f t="shared" si="8"/>
        <v>0</v>
      </c>
      <c r="G107" s="952">
        <f t="shared" si="6"/>
        <v>0</v>
      </c>
      <c r="H107" s="952">
        <f t="shared" si="7"/>
        <v>0</v>
      </c>
      <c r="J107" s="955">
        <v>0</v>
      </c>
      <c r="K107" s="955">
        <v>0</v>
      </c>
    </row>
    <row r="108" spans="1:11" ht="13">
      <c r="A108" s="320" t="s">
        <v>1373</v>
      </c>
      <c r="B108" s="953" t="s">
        <v>1352</v>
      </c>
      <c r="C108" s="953" t="s">
        <v>1477</v>
      </c>
      <c r="D108" s="952">
        <v>-12.1099999997532</v>
      </c>
      <c r="E108" s="952">
        <v>834280.70000000019</v>
      </c>
      <c r="F108" s="525">
        <f t="shared" si="8"/>
        <v>0.07913586054554024</v>
      </c>
      <c r="G108" s="952">
        <f t="shared" si="6"/>
        <v>-0.95833527118696149</v>
      </c>
      <c r="H108" s="952">
        <f t="shared" si="7"/>
        <v>66021.521131035712</v>
      </c>
      <c r="J108" s="955">
        <v>0.80091987396220199</v>
      </c>
      <c r="K108" s="955">
        <f>'Attachment H-7'!I197</f>
        <v>0.09880621410235467</v>
      </c>
    </row>
    <row r="109" spans="1:11" ht="13">
      <c r="A109" s="320" t="s">
        <v>1374</v>
      </c>
      <c r="B109" s="953" t="s">
        <v>1607</v>
      </c>
      <c r="C109" s="953" t="s">
        <v>855</v>
      </c>
      <c r="D109" s="952">
        <v>0</v>
      </c>
      <c r="E109" s="952">
        <v>13434.624</v>
      </c>
      <c r="F109" s="525">
        <f t="shared" si="8"/>
        <v>1</v>
      </c>
      <c r="G109" s="952">
        <f t="shared" si="6"/>
        <v>0</v>
      </c>
      <c r="H109" s="952">
        <f t="shared" si="7"/>
        <v>13434.624</v>
      </c>
      <c r="J109" s="955">
        <v>1</v>
      </c>
      <c r="K109" s="955">
        <v>1</v>
      </c>
    </row>
    <row r="110" spans="1:11" ht="13">
      <c r="A110" s="320" t="s">
        <v>1375</v>
      </c>
      <c r="B110" s="953" t="s">
        <v>1607</v>
      </c>
      <c r="C110" s="953" t="s">
        <v>854</v>
      </c>
      <c r="D110" s="952">
        <v>0</v>
      </c>
      <c r="E110" s="952">
        <v>126509</v>
      </c>
      <c r="F110" s="525">
        <f t="shared" si="8"/>
        <v>0</v>
      </c>
      <c r="G110" s="952">
        <f t="shared" si="6"/>
        <v>0</v>
      </c>
      <c r="H110" s="952">
        <f t="shared" si="7"/>
        <v>0</v>
      </c>
      <c r="J110" s="955">
        <v>0</v>
      </c>
      <c r="K110" s="955">
        <v>0</v>
      </c>
    </row>
    <row r="111" spans="1:11" ht="13">
      <c r="A111" s="320" t="s">
        <v>1376</v>
      </c>
      <c r="B111" s="953" t="s">
        <v>1620</v>
      </c>
      <c r="C111" s="953" t="s">
        <v>854</v>
      </c>
      <c r="D111" s="952">
        <v>0</v>
      </c>
      <c r="E111" s="952">
        <v>173775</v>
      </c>
      <c r="F111" s="525">
        <f t="shared" si="8"/>
        <v>0</v>
      </c>
      <c r="G111" s="952">
        <f t="shared" si="6"/>
        <v>0</v>
      </c>
      <c r="H111" s="952">
        <f t="shared" si="7"/>
        <v>0</v>
      </c>
      <c r="J111" s="955">
        <v>0</v>
      </c>
      <c r="K111" s="955">
        <v>0</v>
      </c>
    </row>
    <row r="112" spans="1:11" ht="13">
      <c r="A112" s="320" t="s">
        <v>296</v>
      </c>
      <c r="B112" s="953"/>
      <c r="C112" s="954"/>
      <c r="D112" s="952"/>
      <c r="E112" s="952"/>
      <c r="F112" s="525"/>
      <c r="G112" s="952"/>
      <c r="H112" s="952"/>
      <c r="J112" s="953"/>
      <c r="K112" s="953"/>
    </row>
    <row r="113" spans="1:11" ht="13">
      <c r="A113" s="320" t="s">
        <v>1377</v>
      </c>
      <c r="B113" s="953"/>
      <c r="C113" s="954"/>
      <c r="D113" s="952"/>
      <c r="E113" s="952"/>
      <c r="F113" s="525"/>
      <c r="G113" s="952"/>
      <c r="H113" s="952"/>
      <c r="J113" s="953"/>
      <c r="K113" s="953"/>
    </row>
    <row r="114" spans="2:8" ht="13">
      <c r="B114" s="109" t="s">
        <v>1378</v>
      </c>
      <c r="D114" s="90">
        <f>SUM(D91:D113)</f>
        <v>17381802.451666679</v>
      </c>
      <c r="E114" s="90">
        <f>SUM(E91:E113)</f>
        <v>10635574.221499996</v>
      </c>
      <c r="G114" s="90">
        <f>SUM(G91:G113)</f>
        <v>1170892.4827870003</v>
      </c>
      <c r="H114" s="90">
        <f>SUM(H91:H113)</f>
        <v>1490809.4852337933</v>
      </c>
    </row>
  </sheetData>
  <customSheetViews>
    <customSheetView guid="{f04a2b9a-c6fe-4feb-ad1e-2cf9ac309be4}" printArea="1" scale="85" showPageBreaks="1" topLeftCell="A1">
      <selection pane="topLeft" activeCell="E6" sqref="E6"/>
      <pageMargins left="0.7" right="0.7" top="0.75" bottom="0.75" header="0.3" footer="0.3"/>
      <pageSetup orientation="landscape" scale="55" r:id="rId2"/>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ageMargins left="0.25" right="0.25" top="0.75" bottom="0.75" header="0.3" footer="0.3"/>
  <pageSetup fitToHeight="0" orientation="landscape" scale="10" r:id="rId1"/>
  <rowBreaks count="1" manualBreakCount="1">
    <brk id="46" max="1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00"/>
  <sheetViews>
    <sheetView view="pageBreakPreview" zoomScale="70" zoomScaleNormal="70" zoomScaleSheetLayoutView="70" workbookViewId="0" topLeftCell="A1">
      <selection pane="topLeft" activeCell="A1" sqref="A1"/>
    </sheetView>
  </sheetViews>
  <sheetFormatPr defaultColWidth="8.84375" defaultRowHeight="14"/>
  <cols>
    <col min="1" max="1" width="8.85714285714286" style="396"/>
    <col min="2" max="2" width="9.85714285714286" style="711" customWidth="1"/>
    <col min="3" max="3" width="19" style="711" customWidth="1"/>
    <col min="4" max="4" width="8.85714285714286" style="739"/>
    <col min="5" max="5" width="13.8571428571429" style="711" customWidth="1"/>
    <col min="6" max="6" width="16.4285714285714" style="711" customWidth="1"/>
    <col min="7" max="7" width="12.5" style="711" customWidth="1"/>
    <col min="8" max="8" width="12.7142857142857" style="711" customWidth="1"/>
    <col min="9" max="9" width="11.7857142857143" style="711" customWidth="1"/>
    <col min="10" max="10" width="13.2142857142857" style="711" customWidth="1"/>
    <col min="11" max="11" width="11.7142857142857" style="711" bestFit="1" customWidth="1"/>
    <col min="12" max="12" width="17.2857142857143" style="711" customWidth="1"/>
    <col min="13" max="13" width="13.0714285714286" style="711" customWidth="1"/>
    <col min="14" max="14" width="11.8571428571429" style="711" bestFit="1" customWidth="1"/>
    <col min="15" max="15" width="19.7142857142857" style="713" customWidth="1"/>
    <col min="16" max="18" width="8.85714285714286" style="713"/>
    <col min="19" max="19" width="11" style="713" customWidth="1"/>
    <col min="20" max="29" width="8.85714285714286" style="713"/>
    <col min="30" max="16384" width="8.85714285714286" style="711"/>
  </cols>
  <sheetData>
    <row r="1" ht="15.5">
      <c r="M1" s="207"/>
    </row>
    <row r="2" spans="7:13" ht="15.5">
      <c r="G2" s="29" t="s">
        <v>1063</v>
      </c>
      <c r="M2" s="207" t="s">
        <v>450</v>
      </c>
    </row>
    <row r="3" spans="7:13" ht="15.5">
      <c r="G3" s="209" t="str">
        <f>'Attachment H-7'!$D$5</f>
        <v>PECO Energy Company</v>
      </c>
      <c r="M3" s="207" t="s">
        <v>422</v>
      </c>
    </row>
    <row r="4" spans="2:13" ht="14">
      <c r="B4" s="867"/>
      <c r="C4" s="867"/>
      <c r="D4" s="868"/>
      <c r="E4" s="867"/>
      <c r="F4" s="867"/>
      <c r="G4" s="398" t="s">
        <v>451</v>
      </c>
      <c r="H4" s="867"/>
      <c r="I4" s="867"/>
      <c r="J4" s="867"/>
      <c r="K4" s="867"/>
      <c r="L4" s="867"/>
      <c r="M4" s="867"/>
    </row>
    <row r="5" spans="5:13" ht="15.5">
      <c r="E5" s="396"/>
      <c r="F5" s="396"/>
      <c r="G5" s="396"/>
      <c r="H5" s="396"/>
      <c r="I5" s="396"/>
      <c r="J5" s="396"/>
      <c r="K5" s="396"/>
      <c r="L5" s="396"/>
      <c r="M5" s="207" t="s">
        <v>1613</v>
      </c>
    </row>
    <row r="6" spans="5:12" ht="14">
      <c r="E6" s="396"/>
      <c r="F6" s="396"/>
      <c r="G6" s="396"/>
      <c r="H6" s="396"/>
      <c r="I6" s="396"/>
      <c r="J6" s="396"/>
      <c r="K6" s="396"/>
      <c r="L6" s="396"/>
    </row>
    <row r="7" spans="1:12" ht="14">
      <c r="A7" s="869" t="s">
        <v>452</v>
      </c>
      <c r="E7" s="396"/>
      <c r="F7" s="396"/>
      <c r="G7" s="396"/>
      <c r="H7" s="396"/>
      <c r="I7" s="396"/>
      <c r="J7" s="396"/>
      <c r="K7" s="396"/>
      <c r="L7" s="396"/>
    </row>
    <row r="8" spans="5:12" ht="14">
      <c r="E8" s="396"/>
      <c r="F8" s="396"/>
      <c r="G8" s="396"/>
      <c r="H8" s="396"/>
      <c r="I8" s="396"/>
      <c r="J8" s="396"/>
      <c r="K8" s="396"/>
      <c r="L8" s="396"/>
    </row>
    <row r="9" spans="2:13" ht="14">
      <c r="B9" s="711" t="s">
        <v>198</v>
      </c>
      <c r="C9" s="711" t="s">
        <v>199</v>
      </c>
      <c r="D9" s="739" t="s">
        <v>200</v>
      </c>
      <c r="E9" s="396" t="s">
        <v>201</v>
      </c>
      <c r="F9" s="396" t="s">
        <v>203</v>
      </c>
      <c r="G9" s="396" t="s">
        <v>202</v>
      </c>
      <c r="H9" s="396" t="s">
        <v>204</v>
      </c>
      <c r="I9" s="396" t="s">
        <v>1155</v>
      </c>
      <c r="J9" s="396" t="s">
        <v>206</v>
      </c>
      <c r="K9" s="396" t="s">
        <v>244</v>
      </c>
      <c r="L9" s="396" t="s">
        <v>248</v>
      </c>
      <c r="M9" s="396" t="s">
        <v>453</v>
      </c>
    </row>
    <row r="10" spans="2:13" ht="14">
      <c r="B10" s="396" t="s">
        <v>454</v>
      </c>
      <c r="C10" s="711" t="s">
        <v>167</v>
      </c>
      <c r="D10" s="739" t="s">
        <v>75</v>
      </c>
      <c r="E10" s="396" t="s">
        <v>455</v>
      </c>
      <c r="F10" s="396" t="s">
        <v>456</v>
      </c>
      <c r="G10" s="870">
        <v>1</v>
      </c>
      <c r="H10" s="396" t="s">
        <v>457</v>
      </c>
      <c r="I10" s="396" t="s">
        <v>458</v>
      </c>
      <c r="J10" s="396" t="s">
        <v>1136</v>
      </c>
      <c r="K10" s="396" t="s">
        <v>459</v>
      </c>
      <c r="L10" s="396" t="s">
        <v>460</v>
      </c>
      <c r="M10" s="396" t="s">
        <v>227</v>
      </c>
    </row>
    <row r="11" spans="2:13" ht="14">
      <c r="B11" s="396" t="s">
        <v>461</v>
      </c>
      <c r="E11" s="396" t="s">
        <v>462</v>
      </c>
      <c r="F11" s="396" t="s">
        <v>463</v>
      </c>
      <c r="G11" s="396" t="s">
        <v>17</v>
      </c>
      <c r="H11" s="870" t="s">
        <v>464</v>
      </c>
      <c r="I11" s="396" t="s">
        <v>465</v>
      </c>
      <c r="J11" s="870" t="s">
        <v>466</v>
      </c>
      <c r="K11" s="396" t="s">
        <v>467</v>
      </c>
      <c r="L11" s="870" t="s">
        <v>468</v>
      </c>
      <c r="M11" s="396" t="s">
        <v>469</v>
      </c>
    </row>
    <row r="12" spans="2:13" ht="14">
      <c r="B12" s="396" t="s">
        <v>470</v>
      </c>
      <c r="E12" s="396"/>
      <c r="F12" s="396"/>
      <c r="G12" s="396"/>
      <c r="H12" s="871">
        <v>1</v>
      </c>
      <c r="I12" s="396"/>
      <c r="J12" s="872">
        <f>+'Attachment H-7'!G53</f>
        <v>0.19040223971897385</v>
      </c>
      <c r="K12" s="873"/>
      <c r="L12" s="872">
        <f>+'Attachment H-7'!I197</f>
        <v>0.09880621410235467</v>
      </c>
      <c r="M12" s="396" t="s">
        <v>471</v>
      </c>
    </row>
    <row r="13" spans="2:15" ht="15.5">
      <c r="B13" s="396" t="s">
        <v>472</v>
      </c>
      <c r="E13" s="396"/>
      <c r="F13" s="396"/>
      <c r="G13" s="396"/>
      <c r="H13" s="874"/>
      <c r="I13" s="396"/>
      <c r="J13" s="396" t="s">
        <v>473</v>
      </c>
      <c r="K13" s="396"/>
      <c r="L13" s="396" t="s">
        <v>473</v>
      </c>
      <c r="M13" s="396"/>
      <c r="O13" s="875"/>
    </row>
    <row r="14" spans="2:13" ht="14">
      <c r="B14" s="713"/>
      <c r="C14" s="721" t="s">
        <v>474</v>
      </c>
      <c r="E14" s="396"/>
      <c r="F14" s="396"/>
      <c r="G14" s="396"/>
      <c r="H14" s="396"/>
      <c r="I14" s="396"/>
      <c r="J14" s="396" t="s">
        <v>475</v>
      </c>
      <c r="K14" s="396"/>
      <c r="L14" s="396" t="s">
        <v>476</v>
      </c>
      <c r="M14" s="396"/>
    </row>
    <row r="15" spans="1:19" ht="15.5">
      <c r="A15" s="396">
        <v>1</v>
      </c>
      <c r="B15" s="711" t="s">
        <v>477</v>
      </c>
      <c r="C15" s="711" t="s">
        <v>196</v>
      </c>
      <c r="D15" s="876">
        <v>2018</v>
      </c>
      <c r="E15" s="877">
        <v>1</v>
      </c>
      <c r="F15" s="878">
        <v>0</v>
      </c>
      <c r="G15" s="878">
        <f>'4C - ADIT EOY'!E111</f>
        <v>-189143728.71373379</v>
      </c>
      <c r="H15" s="879">
        <f t="shared" si="0" ref="H15:H27">+H$12*G15</f>
        <v>-189143728.71373379</v>
      </c>
      <c r="I15" s="878">
        <f>'4C - ADIT EOY'!F111</f>
        <v>0</v>
      </c>
      <c r="J15" s="879">
        <f t="shared" si="1" ref="J15:J27">+I15*J$12</f>
        <v>0</v>
      </c>
      <c r="K15" s="878">
        <f>'4C - ADIT EOY'!G111</f>
        <v>-30828317.5</v>
      </c>
      <c r="L15" s="879">
        <f t="shared" si="2" ref="J15:L29">+K15*L$12</f>
        <v>-3046029.3393203672</v>
      </c>
      <c r="M15" s="878">
        <f t="shared" si="3" ref="M15:M27">(L15+J15+H15)*E15</f>
        <v>-192189758.05305415</v>
      </c>
      <c r="N15" s="880"/>
      <c r="O15" s="881"/>
      <c r="P15" s="881"/>
      <c r="Q15" s="881"/>
      <c r="R15" s="881"/>
      <c r="S15" s="881"/>
    </row>
    <row r="16" spans="1:19" ht="15.5">
      <c r="A16" s="396">
        <v>2</v>
      </c>
      <c r="B16" s="711" t="s">
        <v>478</v>
      </c>
      <c r="C16" s="711" t="s">
        <v>84</v>
      </c>
      <c r="D16" s="876">
        <f>+D15+1</f>
        <v>2019</v>
      </c>
      <c r="E16" s="877">
        <v>0.9178082191780822</v>
      </c>
      <c r="F16" s="879">
        <v>0</v>
      </c>
      <c r="G16" s="879">
        <v>-144633.78541097822</v>
      </c>
      <c r="H16" s="879">
        <f t="shared" si="0"/>
        <v>-144633.78541097822</v>
      </c>
      <c r="I16" s="879">
        <v>0</v>
      </c>
      <c r="J16" s="879">
        <f t="shared" si="1"/>
        <v>0</v>
      </c>
      <c r="K16" s="878">
        <v>-78958.022500000006</v>
      </c>
      <c r="L16" s="879">
        <f t="shared" si="2"/>
        <v>-7801.5432762335377</v>
      </c>
      <c r="M16" s="878">
        <f t="shared" si="3"/>
        <v>-139906.39756223545</v>
      </c>
      <c r="N16" s="882"/>
      <c r="O16" s="883"/>
      <c r="P16" s="881"/>
      <c r="Q16" s="881"/>
      <c r="R16" s="881"/>
      <c r="S16" s="881"/>
    </row>
    <row r="17" spans="1:19" ht="15.5">
      <c r="A17" s="396">
        <f>+A16+1</f>
        <v>3</v>
      </c>
      <c r="B17" s="711" t="s">
        <v>478</v>
      </c>
      <c r="C17" s="713" t="s">
        <v>83</v>
      </c>
      <c r="D17" s="876">
        <f>+D16</f>
        <v>2019</v>
      </c>
      <c r="E17" s="877">
        <v>0.84109589041095889</v>
      </c>
      <c r="F17" s="879">
        <f>+F16</f>
        <v>0</v>
      </c>
      <c r="G17" s="879">
        <v>-144633.78541097822</v>
      </c>
      <c r="H17" s="879">
        <f t="shared" si="0"/>
        <v>-144633.78541097822</v>
      </c>
      <c r="I17" s="879">
        <f>+I16</f>
        <v>0</v>
      </c>
      <c r="J17" s="879">
        <f t="shared" si="1"/>
        <v>0</v>
      </c>
      <c r="K17" s="878">
        <v>-78958.022500000006</v>
      </c>
      <c r="L17" s="879">
        <f t="shared" si="2"/>
        <v>-7801.5432762335377</v>
      </c>
      <c r="M17" s="878">
        <f t="shared" si="3"/>
        <v>-128212.72851225756</v>
      </c>
      <c r="N17" s="882"/>
      <c r="O17" s="884"/>
      <c r="P17" s="885"/>
      <c r="Q17" s="886"/>
      <c r="R17" s="886"/>
      <c r="S17" s="886"/>
    </row>
    <row r="18" spans="1:19" ht="15.5">
      <c r="A18" s="396">
        <f t="shared" si="4" ref="A18:A30">+A17+1</f>
        <v>4</v>
      </c>
      <c r="B18" s="711" t="s">
        <v>478</v>
      </c>
      <c r="C18" s="713" t="s">
        <v>82</v>
      </c>
      <c r="D18" s="876">
        <f t="shared" si="5" ref="D18:D28">+D17</f>
        <v>2019</v>
      </c>
      <c r="E18" s="877">
        <v>0.75616438356164384</v>
      </c>
      <c r="F18" s="879">
        <f>+F17</f>
        <v>0</v>
      </c>
      <c r="G18" s="879">
        <v>-144633.78541097822</v>
      </c>
      <c r="H18" s="879">
        <f t="shared" si="0"/>
        <v>-144633.78541097822</v>
      </c>
      <c r="I18" s="879">
        <f t="shared" si="6" ref="I18:I27">+I17</f>
        <v>0</v>
      </c>
      <c r="J18" s="879">
        <f t="shared" si="1"/>
        <v>0</v>
      </c>
      <c r="K18" s="878">
        <v>-78958.022500000006</v>
      </c>
      <c r="L18" s="879">
        <f t="shared" si="2"/>
        <v>-7801.5432762335377</v>
      </c>
      <c r="M18" s="878">
        <f t="shared" si="3"/>
        <v>-115266.16634978204</v>
      </c>
      <c r="N18" s="882"/>
      <c r="O18" s="885"/>
      <c r="P18" s="887"/>
      <c r="Q18" s="886"/>
      <c r="R18" s="886"/>
      <c r="S18" s="888"/>
    </row>
    <row r="19" spans="1:19" ht="15.5">
      <c r="A19" s="396">
        <f t="shared" si="4"/>
        <v>5</v>
      </c>
      <c r="B19" s="711" t="s">
        <v>478</v>
      </c>
      <c r="C19" s="713" t="s">
        <v>74</v>
      </c>
      <c r="D19" s="876">
        <f t="shared" si="5"/>
        <v>2019</v>
      </c>
      <c r="E19" s="877">
        <v>0.67397260273972603</v>
      </c>
      <c r="F19" s="879">
        <f t="shared" si="7" ref="F19:F27">+F18</f>
        <v>0</v>
      </c>
      <c r="G19" s="879">
        <v>-144633.78541097822</v>
      </c>
      <c r="H19" s="879">
        <f t="shared" si="0"/>
        <v>-144633.78541097822</v>
      </c>
      <c r="I19" s="879">
        <f t="shared" si="6"/>
        <v>0</v>
      </c>
      <c r="J19" s="879">
        <f t="shared" si="1"/>
        <v>0</v>
      </c>
      <c r="K19" s="878">
        <v>-78958.022500000006</v>
      </c>
      <c r="L19" s="879">
        <f t="shared" si="2"/>
        <v>-7801.5432762335377</v>
      </c>
      <c r="M19" s="878">
        <f t="shared" si="3"/>
        <v>-102737.23522480573</v>
      </c>
      <c r="N19" s="882"/>
      <c r="O19" s="885"/>
      <c r="P19" s="887"/>
      <c r="Q19" s="886"/>
      <c r="R19" s="886"/>
      <c r="S19" s="888"/>
    </row>
    <row r="20" spans="1:19" ht="15.5">
      <c r="A20" s="396">
        <f t="shared" si="4"/>
        <v>6</v>
      </c>
      <c r="B20" s="711" t="s">
        <v>478</v>
      </c>
      <c r="C20" s="713" t="s">
        <v>73</v>
      </c>
      <c r="D20" s="876">
        <f t="shared" si="5"/>
        <v>2019</v>
      </c>
      <c r="E20" s="877">
        <v>0.58904109589041098</v>
      </c>
      <c r="F20" s="879">
        <f t="shared" si="7"/>
        <v>0</v>
      </c>
      <c r="G20" s="879">
        <v>-144633.78541097822</v>
      </c>
      <c r="H20" s="879">
        <f t="shared" si="0"/>
        <v>-144633.78541097822</v>
      </c>
      <c r="I20" s="879">
        <f t="shared" si="6"/>
        <v>0</v>
      </c>
      <c r="J20" s="879">
        <f t="shared" si="1"/>
        <v>0</v>
      </c>
      <c r="K20" s="878">
        <v>-78958.022500000006</v>
      </c>
      <c r="L20" s="879">
        <f t="shared" si="2"/>
        <v>-7801.5432762335377</v>
      </c>
      <c r="M20" s="878">
        <f t="shared" si="3"/>
        <v>-89790.673062330214</v>
      </c>
      <c r="N20" s="882"/>
      <c r="O20" s="885"/>
      <c r="P20" s="887"/>
      <c r="Q20" s="886"/>
      <c r="R20" s="886"/>
      <c r="S20" s="888"/>
    </row>
    <row r="21" spans="1:19" ht="15.5">
      <c r="A21" s="396">
        <f t="shared" si="4"/>
        <v>7</v>
      </c>
      <c r="B21" s="711" t="s">
        <v>478</v>
      </c>
      <c r="C21" s="713" t="s">
        <v>93</v>
      </c>
      <c r="D21" s="876">
        <f t="shared" si="5"/>
        <v>2019</v>
      </c>
      <c r="E21" s="877">
        <v>0.50684931506849318</v>
      </c>
      <c r="F21" s="879">
        <f t="shared" si="7"/>
        <v>0</v>
      </c>
      <c r="G21" s="879">
        <v>-144633.78541097822</v>
      </c>
      <c r="H21" s="879">
        <f t="shared" si="0"/>
        <v>-144633.78541097822</v>
      </c>
      <c r="I21" s="879">
        <f t="shared" si="6"/>
        <v>0</v>
      </c>
      <c r="J21" s="879">
        <f t="shared" si="1"/>
        <v>0</v>
      </c>
      <c r="K21" s="878">
        <v>-78958.022500000006</v>
      </c>
      <c r="L21" s="879">
        <f t="shared" si="2"/>
        <v>-7801.5432762335377</v>
      </c>
      <c r="M21" s="878">
        <f t="shared" si="3"/>
        <v>-77261.741937353916</v>
      </c>
      <c r="N21" s="882"/>
      <c r="O21" s="885"/>
      <c r="P21" s="887"/>
      <c r="Q21" s="886"/>
      <c r="R21" s="886"/>
      <c r="S21" s="888"/>
    </row>
    <row r="22" spans="1:19" ht="15.5">
      <c r="A22" s="396">
        <f t="shared" si="4"/>
        <v>8</v>
      </c>
      <c r="B22" s="711" t="s">
        <v>478</v>
      </c>
      <c r="C22" s="713" t="s">
        <v>81</v>
      </c>
      <c r="D22" s="876">
        <f t="shared" si="5"/>
        <v>2019</v>
      </c>
      <c r="E22" s="877">
        <v>0.42191780821917807</v>
      </c>
      <c r="F22" s="879">
        <f t="shared" si="7"/>
        <v>0</v>
      </c>
      <c r="G22" s="879">
        <v>-144633.78541097822</v>
      </c>
      <c r="H22" s="879">
        <f t="shared" si="0"/>
        <v>-144633.78541097822</v>
      </c>
      <c r="I22" s="879">
        <f t="shared" si="6"/>
        <v>0</v>
      </c>
      <c r="J22" s="879">
        <f t="shared" si="1"/>
        <v>0</v>
      </c>
      <c r="K22" s="878">
        <v>-78958.022500000006</v>
      </c>
      <c r="L22" s="879">
        <f t="shared" si="2"/>
        <v>-7801.5432762335377</v>
      </c>
      <c r="M22" s="878">
        <f t="shared" si="3"/>
        <v>-64315.179774878387</v>
      </c>
      <c r="N22" s="882"/>
      <c r="O22" s="885"/>
      <c r="P22" s="887"/>
      <c r="Q22" s="886"/>
      <c r="R22" s="886"/>
      <c r="S22" s="888"/>
    </row>
    <row r="23" spans="1:19" ht="15.5">
      <c r="A23" s="396">
        <f t="shared" si="4"/>
        <v>9</v>
      </c>
      <c r="B23" s="711" t="s">
        <v>478</v>
      </c>
      <c r="C23" s="713" t="s">
        <v>80</v>
      </c>
      <c r="D23" s="876">
        <f t="shared" si="5"/>
        <v>2019</v>
      </c>
      <c r="E23" s="877">
        <v>0.33698630136986302</v>
      </c>
      <c r="F23" s="879">
        <f t="shared" si="7"/>
        <v>0</v>
      </c>
      <c r="G23" s="879">
        <v>-144633.78541097822</v>
      </c>
      <c r="H23" s="879">
        <f t="shared" si="0"/>
        <v>-144633.78541097822</v>
      </c>
      <c r="I23" s="879">
        <f t="shared" si="6"/>
        <v>0</v>
      </c>
      <c r="J23" s="879">
        <f t="shared" si="1"/>
        <v>0</v>
      </c>
      <c r="K23" s="878">
        <v>-78958.022500000006</v>
      </c>
      <c r="L23" s="879">
        <f t="shared" si="2"/>
        <v>-7801.5432762335377</v>
      </c>
      <c r="M23" s="878">
        <f t="shared" si="3"/>
        <v>-51368.617612402864</v>
      </c>
      <c r="N23" s="882"/>
      <c r="O23" s="885"/>
      <c r="P23" s="887"/>
      <c r="Q23" s="886"/>
      <c r="R23" s="886"/>
      <c r="S23" s="888"/>
    </row>
    <row r="24" spans="1:19" ht="15.5">
      <c r="A24" s="396">
        <f t="shared" si="4"/>
        <v>10</v>
      </c>
      <c r="B24" s="711" t="s">
        <v>478</v>
      </c>
      <c r="C24" s="713" t="s">
        <v>79</v>
      </c>
      <c r="D24" s="876">
        <f t="shared" si="5"/>
        <v>2019</v>
      </c>
      <c r="E24" s="877">
        <v>0.25479452054794521</v>
      </c>
      <c r="F24" s="879">
        <f t="shared" si="7"/>
        <v>0</v>
      </c>
      <c r="G24" s="879">
        <v>-144633.78541097822</v>
      </c>
      <c r="H24" s="879">
        <f t="shared" si="0"/>
        <v>-144633.78541097822</v>
      </c>
      <c r="I24" s="879">
        <f t="shared" si="6"/>
        <v>0</v>
      </c>
      <c r="J24" s="879">
        <f t="shared" si="1"/>
        <v>0</v>
      </c>
      <c r="K24" s="878">
        <v>-78958.022500000006</v>
      </c>
      <c r="L24" s="879">
        <f t="shared" si="2"/>
        <v>-7801.5432762335377</v>
      </c>
      <c r="M24" s="878">
        <f t="shared" si="3"/>
        <v>-38839.686487426559</v>
      </c>
      <c r="N24" s="882"/>
      <c r="O24" s="885"/>
      <c r="P24" s="887"/>
      <c r="Q24" s="886"/>
      <c r="R24" s="886"/>
      <c r="S24" s="888"/>
    </row>
    <row r="25" spans="1:19" ht="15.5">
      <c r="A25" s="396">
        <f t="shared" si="4"/>
        <v>11</v>
      </c>
      <c r="B25" s="711" t="s">
        <v>478</v>
      </c>
      <c r="C25" s="713" t="s">
        <v>85</v>
      </c>
      <c r="D25" s="876">
        <f t="shared" si="5"/>
        <v>2019</v>
      </c>
      <c r="E25" s="877">
        <v>0.16986301369863013</v>
      </c>
      <c r="F25" s="879">
        <f t="shared" si="7"/>
        <v>0</v>
      </c>
      <c r="G25" s="879">
        <v>-144633.78541097822</v>
      </c>
      <c r="H25" s="879">
        <f t="shared" si="0"/>
        <v>-144633.78541097822</v>
      </c>
      <c r="I25" s="879">
        <f t="shared" si="6"/>
        <v>0</v>
      </c>
      <c r="J25" s="879">
        <f t="shared" si="1"/>
        <v>0</v>
      </c>
      <c r="K25" s="878">
        <v>-78958.022500000006</v>
      </c>
      <c r="L25" s="879">
        <f t="shared" si="2"/>
        <v>-7801.5432762335377</v>
      </c>
      <c r="M25" s="878">
        <f t="shared" si="3"/>
        <v>-25893.124324951037</v>
      </c>
      <c r="N25" s="882"/>
      <c r="O25" s="885"/>
      <c r="P25" s="887"/>
      <c r="Q25" s="886"/>
      <c r="R25" s="886"/>
      <c r="S25" s="888"/>
    </row>
    <row r="26" spans="1:19" ht="15.5">
      <c r="A26" s="396">
        <f t="shared" si="4"/>
        <v>12</v>
      </c>
      <c r="B26" s="711" t="s">
        <v>478</v>
      </c>
      <c r="C26" s="713" t="s">
        <v>78</v>
      </c>
      <c r="D26" s="876">
        <f t="shared" si="5"/>
        <v>2019</v>
      </c>
      <c r="E26" s="877">
        <v>0.087671232876712329</v>
      </c>
      <c r="F26" s="879">
        <f t="shared" si="7"/>
        <v>0</v>
      </c>
      <c r="G26" s="879">
        <v>-144633.78541097822</v>
      </c>
      <c r="H26" s="879">
        <f t="shared" si="0"/>
        <v>-144633.78541097822</v>
      </c>
      <c r="I26" s="879">
        <f t="shared" si="6"/>
        <v>0</v>
      </c>
      <c r="J26" s="879">
        <f t="shared" si="1"/>
        <v>0</v>
      </c>
      <c r="K26" s="878">
        <v>-78958.022500000006</v>
      </c>
      <c r="L26" s="879">
        <f t="shared" si="2"/>
        <v>-7801.5432762335377</v>
      </c>
      <c r="M26" s="878">
        <f t="shared" si="3"/>
        <v>-13364.19319997473</v>
      </c>
      <c r="N26" s="882"/>
      <c r="O26" s="885"/>
      <c r="P26" s="887"/>
      <c r="Q26" s="886"/>
      <c r="R26" s="886"/>
      <c r="S26" s="888"/>
    </row>
    <row r="27" spans="1:19" ht="15.5">
      <c r="A27" s="396">
        <f t="shared" si="4"/>
        <v>13</v>
      </c>
      <c r="B27" s="711" t="s">
        <v>478</v>
      </c>
      <c r="C27" s="711" t="str">
        <f>+C15</f>
        <v>December </v>
      </c>
      <c r="D27" s="876">
        <f t="shared" si="5"/>
        <v>2019</v>
      </c>
      <c r="E27" s="877">
        <v>0.0027397260273972603</v>
      </c>
      <c r="F27" s="879">
        <f t="shared" si="7"/>
        <v>0</v>
      </c>
      <c r="G27" s="879">
        <v>-144633.78541097822</v>
      </c>
      <c r="H27" s="879">
        <f t="shared" si="0"/>
        <v>-144633.78541097822</v>
      </c>
      <c r="I27" s="879">
        <f t="shared" si="6"/>
        <v>0</v>
      </c>
      <c r="J27" s="879">
        <f t="shared" si="1"/>
        <v>0</v>
      </c>
      <c r="K27" s="878">
        <v>-78958.022500000006</v>
      </c>
      <c r="L27" s="879">
        <f t="shared" si="2"/>
        <v>-7801.5432762335377</v>
      </c>
      <c r="M27" s="878">
        <f t="shared" si="3"/>
        <v>-417.63103749921032</v>
      </c>
      <c r="N27" s="882"/>
      <c r="O27" s="885"/>
      <c r="P27" s="887"/>
      <c r="Q27" s="886"/>
      <c r="R27" s="886"/>
      <c r="S27" s="888"/>
    </row>
    <row r="28" spans="1:19" ht="15.5">
      <c r="A28" s="396">
        <f t="shared" si="4"/>
        <v>14</v>
      </c>
      <c r="B28" s="711" t="s">
        <v>479</v>
      </c>
      <c r="D28" s="876">
        <f t="shared" si="5"/>
        <v>2019</v>
      </c>
      <c r="E28" s="889" t="s">
        <v>477</v>
      </c>
      <c r="F28" s="890">
        <f>SUM(F15:F27)</f>
        <v>0</v>
      </c>
      <c r="G28" s="890">
        <f>SUM(G15:G27)</f>
        <v>-190879334.13866544</v>
      </c>
      <c r="H28" s="890">
        <f>SUM(H15:H27)</f>
        <v>-190879334.13866544</v>
      </c>
      <c r="I28" s="890">
        <f>SUM(I15:I27)</f>
        <v>0</v>
      </c>
      <c r="J28" s="890">
        <f>+J12*I28</f>
        <v>0</v>
      </c>
      <c r="K28" s="890">
        <f>SUM(K15:K27)</f>
        <v>-31775813.770000011</v>
      </c>
      <c r="L28" s="890">
        <f>SUM(L15:L27)</f>
        <v>-3139647.8586351704</v>
      </c>
      <c r="M28" s="890">
        <f>SUM(M15:M27)</f>
        <v>-193037131.42814001</v>
      </c>
      <c r="O28" s="885"/>
      <c r="P28" s="887"/>
      <c r="Q28" s="886"/>
      <c r="R28" s="886"/>
      <c r="S28" s="888"/>
    </row>
    <row r="29" spans="1:19" ht="15.5">
      <c r="A29" s="396">
        <f t="shared" si="4"/>
        <v>15</v>
      </c>
      <c r="B29" s="711" t="s">
        <v>478</v>
      </c>
      <c r="C29" s="711" t="s">
        <v>969</v>
      </c>
      <c r="D29" s="876">
        <v>2017</v>
      </c>
      <c r="E29" s="889"/>
      <c r="F29" s="889"/>
      <c r="G29" s="1037">
        <v>-6976031.6140019596</v>
      </c>
      <c r="H29" s="879">
        <f>G29</f>
        <v>-6976031.6140019596</v>
      </c>
      <c r="I29" s="878">
        <v>0</v>
      </c>
      <c r="J29" s="879">
        <f t="shared" si="2"/>
        <v>0</v>
      </c>
      <c r="K29" s="878">
        <v>0</v>
      </c>
      <c r="L29" s="879">
        <f t="shared" si="8" ref="L29">+K29*L$12</f>
        <v>0</v>
      </c>
      <c r="M29" s="878">
        <f>H29+J29+L29</f>
        <v>-6976031.6140019596</v>
      </c>
      <c r="O29" s="885"/>
      <c r="P29" s="887"/>
      <c r="Q29" s="886"/>
      <c r="R29" s="886"/>
      <c r="S29" s="888"/>
    </row>
    <row r="30" spans="1:13" ht="14">
      <c r="A30" s="396">
        <f t="shared" si="4"/>
        <v>16</v>
      </c>
      <c r="B30" s="711" t="s">
        <v>13</v>
      </c>
      <c r="D30" s="891"/>
      <c r="G30" s="892">
        <f t="shared" si="9" ref="G30:M30">SUM(G28:G29)</f>
        <v>-197855365.7526674</v>
      </c>
      <c r="H30" s="892">
        <f t="shared" si="9"/>
        <v>-197855365.7526674</v>
      </c>
      <c r="I30" s="892">
        <f t="shared" si="9"/>
        <v>0</v>
      </c>
      <c r="J30" s="892">
        <f t="shared" si="9"/>
        <v>0</v>
      </c>
      <c r="K30" s="892">
        <f t="shared" si="9"/>
        <v>-31775813.770000011</v>
      </c>
      <c r="L30" s="892">
        <f t="shared" si="9"/>
        <v>-3139647.8586351704</v>
      </c>
      <c r="M30" s="892">
        <f t="shared" si="9"/>
        <v>-200013163.04214197</v>
      </c>
    </row>
    <row r="31" spans="2:4" ht="14">
      <c r="B31" s="713"/>
      <c r="C31" s="721" t="s">
        <v>480</v>
      </c>
      <c r="D31" s="891"/>
    </row>
    <row r="32" spans="1:13" ht="14">
      <c r="A32" s="396">
        <f>A30+1</f>
        <v>17</v>
      </c>
      <c r="B32" s="713" t="s">
        <v>477</v>
      </c>
      <c r="C32" s="713" t="s">
        <v>196</v>
      </c>
      <c r="D32" s="876">
        <f>+D15</f>
        <v>2018</v>
      </c>
      <c r="F32" s="893">
        <v>0</v>
      </c>
      <c r="G32" s="893">
        <f>'4C - ADIT EOY'!E171</f>
        <v>0</v>
      </c>
      <c r="H32" s="893">
        <f>+G32*H12</f>
        <v>0</v>
      </c>
      <c r="I32" s="893">
        <f>'4C - ADIT EOY'!F171</f>
        <v>-5581934.0465911357</v>
      </c>
      <c r="J32" s="893">
        <f>+I32*J12</f>
        <v>-1062812.7444345471</v>
      </c>
      <c r="K32" s="893">
        <f>'4C - ADIT EOY'!G171</f>
        <v>-108797635.51156461</v>
      </c>
      <c r="L32" s="893">
        <f>+K32*L12</f>
        <v>-10749882.468185598</v>
      </c>
      <c r="M32" s="894">
        <f>+L32+J32+H32</f>
        <v>-11812695.212620145</v>
      </c>
    </row>
    <row r="33" spans="1:13" ht="14">
      <c r="A33" s="396">
        <f t="shared" si="10" ref="A33:A34">+A32+1</f>
        <v>18</v>
      </c>
      <c r="B33" s="713" t="s">
        <v>477</v>
      </c>
      <c r="C33" s="713" t="str">
        <f>+C32</f>
        <v>December </v>
      </c>
      <c r="D33" s="876">
        <f>+D32+1</f>
        <v>2019</v>
      </c>
      <c r="F33" s="893">
        <v>0</v>
      </c>
      <c r="G33" s="893">
        <f>G32</f>
        <v>0</v>
      </c>
      <c r="H33" s="893">
        <f>+G33*H12</f>
        <v>0</v>
      </c>
      <c r="I33" s="1038">
        <v>-5581934.0494803498</v>
      </c>
      <c r="J33" s="893">
        <f>+I33*J12</f>
        <v>-1062812.7449846601</v>
      </c>
      <c r="K33" s="1039">
        <v>-108674258.47419</v>
      </c>
      <c r="L33" s="893">
        <f>+K33*L12</f>
        <v>-10737692.050215447</v>
      </c>
      <c r="M33" s="894">
        <f>+L33+J33+H33</f>
        <v>-11800504.795200108</v>
      </c>
    </row>
    <row r="34" spans="1:13" ht="14">
      <c r="A34" s="396">
        <f t="shared" si="10"/>
        <v>19</v>
      </c>
      <c r="B34" s="713"/>
      <c r="C34" s="713" t="s">
        <v>481</v>
      </c>
      <c r="D34" s="891"/>
      <c r="F34" s="890">
        <f t="shared" si="11" ref="F34:L34">+F32/2+F33/2</f>
        <v>0</v>
      </c>
      <c r="G34" s="890">
        <f t="shared" si="11"/>
        <v>0</v>
      </c>
      <c r="H34" s="890">
        <f t="shared" si="11"/>
        <v>0</v>
      </c>
      <c r="I34" s="890">
        <f t="shared" si="11"/>
        <v>-5581934.0480357427</v>
      </c>
      <c r="J34" s="890">
        <f t="shared" si="11"/>
        <v>-1062812.7447096035</v>
      </c>
      <c r="K34" s="890">
        <f t="shared" si="11"/>
        <v>-108735946.99287731</v>
      </c>
      <c r="L34" s="890">
        <f t="shared" si="11"/>
        <v>-10743787.259200523</v>
      </c>
      <c r="M34" s="895">
        <f>+L34+J34+H34</f>
        <v>-11806600.003910126</v>
      </c>
    </row>
    <row r="35" spans="2:11" ht="14">
      <c r="B35" s="713"/>
      <c r="C35" s="713"/>
      <c r="D35" s="891"/>
      <c r="E35" s="890"/>
      <c r="G35" s="896"/>
      <c r="H35" s="890"/>
      <c r="I35" s="890"/>
      <c r="J35" s="890"/>
      <c r="K35" s="890"/>
    </row>
    <row r="36" spans="2:11" ht="14">
      <c r="B36" s="713"/>
      <c r="C36" s="713"/>
      <c r="D36" s="891"/>
      <c r="E36" s="890"/>
      <c r="F36" s="890"/>
      <c r="G36" s="890"/>
      <c r="I36" s="896"/>
      <c r="J36" s="890"/>
      <c r="K36" s="890"/>
    </row>
    <row r="37" spans="2:4" ht="14">
      <c r="B37" s="713"/>
      <c r="C37" s="721" t="s">
        <v>482</v>
      </c>
      <c r="D37" s="891"/>
    </row>
    <row r="38" spans="1:13" ht="14">
      <c r="A38" s="396">
        <f>A34+1</f>
        <v>20</v>
      </c>
      <c r="B38" s="713" t="s">
        <v>477</v>
      </c>
      <c r="C38" s="713" t="s">
        <v>196</v>
      </c>
      <c r="D38" s="876">
        <f>D32</f>
        <v>2018</v>
      </c>
      <c r="F38" s="890" t="s">
        <v>703</v>
      </c>
      <c r="G38" s="890" t="s">
        <v>703</v>
      </c>
      <c r="H38" s="890" t="s">
        <v>703</v>
      </c>
      <c r="I38" s="890" t="s">
        <v>703</v>
      </c>
      <c r="J38" s="890" t="s">
        <v>703</v>
      </c>
      <c r="K38" s="890" t="s">
        <v>703</v>
      </c>
      <c r="L38" s="890" t="s">
        <v>703</v>
      </c>
      <c r="M38" s="890" t="s">
        <v>703</v>
      </c>
    </row>
    <row r="39" spans="1:13" ht="14">
      <c r="A39" s="396">
        <f t="shared" si="12" ref="A39:A40">+A38+1</f>
        <v>21</v>
      </c>
      <c r="B39" s="713" t="s">
        <v>477</v>
      </c>
      <c r="C39" s="713" t="str">
        <f>+C38</f>
        <v>December </v>
      </c>
      <c r="D39" s="876">
        <f>D33</f>
        <v>2019</v>
      </c>
      <c r="F39" s="890" t="s">
        <v>703</v>
      </c>
      <c r="G39" s="890" t="s">
        <v>703</v>
      </c>
      <c r="H39" s="890" t="s">
        <v>703</v>
      </c>
      <c r="I39" s="890" t="s">
        <v>703</v>
      </c>
      <c r="J39" s="890" t="s">
        <v>703</v>
      </c>
      <c r="K39" s="890" t="s">
        <v>703</v>
      </c>
      <c r="L39" s="890" t="s">
        <v>703</v>
      </c>
      <c r="M39" s="890" t="s">
        <v>703</v>
      </c>
    </row>
    <row r="40" spans="1:13" ht="14">
      <c r="A40" s="396">
        <f t="shared" si="12"/>
        <v>22</v>
      </c>
      <c r="B40" s="713"/>
      <c r="C40" s="713" t="s">
        <v>481</v>
      </c>
      <c r="D40" s="891"/>
      <c r="F40" s="890" t="s">
        <v>703</v>
      </c>
      <c r="G40" s="890" t="s">
        <v>703</v>
      </c>
      <c r="H40" s="890" t="s">
        <v>703</v>
      </c>
      <c r="I40" s="890" t="s">
        <v>703</v>
      </c>
      <c r="J40" s="890" t="s">
        <v>703</v>
      </c>
      <c r="K40" s="890" t="s">
        <v>703</v>
      </c>
      <c r="L40" s="890" t="s">
        <v>703</v>
      </c>
      <c r="M40" s="890" t="s">
        <v>703</v>
      </c>
    </row>
    <row r="41" spans="2:12" ht="14">
      <c r="B41" s="713"/>
      <c r="C41" s="713"/>
      <c r="D41" s="891"/>
      <c r="E41" s="890"/>
      <c r="F41" s="890"/>
      <c r="G41" s="890"/>
      <c r="H41" s="890"/>
      <c r="I41" s="890"/>
      <c r="J41" s="890"/>
      <c r="K41" s="890"/>
      <c r="L41" s="895"/>
    </row>
    <row r="42" spans="2:11" ht="14">
      <c r="B42" s="713"/>
      <c r="C42" s="713"/>
      <c r="D42" s="891"/>
      <c r="E42" s="897"/>
      <c r="F42" s="897"/>
      <c r="G42" s="897"/>
      <c r="H42" s="897"/>
      <c r="I42" s="897"/>
      <c r="J42" s="897"/>
      <c r="K42" s="897"/>
    </row>
    <row r="43" spans="2:11" ht="14">
      <c r="B43" s="713"/>
      <c r="C43" s="721" t="s">
        <v>483</v>
      </c>
      <c r="D43" s="891"/>
      <c r="E43" s="897"/>
      <c r="F43" s="897"/>
      <c r="G43" s="897"/>
      <c r="H43" s="897"/>
      <c r="I43" s="897"/>
      <c r="J43" s="897"/>
      <c r="K43" s="897"/>
    </row>
    <row r="44" spans="1:19" ht="15.5">
      <c r="A44" s="396">
        <f>+A40+1</f>
        <v>23</v>
      </c>
      <c r="B44" s="711" t="s">
        <v>477</v>
      </c>
      <c r="C44" s="711" t="s">
        <v>196</v>
      </c>
      <c r="D44" s="876">
        <f>D15</f>
        <v>2018</v>
      </c>
      <c r="E44" s="877">
        <v>1</v>
      </c>
      <c r="F44" s="893">
        <v>0</v>
      </c>
      <c r="G44" s="893">
        <f>+'4C - ADIT EOY'!E76</f>
        <v>0</v>
      </c>
      <c r="H44" s="893">
        <f t="shared" si="13" ref="H44:H56">+H$12*G44</f>
        <v>0</v>
      </c>
      <c r="I44" s="893">
        <f>'4C - ADIT EOY'!F76</f>
        <v>13690675.525985844</v>
      </c>
      <c r="J44" s="893">
        <f t="shared" si="14" ref="J44:J56">+I44*J$12</f>
        <v>2606735.2834134451</v>
      </c>
      <c r="K44" s="893">
        <f>'4C - ADIT EOY'!G76</f>
        <v>131938477.59999999</v>
      </c>
      <c r="L44" s="893">
        <f t="shared" si="15" ref="L44:L56">+K44*L$12</f>
        <v>13036341.466084326</v>
      </c>
      <c r="M44" s="898">
        <f>+L44+J44+H44</f>
        <v>15643076.749497771</v>
      </c>
      <c r="N44" s="892"/>
      <c r="O44" s="899"/>
      <c r="P44" s="899"/>
      <c r="Q44" s="899"/>
      <c r="R44" s="899"/>
      <c r="S44" s="899"/>
    </row>
    <row r="45" spans="1:19" ht="15.5">
      <c r="A45" s="396">
        <f>+A44+1</f>
        <v>24</v>
      </c>
      <c r="B45" s="711" t="s">
        <v>478</v>
      </c>
      <c r="C45" s="711" t="s">
        <v>84</v>
      </c>
      <c r="D45" s="876">
        <f>+D44+1</f>
        <v>2019</v>
      </c>
      <c r="E45" s="877">
        <v>0.9178082191780822</v>
      </c>
      <c r="F45" s="893">
        <v>0</v>
      </c>
      <c r="G45" s="893"/>
      <c r="H45" s="893">
        <f t="shared" si="13"/>
        <v>0</v>
      </c>
      <c r="I45" s="893">
        <v>0</v>
      </c>
      <c r="J45" s="893">
        <f t="shared" si="14"/>
        <v>0</v>
      </c>
      <c r="K45" s="898">
        <v>0</v>
      </c>
      <c r="L45" s="893">
        <f t="shared" si="15"/>
        <v>0</v>
      </c>
      <c r="M45" s="898">
        <f t="shared" si="16" ref="M45:M55">(L45+J45+H45)*E45</f>
        <v>0</v>
      </c>
      <c r="N45" s="882"/>
      <c r="O45" s="900"/>
      <c r="P45" s="899"/>
      <c r="Q45" s="899"/>
      <c r="R45" s="899"/>
      <c r="S45" s="900"/>
    </row>
    <row r="46" spans="1:19" ht="15.5">
      <c r="A46" s="396">
        <f t="shared" si="17" ref="A46:A56">+A45+1</f>
        <v>25</v>
      </c>
      <c r="B46" s="711" t="s">
        <v>478</v>
      </c>
      <c r="C46" s="713" t="s">
        <v>83</v>
      </c>
      <c r="D46" s="876">
        <f>+D45</f>
        <v>2019</v>
      </c>
      <c r="E46" s="877">
        <v>0.84109589041095889</v>
      </c>
      <c r="F46" s="893">
        <v>0</v>
      </c>
      <c r="G46" s="893">
        <v>0</v>
      </c>
      <c r="H46" s="893">
        <f t="shared" si="13"/>
        <v>0</v>
      </c>
      <c r="I46" s="893">
        <v>0</v>
      </c>
      <c r="J46" s="893">
        <f t="shared" si="14"/>
        <v>0</v>
      </c>
      <c r="K46" s="898">
        <v>0</v>
      </c>
      <c r="L46" s="893">
        <f t="shared" si="15"/>
        <v>0</v>
      </c>
      <c r="M46" s="898">
        <f t="shared" si="16"/>
        <v>0</v>
      </c>
      <c r="N46" s="882"/>
      <c r="O46" s="900"/>
      <c r="P46" s="899"/>
      <c r="Q46" s="899"/>
      <c r="R46" s="899"/>
      <c r="S46" s="900"/>
    </row>
    <row r="47" spans="1:19" ht="15.5">
      <c r="A47" s="396">
        <f t="shared" si="17"/>
        <v>26</v>
      </c>
      <c r="B47" s="711" t="s">
        <v>478</v>
      </c>
      <c r="C47" s="713" t="s">
        <v>82</v>
      </c>
      <c r="D47" s="876">
        <f t="shared" si="18" ref="D47:D57">+D46</f>
        <v>2019</v>
      </c>
      <c r="E47" s="877">
        <v>0.75616438356164384</v>
      </c>
      <c r="F47" s="893">
        <v>0</v>
      </c>
      <c r="G47" s="893">
        <v>0</v>
      </c>
      <c r="H47" s="893">
        <f t="shared" si="13"/>
        <v>0</v>
      </c>
      <c r="I47" s="893">
        <v>0</v>
      </c>
      <c r="J47" s="893">
        <f t="shared" si="14"/>
        <v>0</v>
      </c>
      <c r="K47" s="898">
        <v>0</v>
      </c>
      <c r="L47" s="893">
        <f t="shared" si="15"/>
        <v>0</v>
      </c>
      <c r="M47" s="898">
        <f t="shared" si="16"/>
        <v>0</v>
      </c>
      <c r="N47" s="882"/>
      <c r="O47" s="900"/>
      <c r="P47" s="899"/>
      <c r="Q47" s="899"/>
      <c r="R47" s="899"/>
      <c r="S47" s="900"/>
    </row>
    <row r="48" spans="1:19" ht="15.5">
      <c r="A48" s="396">
        <f t="shared" si="17"/>
        <v>27</v>
      </c>
      <c r="B48" s="711" t="s">
        <v>478</v>
      </c>
      <c r="C48" s="713" t="s">
        <v>74</v>
      </c>
      <c r="D48" s="876">
        <f t="shared" si="18"/>
        <v>2019</v>
      </c>
      <c r="E48" s="877">
        <v>0.67397260273972603</v>
      </c>
      <c r="F48" s="893">
        <v>0</v>
      </c>
      <c r="G48" s="893">
        <v>0</v>
      </c>
      <c r="H48" s="893">
        <f t="shared" si="13"/>
        <v>0</v>
      </c>
      <c r="I48" s="893">
        <v>0</v>
      </c>
      <c r="J48" s="893">
        <f t="shared" si="14"/>
        <v>0</v>
      </c>
      <c r="K48" s="898">
        <v>0</v>
      </c>
      <c r="L48" s="893">
        <f t="shared" si="15"/>
        <v>0</v>
      </c>
      <c r="M48" s="898">
        <f t="shared" si="16"/>
        <v>0</v>
      </c>
      <c r="N48" s="882"/>
      <c r="O48" s="900"/>
      <c r="P48" s="899"/>
      <c r="Q48" s="899"/>
      <c r="R48" s="899"/>
      <c r="S48" s="900"/>
    </row>
    <row r="49" spans="1:19" ht="15.5">
      <c r="A49" s="396">
        <f t="shared" si="17"/>
        <v>28</v>
      </c>
      <c r="B49" s="711" t="s">
        <v>478</v>
      </c>
      <c r="C49" s="713" t="s">
        <v>73</v>
      </c>
      <c r="D49" s="876">
        <f t="shared" si="18"/>
        <v>2019</v>
      </c>
      <c r="E49" s="877">
        <v>0.58904109589041098</v>
      </c>
      <c r="F49" s="893">
        <v>0</v>
      </c>
      <c r="G49" s="893">
        <v>0</v>
      </c>
      <c r="H49" s="893">
        <f t="shared" si="13"/>
        <v>0</v>
      </c>
      <c r="I49" s="893">
        <v>0</v>
      </c>
      <c r="J49" s="893">
        <f t="shared" si="14"/>
        <v>0</v>
      </c>
      <c r="K49" s="898">
        <v>0</v>
      </c>
      <c r="L49" s="893">
        <f t="shared" si="15"/>
        <v>0</v>
      </c>
      <c r="M49" s="898">
        <f t="shared" si="16"/>
        <v>0</v>
      </c>
      <c r="N49" s="882"/>
      <c r="O49" s="900"/>
      <c r="P49" s="899"/>
      <c r="Q49" s="899"/>
      <c r="R49" s="899"/>
      <c r="S49" s="900"/>
    </row>
    <row r="50" spans="1:19" ht="15.5">
      <c r="A50" s="396">
        <f t="shared" si="17"/>
        <v>29</v>
      </c>
      <c r="B50" s="711" t="s">
        <v>478</v>
      </c>
      <c r="C50" s="713" t="s">
        <v>93</v>
      </c>
      <c r="D50" s="876">
        <f t="shared" si="18"/>
        <v>2019</v>
      </c>
      <c r="E50" s="877">
        <v>0.50684931506849318</v>
      </c>
      <c r="F50" s="893">
        <v>0</v>
      </c>
      <c r="G50" s="893">
        <v>0</v>
      </c>
      <c r="H50" s="893">
        <f t="shared" si="13"/>
        <v>0</v>
      </c>
      <c r="I50" s="893">
        <v>0</v>
      </c>
      <c r="J50" s="893">
        <f t="shared" si="14"/>
        <v>0</v>
      </c>
      <c r="K50" s="898">
        <v>0</v>
      </c>
      <c r="L50" s="893">
        <f t="shared" si="15"/>
        <v>0</v>
      </c>
      <c r="M50" s="898">
        <f t="shared" si="16"/>
        <v>0</v>
      </c>
      <c r="N50" s="882"/>
      <c r="O50" s="900"/>
      <c r="P50" s="899"/>
      <c r="Q50" s="899"/>
      <c r="R50" s="899"/>
      <c r="S50" s="900"/>
    </row>
    <row r="51" spans="1:19" ht="15.5">
      <c r="A51" s="396">
        <f t="shared" si="17"/>
        <v>30</v>
      </c>
      <c r="B51" s="711" t="s">
        <v>478</v>
      </c>
      <c r="C51" s="713" t="s">
        <v>81</v>
      </c>
      <c r="D51" s="876">
        <f t="shared" si="18"/>
        <v>2019</v>
      </c>
      <c r="E51" s="877">
        <v>0.42191780821917807</v>
      </c>
      <c r="F51" s="893">
        <v>0</v>
      </c>
      <c r="G51" s="893">
        <v>0</v>
      </c>
      <c r="H51" s="893">
        <f t="shared" si="13"/>
        <v>0</v>
      </c>
      <c r="I51" s="893">
        <v>0</v>
      </c>
      <c r="J51" s="893">
        <f t="shared" si="14"/>
        <v>0</v>
      </c>
      <c r="K51" s="898">
        <v>0</v>
      </c>
      <c r="L51" s="893">
        <f t="shared" si="15"/>
        <v>0</v>
      </c>
      <c r="M51" s="898">
        <f t="shared" si="16"/>
        <v>0</v>
      </c>
      <c r="N51" s="882"/>
      <c r="O51" s="900"/>
      <c r="P51" s="899"/>
      <c r="Q51" s="899"/>
      <c r="R51" s="899"/>
      <c r="S51" s="900"/>
    </row>
    <row r="52" spans="1:19" ht="15.5">
      <c r="A52" s="396">
        <f t="shared" si="17"/>
        <v>31</v>
      </c>
      <c r="B52" s="711" t="s">
        <v>478</v>
      </c>
      <c r="C52" s="713" t="s">
        <v>80</v>
      </c>
      <c r="D52" s="876">
        <f t="shared" si="18"/>
        <v>2019</v>
      </c>
      <c r="E52" s="877">
        <v>0.33698630136986302</v>
      </c>
      <c r="F52" s="893">
        <v>0</v>
      </c>
      <c r="G52" s="893">
        <v>0</v>
      </c>
      <c r="H52" s="893">
        <f t="shared" si="13"/>
        <v>0</v>
      </c>
      <c r="I52" s="893">
        <v>0</v>
      </c>
      <c r="J52" s="893">
        <f t="shared" si="14"/>
        <v>0</v>
      </c>
      <c r="K52" s="898">
        <v>0</v>
      </c>
      <c r="L52" s="893">
        <f t="shared" si="15"/>
        <v>0</v>
      </c>
      <c r="M52" s="898">
        <f t="shared" si="16"/>
        <v>0</v>
      </c>
      <c r="N52" s="882"/>
      <c r="O52" s="900"/>
      <c r="P52" s="899"/>
      <c r="Q52" s="899"/>
      <c r="R52" s="899"/>
      <c r="S52" s="900"/>
    </row>
    <row r="53" spans="1:19" ht="15.5">
      <c r="A53" s="396">
        <f t="shared" si="17"/>
        <v>32</v>
      </c>
      <c r="B53" s="711" t="s">
        <v>478</v>
      </c>
      <c r="C53" s="713" t="s">
        <v>79</v>
      </c>
      <c r="D53" s="876">
        <f t="shared" si="18"/>
        <v>2019</v>
      </c>
      <c r="E53" s="877">
        <v>0.25479452054794521</v>
      </c>
      <c r="F53" s="893">
        <v>0</v>
      </c>
      <c r="G53" s="893">
        <v>0</v>
      </c>
      <c r="H53" s="893">
        <f t="shared" si="13"/>
        <v>0</v>
      </c>
      <c r="I53" s="893">
        <v>0</v>
      </c>
      <c r="J53" s="893">
        <f t="shared" si="14"/>
        <v>0</v>
      </c>
      <c r="K53" s="898">
        <v>0</v>
      </c>
      <c r="L53" s="893">
        <f t="shared" si="15"/>
        <v>0</v>
      </c>
      <c r="M53" s="898">
        <f t="shared" si="16"/>
        <v>0</v>
      </c>
      <c r="N53" s="882"/>
      <c r="O53" s="900"/>
      <c r="P53" s="899"/>
      <c r="Q53" s="899"/>
      <c r="R53" s="899"/>
      <c r="S53" s="900"/>
    </row>
    <row r="54" spans="1:19" ht="15.5">
      <c r="A54" s="396">
        <f t="shared" si="17"/>
        <v>33</v>
      </c>
      <c r="B54" s="711" t="s">
        <v>478</v>
      </c>
      <c r="C54" s="713" t="s">
        <v>85</v>
      </c>
      <c r="D54" s="876">
        <f t="shared" si="18"/>
        <v>2019</v>
      </c>
      <c r="E54" s="877">
        <v>0.16986301369863013</v>
      </c>
      <c r="F54" s="893">
        <v>0</v>
      </c>
      <c r="G54" s="893">
        <v>0</v>
      </c>
      <c r="H54" s="893">
        <f t="shared" si="13"/>
        <v>0</v>
      </c>
      <c r="I54" s="893">
        <v>0</v>
      </c>
      <c r="J54" s="893">
        <f t="shared" si="14"/>
        <v>0</v>
      </c>
      <c r="K54" s="898">
        <v>0</v>
      </c>
      <c r="L54" s="893">
        <f t="shared" si="15"/>
        <v>0</v>
      </c>
      <c r="M54" s="898">
        <f t="shared" si="16"/>
        <v>0</v>
      </c>
      <c r="N54" s="882"/>
      <c r="O54" s="900"/>
      <c r="P54" s="899"/>
      <c r="Q54" s="899"/>
      <c r="R54" s="899"/>
      <c r="S54" s="900"/>
    </row>
    <row r="55" spans="1:19" ht="15.5">
      <c r="A55" s="396">
        <f t="shared" si="17"/>
        <v>34</v>
      </c>
      <c r="B55" s="711" t="s">
        <v>478</v>
      </c>
      <c r="C55" s="713" t="s">
        <v>78</v>
      </c>
      <c r="D55" s="876">
        <f t="shared" si="18"/>
        <v>2019</v>
      </c>
      <c r="E55" s="877">
        <v>0.087671232876712329</v>
      </c>
      <c r="F55" s="893">
        <v>0</v>
      </c>
      <c r="G55" s="893">
        <v>0</v>
      </c>
      <c r="H55" s="893">
        <f t="shared" si="13"/>
        <v>0</v>
      </c>
      <c r="I55" s="893">
        <v>0</v>
      </c>
      <c r="J55" s="893">
        <f t="shared" si="14"/>
        <v>0</v>
      </c>
      <c r="K55" s="898">
        <v>0</v>
      </c>
      <c r="L55" s="893">
        <f t="shared" si="15"/>
        <v>0</v>
      </c>
      <c r="M55" s="898">
        <f t="shared" si="16"/>
        <v>0</v>
      </c>
      <c r="N55" s="882"/>
      <c r="O55" s="900"/>
      <c r="P55" s="899"/>
      <c r="Q55" s="899"/>
      <c r="R55" s="899"/>
      <c r="S55" s="900"/>
    </row>
    <row r="56" spans="1:19" ht="15.5">
      <c r="A56" s="396">
        <f t="shared" si="17"/>
        <v>35</v>
      </c>
      <c r="B56" s="711" t="s">
        <v>478</v>
      </c>
      <c r="C56" s="711" t="str">
        <f>+C44</f>
        <v>December </v>
      </c>
      <c r="D56" s="876">
        <f t="shared" si="18"/>
        <v>2019</v>
      </c>
      <c r="E56" s="877">
        <v>0.0027397260273972603</v>
      </c>
      <c r="F56" s="893">
        <v>0</v>
      </c>
      <c r="G56" s="893">
        <f>G44</f>
        <v>0</v>
      </c>
      <c r="H56" s="893">
        <f t="shared" si="13"/>
        <v>0</v>
      </c>
      <c r="I56" s="1040">
        <v>17324965.6461505</v>
      </c>
      <c r="J56" s="893">
        <f t="shared" si="14"/>
        <v>3298712.2620813344</v>
      </c>
      <c r="K56" s="1041">
        <v>125601855.38856401</v>
      </c>
      <c r="L56" s="893">
        <f t="shared" si="15"/>
        <v>12410243.815175444</v>
      </c>
      <c r="M56" s="898">
        <f>+L56+J56+H56</f>
        <v>15708956.077256778</v>
      </c>
      <c r="N56" s="892"/>
      <c r="O56" s="900"/>
      <c r="P56" s="899"/>
      <c r="Q56" s="899"/>
      <c r="R56" s="899"/>
      <c r="S56" s="900"/>
    </row>
    <row r="57" spans="1:13" ht="14">
      <c r="A57" s="396">
        <f>+A56+1</f>
        <v>36</v>
      </c>
      <c r="B57" s="711" t="s">
        <v>479</v>
      </c>
      <c r="D57" s="876">
        <f t="shared" si="18"/>
        <v>2019</v>
      </c>
      <c r="E57" s="889" t="s">
        <v>477</v>
      </c>
      <c r="F57" s="890">
        <f>SUM(F44:F56)</f>
        <v>0</v>
      </c>
      <c r="G57" s="889"/>
      <c r="H57" s="889"/>
      <c r="I57" s="889"/>
      <c r="J57" s="897"/>
      <c r="K57" s="897"/>
      <c r="M57" s="901">
        <f>+M44/2+M56/2</f>
        <v>15676016.413377274</v>
      </c>
    </row>
    <row r="58" spans="2:13" ht="14">
      <c r="B58" s="713" t="s">
        <v>1154</v>
      </c>
      <c r="C58" s="713"/>
      <c r="D58" s="891"/>
      <c r="F58" s="890"/>
      <c r="G58" s="890"/>
      <c r="H58" s="890"/>
      <c r="I58" s="890"/>
      <c r="J58" s="890"/>
      <c r="K58" s="890"/>
      <c r="L58" s="890"/>
      <c r="M58" s="895"/>
    </row>
    <row r="59" spans="4:11" ht="14">
      <c r="D59" s="732"/>
      <c r="E59" s="890"/>
      <c r="F59" s="896"/>
      <c r="G59" s="896"/>
      <c r="H59" s="890"/>
      <c r="I59" s="890"/>
      <c r="J59" s="890"/>
      <c r="K59" s="890"/>
    </row>
    <row r="60" spans="1:13" ht="14">
      <c r="A60" s="396">
        <f>+A57+1</f>
        <v>37</v>
      </c>
      <c r="B60" s="711" t="s">
        <v>977</v>
      </c>
      <c r="D60" s="732"/>
      <c r="E60" s="890"/>
      <c r="F60" s="896"/>
      <c r="G60" s="896"/>
      <c r="H60" s="890"/>
      <c r="I60" s="890"/>
      <c r="J60" s="890"/>
      <c r="K60" s="890"/>
      <c r="M60" s="895">
        <f>+M30+M34+M57</f>
        <v>-196143746.63267481</v>
      </c>
    </row>
    <row r="63" ht="15.5">
      <c r="M63" s="207" t="s">
        <v>484</v>
      </c>
    </row>
    <row r="64" ht="15.5">
      <c r="M64" s="207" t="s">
        <v>154</v>
      </c>
    </row>
    <row r="65" spans="1:13" ht="15.5">
      <c r="A65" s="546"/>
      <c r="B65" s="208"/>
      <c r="C65" s="208"/>
      <c r="D65" s="208"/>
      <c r="E65" s="208"/>
      <c r="F65" s="208"/>
      <c r="G65" s="208" t="str">
        <f>$G$3</f>
        <v>PECO Energy Company</v>
      </c>
      <c r="H65" s="208"/>
      <c r="I65" s="208"/>
      <c r="J65" s="208"/>
      <c r="K65" s="208"/>
      <c r="L65" s="208"/>
      <c r="M65" s="208"/>
    </row>
    <row r="66" spans="1:13" ht="14">
      <c r="A66" s="1077" t="s">
        <v>485</v>
      </c>
      <c r="B66" s="1077"/>
      <c r="C66" s="1077"/>
      <c r="D66" s="1077"/>
      <c r="E66" s="1077"/>
      <c r="F66" s="1077"/>
      <c r="G66" s="1077"/>
      <c r="H66" s="1077"/>
      <c r="I66" s="1077"/>
      <c r="J66" s="1077"/>
      <c r="K66" s="1077"/>
      <c r="L66" s="1077"/>
      <c r="M66" s="1077"/>
    </row>
    <row r="67" spans="1:13" ht="15.5">
      <c r="A67" s="869" t="s">
        <v>486</v>
      </c>
      <c r="K67" s="896"/>
      <c r="M67" s="207" t="s">
        <v>1612</v>
      </c>
    </row>
    <row r="68" spans="1:11" ht="14">
      <c r="A68" s="398"/>
      <c r="K68" s="896"/>
    </row>
    <row r="69" spans="1:11" ht="14">
      <c r="A69" s="398"/>
      <c r="K69" s="896"/>
    </row>
    <row r="70" spans="1:13" ht="14">
      <c r="A70" s="398"/>
      <c r="B70" s="711" t="s">
        <v>198</v>
      </c>
      <c r="C70" s="711" t="s">
        <v>199</v>
      </c>
      <c r="D70" s="739" t="s">
        <v>200</v>
      </c>
      <c r="E70" s="396" t="s">
        <v>201</v>
      </c>
      <c r="F70" s="396" t="s">
        <v>203</v>
      </c>
      <c r="G70" s="396" t="s">
        <v>202</v>
      </c>
      <c r="H70" s="396" t="s">
        <v>204</v>
      </c>
      <c r="I70" s="396" t="s">
        <v>1155</v>
      </c>
      <c r="J70" s="396" t="s">
        <v>206</v>
      </c>
      <c r="K70" s="396" t="s">
        <v>244</v>
      </c>
      <c r="L70" s="396" t="s">
        <v>248</v>
      </c>
      <c r="M70" s="396" t="s">
        <v>453</v>
      </c>
    </row>
    <row r="71" spans="1:13" ht="14">
      <c r="A71" s="398"/>
      <c r="B71" s="396" t="s">
        <v>477</v>
      </c>
      <c r="C71" s="711" t="s">
        <v>167</v>
      </c>
      <c r="D71" s="739" t="s">
        <v>75</v>
      </c>
      <c r="E71" s="396" t="s">
        <v>455</v>
      </c>
      <c r="F71" s="396" t="s">
        <v>477</v>
      </c>
      <c r="G71" s="870">
        <v>1</v>
      </c>
      <c r="H71" s="396" t="s">
        <v>457</v>
      </c>
      <c r="I71" s="396" t="s">
        <v>458</v>
      </c>
      <c r="J71" s="396" t="s">
        <v>1136</v>
      </c>
      <c r="K71" s="396" t="s">
        <v>459</v>
      </c>
      <c r="L71" s="396" t="s">
        <v>460</v>
      </c>
      <c r="M71" s="396" t="s">
        <v>227</v>
      </c>
    </row>
    <row r="72" spans="1:13" ht="14">
      <c r="A72" s="398"/>
      <c r="B72" s="396"/>
      <c r="E72" s="396" t="s">
        <v>462</v>
      </c>
      <c r="F72" s="396" t="s">
        <v>487</v>
      </c>
      <c r="G72" s="396" t="s">
        <v>17</v>
      </c>
      <c r="H72" s="870" t="s">
        <v>464</v>
      </c>
      <c r="I72" s="396" t="s">
        <v>465</v>
      </c>
      <c r="J72" s="870" t="s">
        <v>466</v>
      </c>
      <c r="K72" s="396" t="s">
        <v>467</v>
      </c>
      <c r="L72" s="870" t="s">
        <v>468</v>
      </c>
      <c r="M72" s="396" t="s">
        <v>469</v>
      </c>
    </row>
    <row r="73" spans="1:13" ht="14">
      <c r="A73" s="398"/>
      <c r="B73" s="396"/>
      <c r="E73" s="396"/>
      <c r="F73" s="396" t="s">
        <v>488</v>
      </c>
      <c r="G73" s="396"/>
      <c r="H73" s="871">
        <v>1</v>
      </c>
      <c r="I73" s="396"/>
      <c r="J73" s="872">
        <f>+J12</f>
        <v>0.19040223971897385</v>
      </c>
      <c r="K73" s="873"/>
      <c r="L73" s="872">
        <f>+L12</f>
        <v>0.09880621410235467</v>
      </c>
      <c r="M73" s="396" t="s">
        <v>471</v>
      </c>
    </row>
    <row r="74" spans="1:13" ht="14">
      <c r="A74" s="398"/>
      <c r="B74" s="396"/>
      <c r="E74" s="396"/>
      <c r="F74" s="396" t="s">
        <v>489</v>
      </c>
      <c r="G74" s="396"/>
      <c r="H74" s="874"/>
      <c r="I74" s="396"/>
      <c r="J74" s="396" t="s">
        <v>473</v>
      </c>
      <c r="K74" s="396"/>
      <c r="L74" s="396" t="s">
        <v>473</v>
      </c>
      <c r="M74" s="396"/>
    </row>
    <row r="75" spans="2:13" ht="14">
      <c r="B75" s="713"/>
      <c r="C75" s="721" t="s">
        <v>474</v>
      </c>
      <c r="E75" s="396"/>
      <c r="F75" s="396"/>
      <c r="G75" s="396"/>
      <c r="H75" s="396"/>
      <c r="I75" s="396"/>
      <c r="J75" s="396" t="s">
        <v>475</v>
      </c>
      <c r="K75" s="396"/>
      <c r="L75" s="396" t="s">
        <v>476</v>
      </c>
      <c r="M75" s="396"/>
    </row>
    <row r="76" spans="1:13" ht="14">
      <c r="A76" s="396">
        <f>+A60+1</f>
        <v>38</v>
      </c>
      <c r="B76" s="713" t="s">
        <v>477</v>
      </c>
      <c r="C76" s="713" t="s">
        <v>196</v>
      </c>
      <c r="D76" s="902">
        <v>2017</v>
      </c>
      <c r="F76" s="890">
        <f>'4B - ADIT BOY'!C116</f>
        <v>-1118346777.8265932</v>
      </c>
      <c r="G76" s="890">
        <f>'4B - ADIT BOY'!E116</f>
        <v>-168632329.8265931</v>
      </c>
      <c r="H76" s="890"/>
      <c r="I76" s="890">
        <v>0</v>
      </c>
      <c r="J76" s="890">
        <f>+J73*I76</f>
        <v>0</v>
      </c>
      <c r="K76" s="890">
        <f>'4B - ADIT BOY'!G116</f>
        <v>-31676057</v>
      </c>
      <c r="L76" s="890"/>
      <c r="M76" s="890"/>
    </row>
    <row r="77" spans="1:13" ht="14">
      <c r="A77" s="396">
        <f>+A76+1</f>
        <v>39</v>
      </c>
      <c r="B77" s="713" t="s">
        <v>477</v>
      </c>
      <c r="C77" s="713" t="str">
        <f>+C76</f>
        <v>December </v>
      </c>
      <c r="D77" s="902">
        <v>2018</v>
      </c>
      <c r="F77" s="890">
        <f>'4C - ADIT EOY'!C111</f>
        <v>-1139022726.2137337</v>
      </c>
      <c r="G77" s="890">
        <f>'4C - ADIT EOY'!E111</f>
        <v>-189143728.71373379</v>
      </c>
      <c r="H77" s="890"/>
      <c r="I77" s="890">
        <v>0</v>
      </c>
      <c r="J77" s="890">
        <f>+I77*J73</f>
        <v>0</v>
      </c>
      <c r="K77" s="890">
        <f>'4C - ADIT EOY'!G111</f>
        <v>-30828317.5</v>
      </c>
      <c r="L77" s="890"/>
      <c r="M77" s="901"/>
    </row>
    <row r="78" spans="1:13" ht="14">
      <c r="A78" s="396">
        <f>+A77+1</f>
        <v>40</v>
      </c>
      <c r="B78" s="713"/>
      <c r="C78" s="713" t="s">
        <v>481</v>
      </c>
      <c r="D78" s="891"/>
      <c r="F78" s="890">
        <f>+F76/2+F77/2</f>
        <v>-1128684752.0201635</v>
      </c>
      <c r="G78" s="890">
        <f>+G76/2+G77/2</f>
        <v>-178888029.27016345</v>
      </c>
      <c r="H78" s="890">
        <f>+H$12*G78</f>
        <v>-178888029.27016345</v>
      </c>
      <c r="I78" s="890">
        <f>+I76/2+I77/2</f>
        <v>0</v>
      </c>
      <c r="J78" s="890">
        <f>+I78*J$12</f>
        <v>0</v>
      </c>
      <c r="K78" s="890">
        <f>+K76/2+K77/2</f>
        <v>-31252187.25</v>
      </c>
      <c r="L78" s="890">
        <f>+L73*K78</f>
        <v>-3087910.3045903789</v>
      </c>
      <c r="M78" s="901">
        <f>+L78+J78+H78</f>
        <v>-181975939.57475382</v>
      </c>
    </row>
    <row r="79" ht="14">
      <c r="D79" s="891"/>
    </row>
    <row r="80" ht="14">
      <c r="D80" s="891"/>
    </row>
    <row r="81" spans="2:4" ht="14">
      <c r="B81" s="713"/>
      <c r="C81" s="721" t="s">
        <v>480</v>
      </c>
      <c r="D81" s="891"/>
    </row>
    <row r="82" spans="1:13" ht="14">
      <c r="A82" s="396">
        <f>+A78+1</f>
        <v>41</v>
      </c>
      <c r="B82" s="713" t="s">
        <v>477</v>
      </c>
      <c r="C82" s="713" t="s">
        <v>196</v>
      </c>
      <c r="D82" s="902">
        <v>2017</v>
      </c>
      <c r="F82" s="890">
        <f>'4B - ADIT BOY'!C177</f>
        <v>-142375991.17220792</v>
      </c>
      <c r="G82" s="890">
        <v>0</v>
      </c>
      <c r="H82" s="890">
        <f>+G82*H73</f>
        <v>0</v>
      </c>
      <c r="I82" s="890">
        <f>'4B - ADIT BOY'!F177</f>
        <v>-6199184.7134153415</v>
      </c>
      <c r="J82" s="890">
        <f>+I82*J73</f>
        <v>-1180338.6538659062</v>
      </c>
      <c r="K82" s="890">
        <f>'4B - ADIT BOY'!G177</f>
        <v>-109156435.19737688</v>
      </c>
      <c r="L82" s="890">
        <f>+K82*L73</f>
        <v>-10785334.106761823</v>
      </c>
      <c r="M82" s="895"/>
    </row>
    <row r="83" spans="1:13" ht="14">
      <c r="A83" s="396">
        <f>+A82+1</f>
        <v>42</v>
      </c>
      <c r="B83" s="713" t="s">
        <v>477</v>
      </c>
      <c r="C83" s="713" t="str">
        <f>+C82</f>
        <v>December </v>
      </c>
      <c r="D83" s="902">
        <v>2018</v>
      </c>
      <c r="F83" s="890">
        <f>'4C - ADIT EOY'!C171</f>
        <v>-139156935.68264332</v>
      </c>
      <c r="G83" s="890">
        <v>0</v>
      </c>
      <c r="H83" s="890">
        <f>+G83*H73</f>
        <v>0</v>
      </c>
      <c r="I83" s="890">
        <f>'4C - ADIT EOY'!F171</f>
        <v>-5581934.0465911357</v>
      </c>
      <c r="J83" s="890">
        <f>+I83*J73</f>
        <v>-1062812.7444345471</v>
      </c>
      <c r="K83" s="890">
        <f>'4C - ADIT EOY'!G171</f>
        <v>-108797635.51156461</v>
      </c>
      <c r="L83" s="890">
        <f>+K83*L73</f>
        <v>-10749882.468185598</v>
      </c>
      <c r="M83" s="895"/>
    </row>
    <row r="84" spans="1:14" ht="14">
      <c r="A84" s="396">
        <f>+A83+1</f>
        <v>43</v>
      </c>
      <c r="B84" s="713"/>
      <c r="C84" s="713" t="s">
        <v>481</v>
      </c>
      <c r="D84" s="891"/>
      <c r="F84" s="890">
        <f t="shared" si="19" ref="F84:L84">+F82/2+F83/2</f>
        <v>-140766463.42742562</v>
      </c>
      <c r="G84" s="890">
        <f t="shared" si="19"/>
        <v>0</v>
      </c>
      <c r="H84" s="890">
        <f t="shared" si="19"/>
        <v>0</v>
      </c>
      <c r="I84" s="890">
        <f t="shared" si="19"/>
        <v>-5890559.3800032381</v>
      </c>
      <c r="J84" s="890">
        <f t="shared" si="19"/>
        <v>-1121575.6991502265</v>
      </c>
      <c r="K84" s="890">
        <f t="shared" si="19"/>
        <v>-108977035.35447075</v>
      </c>
      <c r="L84" s="890">
        <f t="shared" si="19"/>
        <v>-10767608.28747371</v>
      </c>
      <c r="M84" s="895">
        <f>+L84+J84+H84</f>
        <v>-11889183.986623937</v>
      </c>
      <c r="N84" s="897"/>
    </row>
    <row r="85" spans="4:14" ht="14">
      <c r="D85" s="891"/>
      <c r="N85" s="897"/>
    </row>
    <row r="86" spans="4:14" ht="14">
      <c r="D86" s="891"/>
      <c r="N86" s="897"/>
    </row>
    <row r="87" spans="3:4" ht="14">
      <c r="C87" s="903" t="s">
        <v>482</v>
      </c>
      <c r="D87" s="891"/>
    </row>
    <row r="88" spans="1:13" ht="14">
      <c r="A88" s="396">
        <f>+A84+1</f>
        <v>44</v>
      </c>
      <c r="B88" s="711" t="s">
        <v>477</v>
      </c>
      <c r="C88" s="711" t="s">
        <v>196</v>
      </c>
      <c r="D88" s="902">
        <v>2017</v>
      </c>
      <c r="F88" s="890" t="s">
        <v>703</v>
      </c>
      <c r="G88" s="890" t="s">
        <v>703</v>
      </c>
      <c r="H88" s="890" t="s">
        <v>703</v>
      </c>
      <c r="I88" s="890" t="s">
        <v>703</v>
      </c>
      <c r="J88" s="890" t="s">
        <v>703</v>
      </c>
      <c r="K88" s="890" t="s">
        <v>703</v>
      </c>
      <c r="L88" s="890" t="s">
        <v>703</v>
      </c>
      <c r="M88" s="890" t="s">
        <v>703</v>
      </c>
    </row>
    <row r="89" spans="1:13" ht="14">
      <c r="A89" s="396">
        <f>+A88+1</f>
        <v>45</v>
      </c>
      <c r="B89" s="711" t="s">
        <v>477</v>
      </c>
      <c r="C89" s="711" t="s">
        <v>196</v>
      </c>
      <c r="D89" s="902">
        <v>2018</v>
      </c>
      <c r="F89" s="890" t="s">
        <v>703</v>
      </c>
      <c r="G89" s="890" t="s">
        <v>703</v>
      </c>
      <c r="H89" s="890" t="s">
        <v>703</v>
      </c>
      <c r="I89" s="890" t="s">
        <v>703</v>
      </c>
      <c r="J89" s="890" t="s">
        <v>703</v>
      </c>
      <c r="K89" s="890" t="s">
        <v>703</v>
      </c>
      <c r="L89" s="890" t="s">
        <v>703</v>
      </c>
      <c r="M89" s="890" t="s">
        <v>703</v>
      </c>
    </row>
    <row r="90" spans="1:13" ht="14">
      <c r="A90" s="396">
        <f>+A89+1</f>
        <v>46</v>
      </c>
      <c r="C90" s="711" t="s">
        <v>481</v>
      </c>
      <c r="D90" s="891"/>
      <c r="F90" s="890" t="s">
        <v>703</v>
      </c>
      <c r="G90" s="890" t="s">
        <v>703</v>
      </c>
      <c r="H90" s="890" t="s">
        <v>703</v>
      </c>
      <c r="I90" s="890" t="s">
        <v>703</v>
      </c>
      <c r="J90" s="890" t="s">
        <v>703</v>
      </c>
      <c r="K90" s="890" t="s">
        <v>703</v>
      </c>
      <c r="L90" s="890" t="s">
        <v>703</v>
      </c>
      <c r="M90" s="890" t="s">
        <v>703</v>
      </c>
    </row>
    <row r="91" ht="14">
      <c r="D91" s="891"/>
    </row>
    <row r="92" ht="14">
      <c r="D92" s="891"/>
    </row>
    <row r="93" spans="3:4" ht="14">
      <c r="C93" s="903" t="s">
        <v>483</v>
      </c>
      <c r="D93" s="891"/>
    </row>
    <row r="94" spans="1:13" ht="14">
      <c r="A94" s="396">
        <f>+A90+1</f>
        <v>47</v>
      </c>
      <c r="B94" s="711" t="s">
        <v>477</v>
      </c>
      <c r="C94" s="711" t="s">
        <v>196</v>
      </c>
      <c r="D94" s="902">
        <v>2017</v>
      </c>
      <c r="F94" s="890">
        <f>'4B - ADIT BOY'!C81</f>
        <v>185826860.22189999</v>
      </c>
      <c r="G94" s="890">
        <f>'4B - ADIT BOY'!E81</f>
        <v>0</v>
      </c>
      <c r="H94" s="890">
        <f>+G94</f>
        <v>0</v>
      </c>
      <c r="I94" s="890">
        <f>'4B - ADIT BOY'!F81</f>
        <v>7420671.0091658449</v>
      </c>
      <c r="J94" s="890">
        <f>+I94*J73</f>
        <v>1412912.3803628348</v>
      </c>
      <c r="K94" s="890">
        <f>'4B - ADIT BOY'!G81</f>
        <v>149256889</v>
      </c>
      <c r="L94" s="890">
        <f>+K94*L73</f>
        <v>14747508.130785385</v>
      </c>
      <c r="M94" s="895">
        <f>+L94+J94+H94</f>
        <v>16160420.51114822</v>
      </c>
    </row>
    <row r="95" spans="1:13" ht="14">
      <c r="A95" s="396">
        <f>+A94+1</f>
        <v>48</v>
      </c>
      <c r="B95" s="711" t="s">
        <v>477</v>
      </c>
      <c r="C95" s="711" t="s">
        <v>196</v>
      </c>
      <c r="D95" s="902">
        <v>2018</v>
      </c>
      <c r="F95" s="890">
        <f>'4C - ADIT EOY'!C76</f>
        <v>178589499.75512001</v>
      </c>
      <c r="G95" s="890">
        <f>'4C - ADIT EOY'!E76</f>
        <v>0</v>
      </c>
      <c r="H95" s="890">
        <f>+G95</f>
        <v>0</v>
      </c>
      <c r="I95" s="890">
        <f>'4C - ADIT EOY'!F76</f>
        <v>13690675.525985844</v>
      </c>
      <c r="J95" s="890">
        <f>+I95*J73</f>
        <v>2606735.2834134451</v>
      </c>
      <c r="K95" s="890">
        <f>'4C - ADIT EOY'!G76</f>
        <v>131938477.59999999</v>
      </c>
      <c r="L95" s="890">
        <f>+K95*L73</f>
        <v>13036341.466084326</v>
      </c>
      <c r="M95" s="895">
        <f>+L95+J95+H95</f>
        <v>15643076.749497771</v>
      </c>
    </row>
    <row r="96" spans="1:13" ht="14">
      <c r="A96" s="396">
        <f>+A95+1</f>
        <v>49</v>
      </c>
      <c r="C96" s="711" t="s">
        <v>481</v>
      </c>
      <c r="F96" s="890">
        <f t="shared" si="20" ref="F96:M96">+F94/2+F95/2</f>
        <v>182208179.98851001</v>
      </c>
      <c r="G96" s="890">
        <f t="shared" si="20"/>
        <v>0</v>
      </c>
      <c r="H96" s="890">
        <f t="shared" si="20"/>
        <v>0</v>
      </c>
      <c r="I96" s="890">
        <f t="shared" si="20"/>
        <v>10555673.267575845</v>
      </c>
      <c r="J96" s="890">
        <f t="shared" si="20"/>
        <v>2009823.83188814</v>
      </c>
      <c r="K96" s="890">
        <f t="shared" si="20"/>
        <v>140597683.30000001</v>
      </c>
      <c r="L96" s="890">
        <f t="shared" si="20"/>
        <v>13891924.798434855</v>
      </c>
      <c r="M96" s="890">
        <f t="shared" si="20"/>
        <v>15901748.630322997</v>
      </c>
    </row>
    <row r="97" ht="14">
      <c r="J97" s="890"/>
    </row>
    <row r="98" spans="1:13" ht="14.5" thickBot="1">
      <c r="A98" s="940" t="s">
        <v>324</v>
      </c>
      <c r="L98" s="901"/>
      <c r="M98" s="901"/>
    </row>
    <row r="99" spans="1:13" ht="14">
      <c r="A99" s="396" t="s">
        <v>58</v>
      </c>
      <c r="B99" s="711" t="s">
        <v>1156</v>
      </c>
      <c r="L99" s="901"/>
      <c r="M99" s="901"/>
    </row>
    <row r="100" ht="14">
      <c r="L100" s="901"/>
    </row>
  </sheetData>
  <mergeCells count="1">
    <mergeCell ref="A66:M66"/>
  </mergeCells>
  <pageMargins left="0.7" right="0.7" top="0.75" bottom="0.75" header="0.3" footer="0.3"/>
  <pageSetup fitToHeight="3" orientation="landscape" scale="50" r:id="rId1"/>
  <rowBreaks count="1" manualBreakCount="1">
    <brk id="61" max="25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8"/>
  <sheetViews>
    <sheetView view="pageBreakPreview" zoomScale="60" zoomScaleNormal="80" workbookViewId="0" topLeftCell="A48">
      <selection pane="topLeft" activeCell="A1" sqref="A1"/>
    </sheetView>
  </sheetViews>
  <sheetFormatPr defaultColWidth="8.84375" defaultRowHeight="14"/>
  <cols>
    <col min="1" max="1" width="5.42857142857143" style="712" customWidth="1"/>
    <col min="2" max="2" width="43.7142857142857" style="739" customWidth="1"/>
    <col min="3" max="3" width="17.7857142857143" style="739" customWidth="1"/>
    <col min="4" max="4" width="17" style="739" customWidth="1"/>
    <col min="5" max="5" width="19.7857142857143" style="739" customWidth="1"/>
    <col min="6" max="7" width="16.7142857142857" style="739" customWidth="1"/>
    <col min="8" max="8" width="89.7857142857143" style="739" customWidth="1"/>
    <col min="9" max="9" width="8.85714285714286" style="711"/>
    <col min="10" max="10" width="9.5" style="711" customWidth="1"/>
    <col min="11" max="16384" width="8.85714285714286" style="711"/>
  </cols>
  <sheetData>
    <row r="1" spans="2:9" ht="14">
      <c r="B1" s="1078" t="s">
        <v>1064</v>
      </c>
      <c r="C1" s="1079"/>
      <c r="D1" s="1079"/>
      <c r="E1" s="1079"/>
      <c r="F1" s="1079"/>
      <c r="G1" s="1079"/>
      <c r="H1" s="1079"/>
      <c r="I1" s="713"/>
    </row>
    <row r="2" spans="2:9" ht="14">
      <c r="B2" s="1080" t="str">
        <f>'4A - ADIT Summary'!$G$65</f>
        <v>PECO Energy Company</v>
      </c>
      <c r="C2" s="1081"/>
      <c r="D2" s="1081"/>
      <c r="E2" s="1081"/>
      <c r="F2" s="1081"/>
      <c r="G2" s="1081"/>
      <c r="H2" s="1081"/>
      <c r="I2" s="713"/>
    </row>
    <row r="3" spans="2:9" ht="14.5">
      <c r="B3" s="728" t="s">
        <v>490</v>
      </c>
      <c r="C3" s="714"/>
      <c r="E3" s="711"/>
      <c r="F3" s="718"/>
      <c r="G3" s="719"/>
      <c r="H3" s="831"/>
      <c r="I3" s="713"/>
    </row>
    <row r="4" spans="2:9" ht="14.5">
      <c r="B4" s="728"/>
      <c r="C4" s="714"/>
      <c r="E4" s="718"/>
      <c r="F4" s="718"/>
      <c r="G4" s="719"/>
      <c r="H4" s="832" t="s">
        <v>490</v>
      </c>
      <c r="I4" s="713"/>
    </row>
    <row r="5" spans="2:9" ht="14">
      <c r="B5" s="734" t="s">
        <v>58</v>
      </c>
      <c r="C5" s="735" t="s">
        <v>59</v>
      </c>
      <c r="D5" s="735" t="s">
        <v>60</v>
      </c>
      <c r="E5" s="735" t="s">
        <v>61</v>
      </c>
      <c r="F5" s="735" t="s">
        <v>62</v>
      </c>
      <c r="G5" s="735" t="s">
        <v>63</v>
      </c>
      <c r="H5" s="832" t="s">
        <v>491</v>
      </c>
      <c r="I5" s="713"/>
    </row>
    <row r="6" spans="2:9" ht="14.5">
      <c r="B6" s="714"/>
      <c r="C6" s="711"/>
      <c r="D6" s="738" t="s">
        <v>1408</v>
      </c>
      <c r="E6" s="718" t="s">
        <v>1407</v>
      </c>
      <c r="F6" s="718" t="s">
        <v>506</v>
      </c>
      <c r="G6" s="718" t="s">
        <v>459</v>
      </c>
      <c r="H6" s="711"/>
      <c r="I6" s="713"/>
    </row>
    <row r="7" spans="2:9" ht="14.5">
      <c r="B7" s="714"/>
      <c r="C7" s="721" t="s">
        <v>13</v>
      </c>
      <c r="D7" s="738" t="s">
        <v>1409</v>
      </c>
      <c r="E7" s="718" t="s">
        <v>467</v>
      </c>
      <c r="F7" s="718" t="s">
        <v>467</v>
      </c>
      <c r="G7" s="718" t="s">
        <v>467</v>
      </c>
      <c r="H7" s="714"/>
      <c r="I7" s="713"/>
    </row>
    <row r="8" spans="2:9" ht="3.75" customHeight="1">
      <c r="B8" s="714"/>
      <c r="C8" s="714"/>
      <c r="E8" s="719"/>
      <c r="F8" s="719"/>
      <c r="G8" s="719"/>
      <c r="H8" s="832"/>
      <c r="I8" s="713"/>
    </row>
    <row r="9" spans="1:9" ht="14.5">
      <c r="A9" s="712" t="s">
        <v>493</v>
      </c>
      <c r="B9" s="722" t="s">
        <v>474</v>
      </c>
      <c r="C9" s="719">
        <f>+C116</f>
        <v>-1118346777.8265932</v>
      </c>
      <c r="D9" s="738"/>
      <c r="E9" s="719">
        <f>E116</f>
        <v>-168632329.8265931</v>
      </c>
      <c r="F9" s="719">
        <f>F116</f>
        <v>0</v>
      </c>
      <c r="G9" s="719">
        <f>G116</f>
        <v>-31676057</v>
      </c>
      <c r="H9" s="719" t="s">
        <v>496</v>
      </c>
      <c r="I9" s="713"/>
    </row>
    <row r="10" spans="1:9" ht="14.5">
      <c r="A10" s="712" t="s">
        <v>495</v>
      </c>
      <c r="B10" s="722" t="s">
        <v>480</v>
      </c>
      <c r="C10" s="719">
        <f>+C177</f>
        <v>-142375991.17220792</v>
      </c>
      <c r="D10" s="738"/>
      <c r="E10" s="719">
        <f>E177</f>
        <v>0</v>
      </c>
      <c r="F10" s="719">
        <f>F177</f>
        <v>-6199184.7134153415</v>
      </c>
      <c r="G10" s="719">
        <f>G177</f>
        <v>-109156435.19737688</v>
      </c>
      <c r="H10" s="719" t="s">
        <v>498</v>
      </c>
      <c r="I10" s="713"/>
    </row>
    <row r="11" spans="1:9" ht="14.5">
      <c r="A11" s="712" t="s">
        <v>497</v>
      </c>
      <c r="B11" s="722" t="s">
        <v>483</v>
      </c>
      <c r="C11" s="719">
        <f>+C81</f>
        <v>185826860.22189999</v>
      </c>
      <c r="D11" s="738"/>
      <c r="E11" s="719">
        <f>E81</f>
        <v>0</v>
      </c>
      <c r="F11" s="719">
        <f>F81</f>
        <v>7420671.0091658449</v>
      </c>
      <c r="G11" s="719">
        <f>G81</f>
        <v>149256889</v>
      </c>
      <c r="H11" s="719" t="s">
        <v>494</v>
      </c>
      <c r="I11" s="713"/>
    </row>
    <row r="12" spans="1:9" ht="14.5">
      <c r="A12" s="712" t="s">
        <v>499</v>
      </c>
      <c r="B12" s="722" t="s">
        <v>500</v>
      </c>
      <c r="C12" s="719">
        <f>SUM(C9:C11)</f>
        <v>-1074895908.776901</v>
      </c>
      <c r="E12" s="719">
        <f>SUM(E9:E11)</f>
        <v>-168632329.8265931</v>
      </c>
      <c r="F12" s="719">
        <f>SUM(F9:F11)</f>
        <v>1221486.2957505034</v>
      </c>
      <c r="G12" s="719">
        <f>SUM(G9:G11)</f>
        <v>8424396.8026231229</v>
      </c>
      <c r="H12" s="719" t="s">
        <v>501</v>
      </c>
      <c r="I12" s="713"/>
    </row>
    <row r="13" spans="2:9" ht="3.75" customHeight="1">
      <c r="B13" s="722"/>
      <c r="C13" s="714"/>
      <c r="D13" s="719"/>
      <c r="E13" s="719"/>
      <c r="F13" s="833"/>
      <c r="G13" s="719"/>
      <c r="H13" s="834"/>
      <c r="I13" s="713"/>
    </row>
    <row r="14" spans="2:7" ht="14">
      <c r="B14" s="730" t="s">
        <v>502</v>
      </c>
      <c r="C14" s="731"/>
      <c r="D14" s="732"/>
      <c r="E14" s="732"/>
      <c r="F14" s="732"/>
      <c r="G14" s="732"/>
    </row>
    <row r="15" spans="2:7" ht="14">
      <c r="B15" s="730" t="s">
        <v>503</v>
      </c>
      <c r="C15" s="731"/>
      <c r="D15" s="732"/>
      <c r="E15" s="732"/>
      <c r="F15" s="732"/>
      <c r="G15" s="732"/>
    </row>
    <row r="16" spans="2:8" ht="14">
      <c r="B16" s="734" t="s">
        <v>58</v>
      </c>
      <c r="C16" s="735" t="s">
        <v>59</v>
      </c>
      <c r="D16" s="735" t="s">
        <v>60</v>
      </c>
      <c r="E16" s="735" t="s">
        <v>61</v>
      </c>
      <c r="F16" s="735" t="s">
        <v>62</v>
      </c>
      <c r="G16" s="735" t="s">
        <v>63</v>
      </c>
      <c r="H16" s="734" t="s">
        <v>64</v>
      </c>
    </row>
    <row r="17" spans="1:7" ht="14.5">
      <c r="A17" s="712" t="s">
        <v>8</v>
      </c>
      <c r="B17" s="737" t="s">
        <v>1473</v>
      </c>
      <c r="C17" s="738" t="s">
        <v>13</v>
      </c>
      <c r="D17" s="738" t="s">
        <v>504</v>
      </c>
      <c r="E17" s="738" t="s">
        <v>492</v>
      </c>
      <c r="F17" s="738"/>
      <c r="G17" s="738"/>
    </row>
    <row r="18" spans="3:7" ht="14.5">
      <c r="C18" s="738"/>
      <c r="D18" s="738" t="s">
        <v>505</v>
      </c>
      <c r="E18" s="738" t="s">
        <v>17</v>
      </c>
      <c r="F18" s="738" t="s">
        <v>506</v>
      </c>
      <c r="G18" s="738" t="s">
        <v>459</v>
      </c>
    </row>
    <row r="19" spans="3:8" ht="14.5">
      <c r="C19" s="738"/>
      <c r="D19" s="738" t="s">
        <v>467</v>
      </c>
      <c r="E19" s="738" t="s">
        <v>467</v>
      </c>
      <c r="F19" s="738" t="s">
        <v>467</v>
      </c>
      <c r="G19" s="738" t="s">
        <v>467</v>
      </c>
      <c r="H19" s="835" t="s">
        <v>507</v>
      </c>
    </row>
    <row r="20" spans="2:7" ht="5.25" customHeight="1">
      <c r="B20" s="741"/>
      <c r="C20" s="742"/>
      <c r="D20" s="732"/>
      <c r="E20" s="732"/>
      <c r="F20" s="732"/>
      <c r="G20" s="732"/>
    </row>
    <row r="21" spans="1:8" ht="56">
      <c r="A21" s="712">
        <v>1</v>
      </c>
      <c r="B21" s="744" t="s">
        <v>878</v>
      </c>
      <c r="C21" s="744">
        <v>849467</v>
      </c>
      <c r="D21" s="744">
        <f>C21</f>
        <v>849467</v>
      </c>
      <c r="E21" s="744">
        <v>0</v>
      </c>
      <c r="F21" s="744">
        <v>0</v>
      </c>
      <c r="G21" s="744">
        <v>0</v>
      </c>
      <c r="H21" s="745" t="s">
        <v>927</v>
      </c>
    </row>
    <row r="22" spans="1:8" ht="14">
      <c r="A22" s="712" t="s">
        <v>508</v>
      </c>
      <c r="B22" s="744" t="s">
        <v>880</v>
      </c>
      <c r="C22" s="744">
        <v>1877516</v>
      </c>
      <c r="D22" s="744">
        <v>0</v>
      </c>
      <c r="E22" s="744">
        <v>0</v>
      </c>
      <c r="F22" s="748">
        <v>0</v>
      </c>
      <c r="G22" s="744">
        <v>1877516</v>
      </c>
      <c r="H22" s="745" t="s">
        <v>928</v>
      </c>
    </row>
    <row r="23" spans="1:8" ht="14">
      <c r="A23" s="712" t="s">
        <v>509</v>
      </c>
      <c r="B23" s="744" t="s">
        <v>881</v>
      </c>
      <c r="C23" s="744">
        <v>1247830</v>
      </c>
      <c r="D23" s="744">
        <v>0</v>
      </c>
      <c r="E23" s="744">
        <v>0</v>
      </c>
      <c r="F23" s="744">
        <v>0</v>
      </c>
      <c r="G23" s="744">
        <v>1247830</v>
      </c>
      <c r="H23" s="745" t="s">
        <v>929</v>
      </c>
    </row>
    <row r="24" spans="1:8" ht="14">
      <c r="A24" s="712" t="s">
        <v>510</v>
      </c>
      <c r="B24" s="744" t="s">
        <v>882</v>
      </c>
      <c r="C24" s="744">
        <v>0</v>
      </c>
      <c r="D24" s="744">
        <v>0</v>
      </c>
      <c r="E24" s="744">
        <v>0</v>
      </c>
      <c r="F24" s="744">
        <v>0</v>
      </c>
      <c r="G24" s="744">
        <v>0</v>
      </c>
      <c r="H24" s="745" t="s">
        <v>879</v>
      </c>
    </row>
    <row r="25" spans="1:8" ht="28">
      <c r="A25" s="747" t="s">
        <v>511</v>
      </c>
      <c r="B25" s="744" t="s">
        <v>883</v>
      </c>
      <c r="C25" s="744">
        <v>13778093</v>
      </c>
      <c r="D25" s="744">
        <v>13778092</v>
      </c>
      <c r="E25" s="744">
        <v>0</v>
      </c>
      <c r="F25" s="744">
        <v>0</v>
      </c>
      <c r="G25" s="744">
        <v>0</v>
      </c>
      <c r="H25" s="745" t="s">
        <v>930</v>
      </c>
    </row>
    <row r="26" spans="1:8" ht="14">
      <c r="A26" s="747" t="s">
        <v>512</v>
      </c>
      <c r="B26" s="744" t="s">
        <v>884</v>
      </c>
      <c r="C26" s="744">
        <v>1570195</v>
      </c>
      <c r="D26" s="744">
        <v>1570195</v>
      </c>
      <c r="E26" s="744">
        <v>0</v>
      </c>
      <c r="F26" s="744">
        <v>0</v>
      </c>
      <c r="G26" s="744">
        <v>0</v>
      </c>
      <c r="H26" s="745" t="s">
        <v>879</v>
      </c>
    </row>
    <row r="27" spans="1:8" ht="14">
      <c r="A27" s="747" t="s">
        <v>513</v>
      </c>
      <c r="B27" s="744" t="s">
        <v>885</v>
      </c>
      <c r="C27" s="744">
        <v>158593</v>
      </c>
      <c r="D27" s="744">
        <v>158593</v>
      </c>
      <c r="E27" s="749">
        <v>0</v>
      </c>
      <c r="F27" s="748">
        <v>0</v>
      </c>
      <c r="G27" s="749">
        <v>0</v>
      </c>
      <c r="H27" s="745" t="s">
        <v>879</v>
      </c>
    </row>
    <row r="28" spans="1:8" ht="28">
      <c r="A28" s="747" t="s">
        <v>514</v>
      </c>
      <c r="B28" s="744" t="s">
        <v>886</v>
      </c>
      <c r="C28" s="744">
        <v>2077910</v>
      </c>
      <c r="D28" s="744">
        <f>C28</f>
        <v>2077910</v>
      </c>
      <c r="E28" s="744">
        <v>0</v>
      </c>
      <c r="F28" s="744">
        <v>0</v>
      </c>
      <c r="G28" s="744">
        <v>0</v>
      </c>
      <c r="H28" s="745" t="s">
        <v>931</v>
      </c>
    </row>
    <row r="29" spans="1:8" ht="14">
      <c r="A29" s="747" t="s">
        <v>515</v>
      </c>
      <c r="B29" s="744" t="s">
        <v>1244</v>
      </c>
      <c r="C29" s="744">
        <v>220916</v>
      </c>
      <c r="D29" s="744">
        <v>220916</v>
      </c>
      <c r="E29" s="749">
        <v>0</v>
      </c>
      <c r="F29" s="749">
        <v>0</v>
      </c>
      <c r="G29" s="744">
        <v>0</v>
      </c>
      <c r="H29" s="745" t="s">
        <v>879</v>
      </c>
    </row>
    <row r="30" spans="1:8" ht="14">
      <c r="A30" s="747" t="s">
        <v>516</v>
      </c>
      <c r="B30" s="744" t="s">
        <v>887</v>
      </c>
      <c r="C30" s="744">
        <v>207942</v>
      </c>
      <c r="D30" s="744">
        <v>0</v>
      </c>
      <c r="E30" s="744">
        <v>0</v>
      </c>
      <c r="F30" s="744">
        <v>0</v>
      </c>
      <c r="G30" s="744">
        <v>207942</v>
      </c>
      <c r="H30" s="750" t="s">
        <v>932</v>
      </c>
    </row>
    <row r="31" spans="1:8" ht="28">
      <c r="A31" s="747" t="s">
        <v>517</v>
      </c>
      <c r="B31" s="744" t="s">
        <v>1245</v>
      </c>
      <c r="C31" s="744">
        <v>1141418.7879999999</v>
      </c>
      <c r="D31" s="744">
        <v>0</v>
      </c>
      <c r="E31" s="744">
        <v>0</v>
      </c>
      <c r="F31" s="744">
        <v>1141418.7879999999</v>
      </c>
      <c r="G31" s="744">
        <v>0</v>
      </c>
      <c r="H31" s="750" t="s">
        <v>1246</v>
      </c>
    </row>
    <row r="32" spans="1:8" ht="28">
      <c r="A32" s="747" t="s">
        <v>518</v>
      </c>
      <c r="B32" s="744" t="s">
        <v>910</v>
      </c>
      <c r="C32" s="744">
        <v>0</v>
      </c>
      <c r="D32" s="744">
        <v>0</v>
      </c>
      <c r="E32" s="744">
        <v>0</v>
      </c>
      <c r="F32" s="744">
        <v>0</v>
      </c>
      <c r="G32" s="744">
        <v>0</v>
      </c>
      <c r="H32" s="745" t="s">
        <v>1403</v>
      </c>
    </row>
    <row r="33" spans="1:8" ht="14">
      <c r="A33" s="747" t="s">
        <v>519</v>
      </c>
      <c r="B33" s="744" t="s">
        <v>888</v>
      </c>
      <c r="C33" s="744">
        <v>9573744</v>
      </c>
      <c r="D33" s="744">
        <v>9573744</v>
      </c>
      <c r="E33" s="744">
        <v>0</v>
      </c>
      <c r="F33" s="744">
        <v>0</v>
      </c>
      <c r="G33" s="744">
        <v>0</v>
      </c>
      <c r="H33" s="745" t="s">
        <v>879</v>
      </c>
    </row>
    <row r="34" spans="1:8" ht="28">
      <c r="A34" s="747" t="s">
        <v>520</v>
      </c>
      <c r="B34" s="744" t="s">
        <v>911</v>
      </c>
      <c r="C34" s="744">
        <v>9947772</v>
      </c>
      <c r="D34" s="744">
        <v>0</v>
      </c>
      <c r="E34" s="744">
        <v>0</v>
      </c>
      <c r="F34" s="744">
        <v>0</v>
      </c>
      <c r="G34" s="744">
        <v>9947772</v>
      </c>
      <c r="H34" s="745" t="s">
        <v>933</v>
      </c>
    </row>
    <row r="35" spans="1:8" ht="28">
      <c r="A35" s="747" t="s">
        <v>521</v>
      </c>
      <c r="B35" s="744" t="s">
        <v>889</v>
      </c>
      <c r="C35" s="744">
        <v>0</v>
      </c>
      <c r="D35" s="744">
        <v>0</v>
      </c>
      <c r="E35" s="744">
        <v>0</v>
      </c>
      <c r="F35" s="744">
        <v>0</v>
      </c>
      <c r="G35" s="744">
        <v>0</v>
      </c>
      <c r="H35" s="745" t="s">
        <v>934</v>
      </c>
    </row>
    <row r="36" spans="1:8" ht="14">
      <c r="A36" s="747" t="s">
        <v>522</v>
      </c>
      <c r="B36" s="744" t="s">
        <v>890</v>
      </c>
      <c r="C36" s="744">
        <v>0</v>
      </c>
      <c r="D36" s="744">
        <v>0</v>
      </c>
      <c r="E36" s="744">
        <v>0</v>
      </c>
      <c r="F36" s="744">
        <v>0</v>
      </c>
      <c r="G36" s="744">
        <v>0</v>
      </c>
      <c r="H36" s="745" t="s">
        <v>879</v>
      </c>
    </row>
    <row r="37" spans="1:8" ht="14">
      <c r="A37" s="747" t="s">
        <v>523</v>
      </c>
      <c r="B37" s="744" t="s">
        <v>935</v>
      </c>
      <c r="C37" s="744">
        <v>1153652</v>
      </c>
      <c r="D37" s="744">
        <v>1153652</v>
      </c>
      <c r="E37" s="744">
        <v>0</v>
      </c>
      <c r="F37" s="744">
        <v>0</v>
      </c>
      <c r="G37" s="744">
        <v>0</v>
      </c>
      <c r="H37" s="745" t="s">
        <v>879</v>
      </c>
    </row>
    <row r="38" spans="1:8" ht="14">
      <c r="A38" s="747" t="s">
        <v>524</v>
      </c>
      <c r="B38" s="744" t="s">
        <v>891</v>
      </c>
      <c r="C38" s="744">
        <v>429796</v>
      </c>
      <c r="D38" s="744">
        <v>429796</v>
      </c>
      <c r="E38" s="744">
        <v>0</v>
      </c>
      <c r="F38" s="744">
        <v>0</v>
      </c>
      <c r="G38" s="744">
        <v>0</v>
      </c>
      <c r="H38" s="750" t="s">
        <v>879</v>
      </c>
    </row>
    <row r="39" spans="1:8" ht="14">
      <c r="A39" s="747" t="s">
        <v>525</v>
      </c>
      <c r="B39" s="744" t="s">
        <v>892</v>
      </c>
      <c r="C39" s="744">
        <v>0.29473415540996939</v>
      </c>
      <c r="D39" s="744">
        <v>0.29473415540996939</v>
      </c>
      <c r="E39" s="744">
        <v>0</v>
      </c>
      <c r="F39" s="744">
        <v>0</v>
      </c>
      <c r="G39" s="744">
        <v>0</v>
      </c>
      <c r="H39" s="750"/>
    </row>
    <row r="40" spans="1:8" ht="14">
      <c r="A40" s="747" t="s">
        <v>526</v>
      </c>
      <c r="B40" s="744" t="s">
        <v>936</v>
      </c>
      <c r="C40" s="744">
        <v>10793.705265844565</v>
      </c>
      <c r="D40" s="744">
        <v>0</v>
      </c>
      <c r="E40" s="744">
        <v>0</v>
      </c>
      <c r="F40" s="744">
        <v>10793.705265844565</v>
      </c>
      <c r="G40" s="744">
        <v>0</v>
      </c>
      <c r="H40" s="750" t="s">
        <v>937</v>
      </c>
    </row>
    <row r="41" spans="1:8" ht="14">
      <c r="A41" s="747" t="s">
        <v>527</v>
      </c>
      <c r="B41" s="744" t="s">
        <v>938</v>
      </c>
      <c r="C41" s="744">
        <v>192052</v>
      </c>
      <c r="D41" s="744">
        <v>192052</v>
      </c>
      <c r="E41" s="744">
        <v>0</v>
      </c>
      <c r="F41" s="744">
        <v>0</v>
      </c>
      <c r="G41" s="744">
        <v>0</v>
      </c>
      <c r="H41" s="750" t="s">
        <v>879</v>
      </c>
    </row>
    <row r="42" spans="1:8" ht="14">
      <c r="A42" s="747" t="s">
        <v>528</v>
      </c>
      <c r="B42" s="744" t="s">
        <v>939</v>
      </c>
      <c r="C42" s="744">
        <v>83758</v>
      </c>
      <c r="D42" s="744">
        <v>0</v>
      </c>
      <c r="E42" s="744">
        <v>0</v>
      </c>
      <c r="F42" s="744">
        <v>83758</v>
      </c>
      <c r="G42" s="744">
        <v>0</v>
      </c>
      <c r="H42" s="750" t="s">
        <v>940</v>
      </c>
    </row>
    <row r="43" spans="1:8" ht="14">
      <c r="A43" s="747" t="s">
        <v>529</v>
      </c>
      <c r="B43" s="744" t="s">
        <v>941</v>
      </c>
      <c r="C43" s="744">
        <v>265981</v>
      </c>
      <c r="D43" s="744">
        <v>0</v>
      </c>
      <c r="E43" s="744">
        <v>0</v>
      </c>
      <c r="F43" s="744">
        <v>265981</v>
      </c>
      <c r="G43" s="751">
        <v>0</v>
      </c>
      <c r="H43" s="750" t="s">
        <v>942</v>
      </c>
    </row>
    <row r="44" spans="1:8" ht="14">
      <c r="A44" s="747" t="s">
        <v>530</v>
      </c>
      <c r="B44" s="744" t="s">
        <v>1247</v>
      </c>
      <c r="C44" s="744">
        <v>626979</v>
      </c>
      <c r="D44" s="744">
        <v>0</v>
      </c>
      <c r="E44" s="752">
        <v>0</v>
      </c>
      <c r="F44" s="752">
        <v>0</v>
      </c>
      <c r="G44" s="744">
        <v>626979</v>
      </c>
      <c r="H44" s="750" t="s">
        <v>1248</v>
      </c>
    </row>
    <row r="45" spans="1:8" ht="28">
      <c r="A45" s="747" t="s">
        <v>531</v>
      </c>
      <c r="B45" s="744" t="s">
        <v>1249</v>
      </c>
      <c r="C45" s="744">
        <v>6078222.2400000002</v>
      </c>
      <c r="D45" s="752">
        <v>0</v>
      </c>
      <c r="E45" s="752">
        <v>0</v>
      </c>
      <c r="F45" s="752">
        <v>6078222.2400000002</v>
      </c>
      <c r="G45" s="751">
        <v>0</v>
      </c>
      <c r="H45" s="750" t="s">
        <v>1246</v>
      </c>
    </row>
    <row r="46" spans="1:8" ht="28">
      <c r="A46" s="747" t="s">
        <v>532</v>
      </c>
      <c r="B46" s="744" t="s">
        <v>912</v>
      </c>
      <c r="C46" s="744">
        <v>0</v>
      </c>
      <c r="D46" s="744">
        <v>0</v>
      </c>
      <c r="E46" s="752">
        <v>0</v>
      </c>
      <c r="F46" s="752">
        <v>0</v>
      </c>
      <c r="G46" s="751">
        <v>0</v>
      </c>
      <c r="H46" s="750" t="s">
        <v>943</v>
      </c>
    </row>
    <row r="47" spans="1:8" ht="14">
      <c r="A47" s="747" t="s">
        <v>533</v>
      </c>
      <c r="B47" s="744" t="s">
        <v>894</v>
      </c>
      <c r="C47" s="744">
        <v>0</v>
      </c>
      <c r="D47" s="744">
        <v>0</v>
      </c>
      <c r="E47" s="752">
        <v>0</v>
      </c>
      <c r="F47" s="752">
        <v>0</v>
      </c>
      <c r="G47" s="744">
        <v>0</v>
      </c>
      <c r="H47" s="750" t="s">
        <v>879</v>
      </c>
    </row>
    <row r="48" spans="1:8" ht="28">
      <c r="A48" s="747" t="s">
        <v>534</v>
      </c>
      <c r="B48" s="744" t="s">
        <v>913</v>
      </c>
      <c r="C48" s="744">
        <v>77957835</v>
      </c>
      <c r="D48" s="744">
        <v>0</v>
      </c>
      <c r="E48" s="752">
        <v>0</v>
      </c>
      <c r="F48" s="744">
        <v>0</v>
      </c>
      <c r="G48" s="751">
        <v>77957835</v>
      </c>
      <c r="H48" s="750" t="s">
        <v>944</v>
      </c>
    </row>
    <row r="49" spans="1:8" ht="42">
      <c r="A49" s="747" t="s">
        <v>535</v>
      </c>
      <c r="B49" s="744" t="s">
        <v>895</v>
      </c>
      <c r="C49" s="744">
        <v>0</v>
      </c>
      <c r="D49" s="744">
        <v>0</v>
      </c>
      <c r="E49" s="744">
        <v>0</v>
      </c>
      <c r="F49" s="744">
        <v>0</v>
      </c>
      <c r="G49" s="744">
        <v>0</v>
      </c>
      <c r="H49" s="750" t="s">
        <v>945</v>
      </c>
    </row>
    <row r="50" spans="1:8" ht="14">
      <c r="A50" s="747" t="s">
        <v>536</v>
      </c>
      <c r="B50" s="744" t="s">
        <v>896</v>
      </c>
      <c r="C50" s="744">
        <v>3827688</v>
      </c>
      <c r="D50" s="744">
        <v>3827688</v>
      </c>
      <c r="E50" s="744">
        <v>0</v>
      </c>
      <c r="F50" s="744">
        <v>0</v>
      </c>
      <c r="G50" s="744">
        <v>0</v>
      </c>
      <c r="H50" s="745" t="s">
        <v>946</v>
      </c>
    </row>
    <row r="51" spans="1:8" ht="14">
      <c r="A51" s="747" t="s">
        <v>537</v>
      </c>
      <c r="B51" s="744" t="s">
        <v>897</v>
      </c>
      <c r="C51" s="744">
        <v>0</v>
      </c>
      <c r="D51" s="744">
        <v>0</v>
      </c>
      <c r="E51" s="752">
        <v>0</v>
      </c>
      <c r="F51" s="744">
        <v>0</v>
      </c>
      <c r="G51" s="751">
        <v>0</v>
      </c>
      <c r="H51" s="745" t="s">
        <v>946</v>
      </c>
    </row>
    <row r="52" spans="1:8" ht="14">
      <c r="A52" s="747" t="s">
        <v>538</v>
      </c>
      <c r="B52" s="744" t="s">
        <v>898</v>
      </c>
      <c r="C52" s="744">
        <v>0</v>
      </c>
      <c r="D52" s="744">
        <v>0</v>
      </c>
      <c r="E52" s="744">
        <v>0</v>
      </c>
      <c r="F52" s="744">
        <v>0</v>
      </c>
      <c r="G52" s="744">
        <v>0</v>
      </c>
      <c r="H52" s="745" t="s">
        <v>947</v>
      </c>
    </row>
    <row r="53" spans="1:8" ht="14">
      <c r="A53" s="747" t="s">
        <v>539</v>
      </c>
      <c r="B53" s="744" t="s">
        <v>899</v>
      </c>
      <c r="C53" s="744">
        <v>61677</v>
      </c>
      <c r="D53" s="744">
        <v>0</v>
      </c>
      <c r="E53" s="752">
        <v>0</v>
      </c>
      <c r="F53" s="744">
        <v>0</v>
      </c>
      <c r="G53" s="751">
        <v>61677</v>
      </c>
      <c r="H53" s="745" t="s">
        <v>948</v>
      </c>
    </row>
    <row r="54" spans="1:8" ht="28">
      <c r="A54" s="747" t="s">
        <v>540</v>
      </c>
      <c r="B54" s="744" t="s">
        <v>914</v>
      </c>
      <c r="C54" s="744">
        <v>1004916</v>
      </c>
      <c r="D54" s="744">
        <f>C54</f>
        <v>1004916</v>
      </c>
      <c r="E54" s="752">
        <v>0</v>
      </c>
      <c r="F54" s="744">
        <v>0</v>
      </c>
      <c r="G54" s="751">
        <v>0</v>
      </c>
      <c r="H54" s="745" t="s">
        <v>949</v>
      </c>
    </row>
    <row r="55" spans="1:8" ht="14">
      <c r="A55" s="747" t="s">
        <v>541</v>
      </c>
      <c r="B55" s="744" t="s">
        <v>900</v>
      </c>
      <c r="C55" s="744">
        <v>1560924</v>
      </c>
      <c r="D55" s="744">
        <v>1560924</v>
      </c>
      <c r="E55" s="744">
        <v>0</v>
      </c>
      <c r="F55" s="744">
        <v>0</v>
      </c>
      <c r="G55" s="744">
        <v>0</v>
      </c>
      <c r="H55" s="745" t="s">
        <v>879</v>
      </c>
    </row>
    <row r="56" spans="1:8" ht="28">
      <c r="A56" s="747" t="s">
        <v>542</v>
      </c>
      <c r="B56" s="744" t="s">
        <v>901</v>
      </c>
      <c r="C56" s="744">
        <v>10806431</v>
      </c>
      <c r="D56" s="744">
        <v>0</v>
      </c>
      <c r="E56" s="744">
        <v>0</v>
      </c>
      <c r="F56" s="748">
        <v>0</v>
      </c>
      <c r="G56" s="744">
        <v>10806431</v>
      </c>
      <c r="H56" s="745" t="s">
        <v>950</v>
      </c>
    </row>
    <row r="57" spans="1:8" ht="14">
      <c r="A57" s="747" t="s">
        <v>543</v>
      </c>
      <c r="B57" s="790"/>
      <c r="C57" s="790"/>
      <c r="D57" s="790"/>
      <c r="E57" s="838"/>
      <c r="F57" s="838"/>
      <c r="G57" s="836"/>
      <c r="H57" s="839"/>
    </row>
    <row r="58" spans="1:8" ht="14" hidden="1">
      <c r="A58" s="747" t="s">
        <v>544</v>
      </c>
      <c r="B58" s="790"/>
      <c r="C58" s="790"/>
      <c r="D58" s="790"/>
      <c r="E58" s="838"/>
      <c r="F58" s="838"/>
      <c r="G58" s="836"/>
      <c r="H58" s="839"/>
    </row>
    <row r="59" spans="1:8" ht="14" hidden="1">
      <c r="A59" s="747" t="s">
        <v>545</v>
      </c>
      <c r="B59" s="790"/>
      <c r="C59" s="790"/>
      <c r="D59" s="790"/>
      <c r="E59" s="838"/>
      <c r="F59" s="838"/>
      <c r="G59" s="790"/>
      <c r="H59" s="839"/>
    </row>
    <row r="60" spans="1:8" ht="14" hidden="1">
      <c r="A60" s="747" t="s">
        <v>546</v>
      </c>
      <c r="B60" s="790"/>
      <c r="C60" s="790"/>
      <c r="D60" s="790"/>
      <c r="E60" s="838"/>
      <c r="F60" s="790"/>
      <c r="G60" s="836"/>
      <c r="H60" s="839"/>
    </row>
    <row r="61" spans="1:8" ht="14" hidden="1">
      <c r="A61" s="747" t="s">
        <v>547</v>
      </c>
      <c r="B61" s="790"/>
      <c r="C61" s="790"/>
      <c r="D61" s="790"/>
      <c r="E61" s="838"/>
      <c r="F61" s="790"/>
      <c r="G61" s="836"/>
      <c r="H61" s="839"/>
    </row>
    <row r="62" spans="1:8" ht="14" hidden="1">
      <c r="A62" s="747" t="s">
        <v>548</v>
      </c>
      <c r="B62" s="840"/>
      <c r="C62" s="790"/>
      <c r="D62" s="790"/>
      <c r="E62" s="838"/>
      <c r="F62" s="790"/>
      <c r="G62" s="836"/>
      <c r="H62" s="839"/>
    </row>
    <row r="63" spans="1:8" ht="14" hidden="1">
      <c r="A63" s="747" t="s">
        <v>549</v>
      </c>
      <c r="B63" s="790"/>
      <c r="C63" s="790"/>
      <c r="D63" s="790"/>
      <c r="E63" s="790"/>
      <c r="F63" s="837"/>
      <c r="G63" s="790"/>
      <c r="H63" s="841"/>
    </row>
    <row r="64" spans="1:8" ht="14" hidden="1">
      <c r="A64" s="747" t="s">
        <v>550</v>
      </c>
      <c r="B64" s="790"/>
      <c r="C64" s="790"/>
      <c r="D64" s="790"/>
      <c r="E64" s="838"/>
      <c r="F64" s="790"/>
      <c r="G64" s="836"/>
      <c r="H64" s="839"/>
    </row>
    <row r="65" spans="1:8" ht="14" hidden="1">
      <c r="A65" s="747" t="s">
        <v>551</v>
      </c>
      <c r="B65" s="790"/>
      <c r="C65" s="790"/>
      <c r="D65" s="790"/>
      <c r="E65" s="838"/>
      <c r="F65" s="790"/>
      <c r="G65" s="836"/>
      <c r="H65" s="842"/>
    </row>
    <row r="66" spans="1:8" ht="14" hidden="1">
      <c r="A66" s="747" t="s">
        <v>552</v>
      </c>
      <c r="B66" s="790"/>
      <c r="C66" s="790"/>
      <c r="D66" s="790"/>
      <c r="E66" s="838"/>
      <c r="F66" s="790"/>
      <c r="G66" s="836"/>
      <c r="H66" s="842"/>
    </row>
    <row r="67" spans="1:8" ht="14" hidden="1">
      <c r="A67" s="747" t="s">
        <v>553</v>
      </c>
      <c r="B67" s="790"/>
      <c r="C67" s="790"/>
      <c r="D67" s="790"/>
      <c r="E67" s="790"/>
      <c r="F67" s="790"/>
      <c r="G67" s="790"/>
      <c r="H67" s="843"/>
    </row>
    <row r="68" spans="1:8" ht="14" hidden="1">
      <c r="A68" s="747" t="s">
        <v>554</v>
      </c>
      <c r="B68" s="790"/>
      <c r="C68" s="790"/>
      <c r="D68" s="790"/>
      <c r="E68" s="790"/>
      <c r="F68" s="790"/>
      <c r="G68" s="790"/>
      <c r="H68" s="842"/>
    </row>
    <row r="69" spans="1:8" ht="14" hidden="1">
      <c r="A69" s="747" t="s">
        <v>555</v>
      </c>
      <c r="B69" s="790"/>
      <c r="C69" s="790"/>
      <c r="D69" s="790"/>
      <c r="E69" s="790"/>
      <c r="F69" s="790"/>
      <c r="G69" s="790"/>
      <c r="H69" s="843"/>
    </row>
    <row r="70" spans="1:8" ht="14" hidden="1">
      <c r="A70" s="747" t="s">
        <v>556</v>
      </c>
      <c r="B70" s="790"/>
      <c r="C70" s="790"/>
      <c r="D70" s="790"/>
      <c r="E70" s="790"/>
      <c r="F70" s="838"/>
      <c r="G70" s="790"/>
      <c r="H70" s="843"/>
    </row>
    <row r="71" spans="1:8" ht="14" hidden="1">
      <c r="A71" s="747" t="s">
        <v>557</v>
      </c>
      <c r="B71" s="790"/>
      <c r="C71" s="790"/>
      <c r="D71" s="790"/>
      <c r="E71" s="790"/>
      <c r="F71" s="790"/>
      <c r="G71" s="790"/>
      <c r="H71" s="839"/>
    </row>
    <row r="72" spans="1:8" ht="14" hidden="1">
      <c r="A72" s="747" t="s">
        <v>558</v>
      </c>
      <c r="B72" s="790"/>
      <c r="C72" s="790"/>
      <c r="D72" s="790"/>
      <c r="E72" s="790"/>
      <c r="F72" s="790"/>
      <c r="G72" s="790"/>
      <c r="H72" s="843"/>
    </row>
    <row r="73" spans="1:8" ht="14" hidden="1">
      <c r="A73" s="747" t="s">
        <v>559</v>
      </c>
      <c r="B73" s="790"/>
      <c r="C73" s="790"/>
      <c r="D73" s="790"/>
      <c r="E73" s="790"/>
      <c r="F73" s="790"/>
      <c r="G73" s="790"/>
      <c r="H73" s="820"/>
    </row>
    <row r="74" spans="1:8" ht="14" hidden="1">
      <c r="A74" s="747" t="s">
        <v>560</v>
      </c>
      <c r="B74" s="790"/>
      <c r="C74" s="790"/>
      <c r="D74" s="790"/>
      <c r="E74" s="790"/>
      <c r="F74" s="790"/>
      <c r="G74" s="790"/>
      <c r="H74" s="820"/>
    </row>
    <row r="75" spans="1:8" ht="14" hidden="1">
      <c r="A75" s="747" t="s">
        <v>561</v>
      </c>
      <c r="B75" s="820"/>
      <c r="C75" s="790"/>
      <c r="D75" s="790"/>
      <c r="E75" s="790"/>
      <c r="F75" s="790"/>
      <c r="G75" s="790"/>
      <c r="H75" s="843"/>
    </row>
    <row r="76" spans="1:8" ht="14" hidden="1">
      <c r="A76" s="747" t="s">
        <v>562</v>
      </c>
      <c r="B76" s="844"/>
      <c r="C76" s="790"/>
      <c r="D76" s="790"/>
      <c r="E76" s="790"/>
      <c r="F76" s="790"/>
      <c r="G76" s="790"/>
      <c r="H76" s="843"/>
    </row>
    <row r="77" spans="1:8" ht="14" hidden="1">
      <c r="A77" s="747" t="s">
        <v>296</v>
      </c>
      <c r="B77" s="824"/>
      <c r="C77" s="790"/>
      <c r="D77" s="790"/>
      <c r="E77" s="790"/>
      <c r="F77" s="790"/>
      <c r="G77" s="790"/>
      <c r="H77" s="843"/>
    </row>
    <row r="78" spans="1:10" ht="14">
      <c r="A78" s="747">
        <v>2</v>
      </c>
      <c r="B78" s="793" t="s">
        <v>1058</v>
      </c>
      <c r="C78" s="794">
        <f>SUM(C21:C77)</f>
        <v>146712102.028</v>
      </c>
      <c r="D78" s="794">
        <f>SUM(D21:D77)</f>
        <v>36397945.29473415</v>
      </c>
      <c r="E78" s="794">
        <f>SUM(E21:E77)</f>
        <v>0</v>
      </c>
      <c r="F78" s="794">
        <f>SUM(F21:F77)</f>
        <v>7580173.7332658451</v>
      </c>
      <c r="G78" s="794">
        <f>SUM(G21:G77)</f>
        <v>102733982</v>
      </c>
      <c r="H78" s="845"/>
      <c r="J78" s="761"/>
    </row>
    <row r="79" spans="1:8" ht="14">
      <c r="A79" s="747">
        <v>3</v>
      </c>
      <c r="B79" s="793" t="s">
        <v>563</v>
      </c>
      <c r="C79" s="744">
        <f>SUM(D79:G79)</f>
        <v>-39114758.193900004</v>
      </c>
      <c r="D79" s="744">
        <v>7248646.0819999995</v>
      </c>
      <c r="E79" s="744">
        <v>0</v>
      </c>
      <c r="F79" s="744">
        <v>159502.72409999999</v>
      </c>
      <c r="G79" s="744">
        <v>-46522907</v>
      </c>
      <c r="H79" s="843"/>
    </row>
    <row r="80" spans="1:8" ht="14">
      <c r="A80" s="747">
        <v>4</v>
      </c>
      <c r="B80" s="793" t="s">
        <v>564</v>
      </c>
      <c r="C80" s="790"/>
      <c r="D80" s="790"/>
      <c r="E80" s="790"/>
      <c r="F80" s="790"/>
      <c r="G80" s="790"/>
      <c r="H80" s="843"/>
    </row>
    <row r="81" spans="1:8" ht="14">
      <c r="A81" s="712">
        <v>5</v>
      </c>
      <c r="B81" s="793" t="s">
        <v>13</v>
      </c>
      <c r="C81" s="794">
        <f>+C78-C79-C80</f>
        <v>185826860.22189999</v>
      </c>
      <c r="D81" s="794">
        <f>+D78-D79-D80</f>
        <v>29149299.212734152</v>
      </c>
      <c r="E81" s="794">
        <f>+E78-E79-E80</f>
        <v>0</v>
      </c>
      <c r="F81" s="794">
        <f>+F78-F79-F80</f>
        <v>7420671.0091658449</v>
      </c>
      <c r="G81" s="794">
        <f>+G78-G79-G80</f>
        <v>149256889</v>
      </c>
      <c r="H81" s="845"/>
    </row>
    <row r="82" spans="2:8" ht="6" customHeight="1">
      <c r="B82" s="762"/>
      <c r="C82" s="763"/>
      <c r="D82" s="719"/>
      <c r="E82" s="719"/>
      <c r="F82" s="719"/>
      <c r="G82" s="764"/>
      <c r="H82" s="846"/>
    </row>
    <row r="83" spans="1:8" ht="14">
      <c r="A83" s="747">
        <v>6</v>
      </c>
      <c r="B83" s="766" t="s">
        <v>565</v>
      </c>
      <c r="C83" s="767"/>
      <c r="D83" s="768"/>
      <c r="E83" s="768"/>
      <c r="F83" s="768"/>
      <c r="G83" s="769"/>
      <c r="H83" s="847"/>
    </row>
    <row r="84" spans="1:8" ht="14">
      <c r="A84" s="747">
        <v>7</v>
      </c>
      <c r="B84" s="771" t="s">
        <v>566</v>
      </c>
      <c r="C84" s="719"/>
      <c r="D84" s="719"/>
      <c r="E84" s="719"/>
      <c r="F84" s="719"/>
      <c r="G84" s="719"/>
      <c r="H84" s="848"/>
    </row>
    <row r="85" spans="1:8" ht="14">
      <c r="A85" s="747">
        <v>8</v>
      </c>
      <c r="B85" s="771" t="s">
        <v>567</v>
      </c>
      <c r="C85" s="773"/>
      <c r="D85" s="719"/>
      <c r="E85" s="719"/>
      <c r="F85" s="719"/>
      <c r="G85" s="764"/>
      <c r="H85" s="849"/>
    </row>
    <row r="86" spans="1:8" ht="14">
      <c r="A86" s="747">
        <v>9</v>
      </c>
      <c r="B86" s="771" t="s">
        <v>568</v>
      </c>
      <c r="C86" s="773"/>
      <c r="D86" s="719"/>
      <c r="E86" s="719"/>
      <c r="F86" s="719"/>
      <c r="G86" s="764"/>
      <c r="H86" s="849"/>
    </row>
    <row r="87" spans="1:8" ht="14">
      <c r="A87" s="747">
        <v>10</v>
      </c>
      <c r="B87" s="771" t="s">
        <v>569</v>
      </c>
      <c r="C87" s="773"/>
      <c r="D87" s="719"/>
      <c r="E87" s="719"/>
      <c r="F87" s="719"/>
      <c r="G87" s="764"/>
      <c r="H87" s="849"/>
    </row>
    <row r="88" spans="1:8" ht="14">
      <c r="A88" s="747">
        <v>11</v>
      </c>
      <c r="B88" s="775" t="s">
        <v>570</v>
      </c>
      <c r="C88" s="719"/>
      <c r="D88" s="719"/>
      <c r="E88" s="719"/>
      <c r="F88" s="719"/>
      <c r="G88" s="719"/>
      <c r="H88" s="848"/>
    </row>
    <row r="89" spans="1:8" ht="14">
      <c r="A89" s="747">
        <v>12</v>
      </c>
      <c r="B89" s="776" t="s">
        <v>571</v>
      </c>
      <c r="C89" s="719"/>
      <c r="D89" s="719"/>
      <c r="E89" s="719"/>
      <c r="F89" s="719"/>
      <c r="G89" s="719"/>
      <c r="H89" s="848"/>
    </row>
    <row r="90" spans="2:8" ht="3.75" customHeight="1">
      <c r="B90" s="777"/>
      <c r="C90" s="778"/>
      <c r="D90" s="779"/>
      <c r="E90" s="779"/>
      <c r="F90" s="779"/>
      <c r="G90" s="780"/>
      <c r="H90" s="850"/>
    </row>
    <row r="91" spans="2:8" ht="14">
      <c r="B91" s="1080" t="str">
        <f>'4A - ADIT Summary'!$G$65</f>
        <v>PECO Energy Company</v>
      </c>
      <c r="C91" s="1081"/>
      <c r="D91" s="1081"/>
      <c r="E91" s="1081"/>
      <c r="F91" s="1081"/>
      <c r="G91" s="1081"/>
      <c r="H91" s="1081"/>
    </row>
    <row r="92" spans="2:8" ht="15.5">
      <c r="B92" s="714" t="s">
        <v>490</v>
      </c>
      <c r="C92" s="714"/>
      <c r="D92" s="714"/>
      <c r="E92" s="714"/>
      <c r="F92" s="714"/>
      <c r="G92" s="714"/>
      <c r="H92" s="207"/>
    </row>
    <row r="93" spans="2:8" ht="14">
      <c r="B93" s="851"/>
      <c r="C93" s="717"/>
      <c r="D93" s="782"/>
      <c r="E93" s="782"/>
      <c r="F93" s="782"/>
      <c r="G93" s="782"/>
      <c r="H93" s="832"/>
    </row>
    <row r="94" spans="2:8" ht="14">
      <c r="B94" s="716"/>
      <c r="C94" s="717"/>
      <c r="D94" s="782"/>
      <c r="E94" s="782"/>
      <c r="F94" s="782"/>
      <c r="G94" s="782"/>
      <c r="H94" s="832" t="s">
        <v>490</v>
      </c>
    </row>
    <row r="95" spans="2:8" ht="14">
      <c r="B95" s="716"/>
      <c r="C95" s="717"/>
      <c r="D95" s="782"/>
      <c r="E95" s="782"/>
      <c r="F95" s="782"/>
      <c r="G95" s="782"/>
      <c r="H95" s="832" t="s">
        <v>572</v>
      </c>
    </row>
    <row r="96" spans="2:8" ht="14">
      <c r="B96" s="716"/>
      <c r="C96" s="717"/>
      <c r="D96" s="782"/>
      <c r="E96" s="782"/>
      <c r="F96" s="782"/>
      <c r="G96" s="782"/>
      <c r="H96" s="852"/>
    </row>
    <row r="97" spans="2:8" ht="14.5">
      <c r="B97" s="714"/>
      <c r="C97" s="719"/>
      <c r="D97" s="719"/>
      <c r="E97" s="719"/>
      <c r="F97" s="719"/>
      <c r="G97" s="719"/>
      <c r="H97" s="722"/>
    </row>
    <row r="98" spans="2:8" ht="14.5">
      <c r="B98" s="714"/>
      <c r="C98" s="719"/>
      <c r="D98" s="719"/>
      <c r="E98" s="719"/>
      <c r="F98" s="719"/>
      <c r="G98" s="719"/>
      <c r="H98" s="722"/>
    </row>
    <row r="99" spans="2:8" ht="14">
      <c r="B99" s="716" t="s">
        <v>58</v>
      </c>
      <c r="C99" s="735" t="s">
        <v>59</v>
      </c>
      <c r="D99" s="717" t="s">
        <v>60</v>
      </c>
      <c r="E99" s="717" t="s">
        <v>61</v>
      </c>
      <c r="F99" s="717" t="s">
        <v>62</v>
      </c>
      <c r="G99" s="717" t="s">
        <v>63</v>
      </c>
      <c r="H99" s="716" t="s">
        <v>64</v>
      </c>
    </row>
    <row r="100" spans="2:8" ht="14.5">
      <c r="B100" s="722" t="s">
        <v>1474</v>
      </c>
      <c r="C100" s="738" t="s">
        <v>13</v>
      </c>
      <c r="D100" s="738" t="s">
        <v>504</v>
      </c>
      <c r="E100" s="718" t="s">
        <v>492</v>
      </c>
      <c r="F100" s="718"/>
      <c r="G100" s="718"/>
      <c r="H100" s="714"/>
    </row>
    <row r="101" spans="2:8" ht="14.5">
      <c r="B101" s="762"/>
      <c r="C101" s="738"/>
      <c r="D101" s="738" t="s">
        <v>505</v>
      </c>
      <c r="E101" s="718" t="s">
        <v>17</v>
      </c>
      <c r="F101" s="718" t="s">
        <v>506</v>
      </c>
      <c r="G101" s="718" t="s">
        <v>459</v>
      </c>
      <c r="H101" s="714"/>
    </row>
    <row r="102" spans="2:8" ht="14.5">
      <c r="B102" s="786"/>
      <c r="C102" s="787"/>
      <c r="D102" s="738" t="s">
        <v>467</v>
      </c>
      <c r="E102" s="718" t="s">
        <v>467</v>
      </c>
      <c r="F102" s="718" t="s">
        <v>467</v>
      </c>
      <c r="G102" s="718" t="s">
        <v>467</v>
      </c>
      <c r="H102" s="722" t="s">
        <v>507</v>
      </c>
    </row>
    <row r="103" spans="2:8" ht="14">
      <c r="B103" s="714"/>
      <c r="C103" s="788"/>
      <c r="D103" s="719"/>
      <c r="E103" s="719"/>
      <c r="F103" s="719"/>
      <c r="G103" s="719"/>
      <c r="H103" s="714"/>
    </row>
    <row r="104" spans="1:8" ht="14">
      <c r="A104" s="712" t="s">
        <v>573</v>
      </c>
      <c r="B104" s="789" t="s">
        <v>1114</v>
      </c>
      <c r="C104" s="789">
        <v>0</v>
      </c>
      <c r="D104" s="790">
        <v>0</v>
      </c>
      <c r="E104" s="790">
        <v>0</v>
      </c>
      <c r="F104" s="790">
        <v>0</v>
      </c>
      <c r="G104" s="790">
        <v>0</v>
      </c>
      <c r="H104" s="791"/>
    </row>
    <row r="105" spans="1:8" ht="14">
      <c r="A105" s="712" t="s">
        <v>574</v>
      </c>
      <c r="B105" s="789" t="s">
        <v>702</v>
      </c>
      <c r="C105" s="789">
        <v>-28709490</v>
      </c>
      <c r="D105" s="790">
        <v>0</v>
      </c>
      <c r="E105" s="790">
        <v>0</v>
      </c>
      <c r="F105" s="790">
        <v>0</v>
      </c>
      <c r="G105" s="790">
        <v>-28709490</v>
      </c>
      <c r="H105" s="791" t="s">
        <v>951</v>
      </c>
    </row>
    <row r="106" spans="1:8" ht="14">
      <c r="A106" s="712" t="s">
        <v>575</v>
      </c>
      <c r="B106" s="789" t="s">
        <v>778</v>
      </c>
      <c r="C106" s="789">
        <v>-1121038511</v>
      </c>
      <c r="D106" s="790">
        <v>-1121038511</v>
      </c>
      <c r="E106" s="790">
        <v>0</v>
      </c>
      <c r="F106" s="790">
        <v>0</v>
      </c>
      <c r="G106" s="790">
        <v>0</v>
      </c>
      <c r="H106" s="791" t="s">
        <v>952</v>
      </c>
    </row>
    <row r="107" spans="1:8" ht="14">
      <c r="A107" s="747" t="s">
        <v>576</v>
      </c>
      <c r="B107" s="789" t="s">
        <v>903</v>
      </c>
      <c r="C107" s="789">
        <v>-3411310</v>
      </c>
      <c r="D107" s="790">
        <v>0</v>
      </c>
      <c r="E107" s="790">
        <v>0</v>
      </c>
      <c r="F107" s="790">
        <v>0</v>
      </c>
      <c r="G107" s="790">
        <v>-3411310</v>
      </c>
      <c r="H107" s="791" t="s">
        <v>951</v>
      </c>
    </row>
    <row r="108" spans="1:8" ht="14">
      <c r="A108" s="747" t="s">
        <v>577</v>
      </c>
      <c r="B108" s="789" t="s">
        <v>17</v>
      </c>
      <c r="C108" s="789">
        <v>-213299037</v>
      </c>
      <c r="D108" s="790">
        <v>0</v>
      </c>
      <c r="E108" s="790">
        <v>-213299037</v>
      </c>
      <c r="F108" s="790">
        <v>0</v>
      </c>
      <c r="G108" s="790">
        <v>0</v>
      </c>
      <c r="H108" s="791" t="s">
        <v>902</v>
      </c>
    </row>
    <row r="109" spans="1:8" ht="14">
      <c r="A109" s="747" t="s">
        <v>578</v>
      </c>
      <c r="B109" s="789"/>
      <c r="C109" s="789"/>
      <c r="D109" s="790"/>
      <c r="E109" s="790"/>
      <c r="F109" s="790"/>
      <c r="G109" s="790"/>
      <c r="H109" s="792"/>
    </row>
    <row r="110" spans="1:8" ht="14">
      <c r="A110" s="747" t="s">
        <v>579</v>
      </c>
      <c r="B110" s="789"/>
      <c r="C110" s="789"/>
      <c r="D110" s="789"/>
      <c r="E110" s="789"/>
      <c r="F110" s="789"/>
      <c r="G110" s="789"/>
      <c r="H110" s="789"/>
    </row>
    <row r="111" spans="1:8" ht="14">
      <c r="A111" s="747" t="s">
        <v>580</v>
      </c>
      <c r="B111" s="789"/>
      <c r="C111" s="789"/>
      <c r="D111" s="789"/>
      <c r="E111" s="789"/>
      <c r="F111" s="789"/>
      <c r="G111" s="789"/>
      <c r="H111" s="789"/>
    </row>
    <row r="112" spans="1:8" ht="14">
      <c r="A112" s="747" t="s">
        <v>296</v>
      </c>
      <c r="B112" s="824"/>
      <c r="C112" s="789"/>
      <c r="D112" s="790"/>
      <c r="E112" s="790"/>
      <c r="F112" s="790"/>
      <c r="G112" s="790"/>
      <c r="H112" s="843"/>
    </row>
    <row r="113" spans="1:8" ht="14">
      <c r="A113" s="747">
        <v>14</v>
      </c>
      <c r="B113" s="793" t="s">
        <v>1060</v>
      </c>
      <c r="C113" s="794">
        <f>SUM(C104:C112)</f>
        <v>-1366458348</v>
      </c>
      <c r="D113" s="794">
        <f>SUM(D103:D112)</f>
        <v>-1121038511</v>
      </c>
      <c r="E113" s="794">
        <f>SUM(E103:E112)</f>
        <v>-213299037</v>
      </c>
      <c r="F113" s="794">
        <f>SUM(F103:F112)</f>
        <v>0</v>
      </c>
      <c r="G113" s="794">
        <f>SUM(G103:G112)</f>
        <v>-32120800</v>
      </c>
      <c r="H113" s="853"/>
    </row>
    <row r="114" spans="1:8" ht="14">
      <c r="A114" s="747">
        <v>15</v>
      </c>
      <c r="B114" s="793" t="s">
        <v>563</v>
      </c>
      <c r="C114" s="796">
        <f>SUM(D114:G114)</f>
        <v>-248111570.1734069</v>
      </c>
      <c r="D114" s="796">
        <v>-203000120</v>
      </c>
      <c r="E114" s="796">
        <f>52941001-'9 - EDIT'!C30-'9 - EDIT'!C42-'9 - EDIT'!C38</f>
        <v>-44666707.173406914</v>
      </c>
      <c r="F114" s="796">
        <v>0</v>
      </c>
      <c r="G114" s="796">
        <f>1239006-'9 - EDIT'!C32</f>
        <v>-444743</v>
      </c>
      <c r="H114" s="843"/>
    </row>
    <row r="115" spans="1:8" ht="14">
      <c r="A115" s="747">
        <v>16</v>
      </c>
      <c r="B115" s="793" t="s">
        <v>564</v>
      </c>
      <c r="C115" s="790"/>
      <c r="D115" s="790"/>
      <c r="E115" s="796"/>
      <c r="F115" s="790"/>
      <c r="G115" s="790"/>
      <c r="H115" s="843"/>
    </row>
    <row r="116" spans="1:8" ht="14">
      <c r="A116" s="747">
        <v>17</v>
      </c>
      <c r="B116" s="793" t="s">
        <v>1157</v>
      </c>
      <c r="C116" s="794">
        <f>+C113-C114-C115</f>
        <v>-1118346777.8265932</v>
      </c>
      <c r="D116" s="794">
        <f>+D113-D114-D115</f>
        <v>-918038391</v>
      </c>
      <c r="E116" s="794">
        <f>+E113-E114-E115</f>
        <v>-168632329.8265931</v>
      </c>
      <c r="F116" s="794">
        <f>+F113-F114-F115</f>
        <v>0</v>
      </c>
      <c r="G116" s="794">
        <f>+G113-G114-G115</f>
        <v>-31676057</v>
      </c>
      <c r="H116" s="853"/>
    </row>
    <row r="117" spans="2:8" ht="14">
      <c r="B117" s="762"/>
      <c r="C117" s="800"/>
      <c r="D117" s="800"/>
      <c r="E117" s="800"/>
      <c r="F117" s="800"/>
      <c r="G117" s="719"/>
      <c r="H117" s="854"/>
    </row>
    <row r="118" spans="2:8" ht="14.5" thickBot="1">
      <c r="B118" s="762"/>
      <c r="C118" s="763"/>
      <c r="D118" s="719"/>
      <c r="E118" s="719"/>
      <c r="F118" s="719"/>
      <c r="G118" s="764"/>
      <c r="H118" s="855"/>
    </row>
    <row r="119" spans="1:8" ht="14">
      <c r="A119" s="747">
        <v>18</v>
      </c>
      <c r="B119" s="803" t="s">
        <v>581</v>
      </c>
      <c r="C119" s="804"/>
      <c r="D119" s="805"/>
      <c r="E119" s="805"/>
      <c r="F119" s="805"/>
      <c r="G119" s="806"/>
      <c r="H119" s="856"/>
    </row>
    <row r="120" spans="1:8" ht="14">
      <c r="A120" s="747">
        <v>19</v>
      </c>
      <c r="B120" s="771" t="s">
        <v>566</v>
      </c>
      <c r="C120" s="808"/>
      <c r="D120" s="782"/>
      <c r="E120" s="782"/>
      <c r="F120" s="782"/>
      <c r="G120" s="782"/>
      <c r="H120" s="857"/>
    </row>
    <row r="121" spans="1:8" ht="14">
      <c r="A121" s="747">
        <v>20</v>
      </c>
      <c r="B121" s="771" t="s">
        <v>567</v>
      </c>
      <c r="C121" s="773"/>
      <c r="D121" s="719"/>
      <c r="E121" s="719"/>
      <c r="F121" s="719"/>
      <c r="G121" s="764"/>
      <c r="H121" s="858"/>
    </row>
    <row r="122" spans="1:8" ht="14">
      <c r="A122" s="747">
        <v>21</v>
      </c>
      <c r="B122" s="771" t="s">
        <v>568</v>
      </c>
      <c r="C122" s="773"/>
      <c r="D122" s="719"/>
      <c r="E122" s="719"/>
      <c r="F122" s="719"/>
      <c r="G122" s="764"/>
      <c r="H122" s="858"/>
    </row>
    <row r="123" spans="1:8" ht="14">
      <c r="A123" s="747">
        <v>22</v>
      </c>
      <c r="B123" s="771" t="s">
        <v>569</v>
      </c>
      <c r="C123" s="773"/>
      <c r="D123" s="719"/>
      <c r="E123" s="719"/>
      <c r="F123" s="719"/>
      <c r="G123" s="764"/>
      <c r="H123" s="858"/>
    </row>
    <row r="124" spans="1:8" ht="14">
      <c r="A124" s="747">
        <v>23</v>
      </c>
      <c r="B124" s="775" t="s">
        <v>570</v>
      </c>
      <c r="C124" s="811"/>
      <c r="D124" s="724"/>
      <c r="E124" s="724"/>
      <c r="F124" s="724"/>
      <c r="G124" s="724"/>
      <c r="H124" s="809"/>
    </row>
    <row r="125" spans="1:8" ht="14">
      <c r="A125" s="747">
        <v>24</v>
      </c>
      <c r="B125" s="776" t="s">
        <v>571</v>
      </c>
      <c r="C125" s="724"/>
      <c r="D125" s="724"/>
      <c r="E125" s="724"/>
      <c r="F125" s="724"/>
      <c r="G125" s="724"/>
      <c r="H125" s="809"/>
    </row>
    <row r="126" spans="2:8" ht="14.5" thickBot="1">
      <c r="B126" s="777"/>
      <c r="C126" s="813"/>
      <c r="D126" s="814"/>
      <c r="E126" s="814"/>
      <c r="F126" s="814"/>
      <c r="G126" s="815"/>
      <c r="H126" s="859"/>
    </row>
    <row r="127" spans="2:8" ht="14">
      <c r="B127" s="860"/>
      <c r="C127" s="773"/>
      <c r="D127" s="719"/>
      <c r="E127" s="719"/>
      <c r="F127" s="719"/>
      <c r="G127" s="764"/>
      <c r="H127" s="855"/>
    </row>
    <row r="128" spans="2:8" ht="14">
      <c r="B128" s="1080" t="str">
        <f>'4A - ADIT Summary'!$G$65</f>
        <v>PECO Energy Company</v>
      </c>
      <c r="C128" s="1081"/>
      <c r="D128" s="1081"/>
      <c r="E128" s="1081"/>
      <c r="F128" s="1081"/>
      <c r="G128" s="1081"/>
      <c r="H128" s="1081"/>
    </row>
    <row r="129" spans="2:8" ht="15.5">
      <c r="B129" s="714" t="s">
        <v>490</v>
      </c>
      <c r="C129" s="714"/>
      <c r="D129" s="714"/>
      <c r="E129" s="714"/>
      <c r="F129" s="714"/>
      <c r="G129" s="714"/>
      <c r="H129" s="207"/>
    </row>
    <row r="130" spans="2:8" ht="14">
      <c r="B130" s="714"/>
      <c r="C130" s="714"/>
      <c r="D130" s="714"/>
      <c r="E130" s="714"/>
      <c r="F130" s="714"/>
      <c r="G130" s="714"/>
      <c r="H130" s="832"/>
    </row>
    <row r="131" spans="2:8" ht="14">
      <c r="B131" s="714"/>
      <c r="C131" s="714"/>
      <c r="D131" s="714"/>
      <c r="E131" s="714"/>
      <c r="F131" s="714"/>
      <c r="G131" s="714"/>
      <c r="H131" s="832" t="s">
        <v>490</v>
      </c>
    </row>
    <row r="132" spans="2:8" ht="14">
      <c r="B132" s="762"/>
      <c r="C132" s="763"/>
      <c r="D132" s="719"/>
      <c r="E132" s="719"/>
      <c r="F132" s="719"/>
      <c r="G132" s="764"/>
      <c r="H132" s="832" t="s">
        <v>582</v>
      </c>
    </row>
    <row r="133" spans="2:8" ht="14">
      <c r="B133" s="716" t="s">
        <v>58</v>
      </c>
      <c r="C133" s="735" t="s">
        <v>59</v>
      </c>
      <c r="D133" s="717" t="s">
        <v>60</v>
      </c>
      <c r="E133" s="717" t="s">
        <v>61</v>
      </c>
      <c r="F133" s="717" t="s">
        <v>62</v>
      </c>
      <c r="G133" s="717" t="s">
        <v>63</v>
      </c>
      <c r="H133" s="716" t="s">
        <v>64</v>
      </c>
    </row>
    <row r="134" spans="2:8" ht="14.5">
      <c r="B134" s="722" t="s">
        <v>1475</v>
      </c>
      <c r="C134" s="738" t="s">
        <v>13</v>
      </c>
      <c r="D134" s="738" t="s">
        <v>504</v>
      </c>
      <c r="E134" s="718" t="s">
        <v>492</v>
      </c>
      <c r="F134" s="718"/>
      <c r="G134" s="718"/>
      <c r="H134" s="714"/>
    </row>
    <row r="135" spans="2:8" ht="14.5">
      <c r="B135" s="714"/>
      <c r="C135" s="738"/>
      <c r="D135" s="738" t="s">
        <v>505</v>
      </c>
      <c r="E135" s="718" t="s">
        <v>17</v>
      </c>
      <c r="F135" s="718" t="s">
        <v>506</v>
      </c>
      <c r="G135" s="718" t="s">
        <v>459</v>
      </c>
      <c r="H135" s="714"/>
    </row>
    <row r="136" spans="2:8" ht="14.5">
      <c r="B136" s="786"/>
      <c r="C136" s="787"/>
      <c r="D136" s="738" t="s">
        <v>467</v>
      </c>
      <c r="E136" s="718" t="s">
        <v>467</v>
      </c>
      <c r="F136" s="718" t="s">
        <v>467</v>
      </c>
      <c r="G136" s="718" t="s">
        <v>467</v>
      </c>
      <c r="H136" s="722" t="s">
        <v>507</v>
      </c>
    </row>
    <row r="137" spans="2:8" ht="14">
      <c r="B137" s="786"/>
      <c r="C137" s="787"/>
      <c r="D137" s="719"/>
      <c r="E137" s="719"/>
      <c r="F137" s="719"/>
      <c r="G137" s="719"/>
      <c r="H137" s="714"/>
    </row>
    <row r="138" spans="2:8" ht="14">
      <c r="B138" s="786"/>
      <c r="C138" s="787"/>
      <c r="D138" s="719"/>
      <c r="E138" s="719"/>
      <c r="F138" s="719"/>
      <c r="G138" s="719"/>
      <c r="H138" s="714"/>
    </row>
    <row r="139" spans="1:8" ht="14">
      <c r="A139" s="712">
        <v>25</v>
      </c>
      <c r="B139" s="790" t="s">
        <v>915</v>
      </c>
      <c r="C139" s="790">
        <v>-6674279.3204684099</v>
      </c>
      <c r="D139" s="790">
        <v>-6674279.3204684099</v>
      </c>
      <c r="E139" s="790">
        <v>0</v>
      </c>
      <c r="F139" s="790">
        <v>0</v>
      </c>
      <c r="G139" s="790">
        <v>0</v>
      </c>
      <c r="H139" s="791" t="s">
        <v>946</v>
      </c>
    </row>
    <row r="140" spans="1:8" ht="14">
      <c r="A140" s="712" t="s">
        <v>583</v>
      </c>
      <c r="B140" s="790" t="s">
        <v>904</v>
      </c>
      <c r="C140" s="790">
        <v>-1172108</v>
      </c>
      <c r="D140" s="790">
        <v>-1172108</v>
      </c>
      <c r="E140" s="790">
        <v>0</v>
      </c>
      <c r="F140" s="790">
        <v>0</v>
      </c>
      <c r="G140" s="790">
        <v>0</v>
      </c>
      <c r="H140" s="791" t="s">
        <v>946</v>
      </c>
    </row>
    <row r="141" spans="1:8" ht="14">
      <c r="A141" s="712" t="s">
        <v>584</v>
      </c>
      <c r="B141" s="790" t="s">
        <v>916</v>
      </c>
      <c r="C141" s="790">
        <v>-432825</v>
      </c>
      <c r="D141" s="790">
        <v>0</v>
      </c>
      <c r="E141" s="790">
        <v>0</v>
      </c>
      <c r="F141" s="790">
        <v>-432825</v>
      </c>
      <c r="G141" s="790">
        <v>0</v>
      </c>
      <c r="H141" s="791" t="s">
        <v>953</v>
      </c>
    </row>
    <row r="142" spans="1:8" ht="14">
      <c r="A142" s="712" t="s">
        <v>585</v>
      </c>
      <c r="B142" s="790" t="s">
        <v>905</v>
      </c>
      <c r="C142" s="790">
        <v>-2105888.8736727112</v>
      </c>
      <c r="D142" s="790">
        <v>-2105888.8736727112</v>
      </c>
      <c r="E142" s="790">
        <v>0</v>
      </c>
      <c r="F142" s="790">
        <v>0</v>
      </c>
      <c r="G142" s="790">
        <v>0</v>
      </c>
      <c r="H142" s="791" t="s">
        <v>946</v>
      </c>
    </row>
    <row r="143" spans="1:8" ht="14">
      <c r="A143" s="747" t="s">
        <v>586</v>
      </c>
      <c r="B143" s="790" t="s">
        <v>906</v>
      </c>
      <c r="C143" s="790">
        <v>0.33137688018905465</v>
      </c>
      <c r="D143" s="790">
        <v>0.33137688018905465</v>
      </c>
      <c r="E143" s="790">
        <v>0</v>
      </c>
      <c r="F143" s="790">
        <v>0</v>
      </c>
      <c r="G143" s="790">
        <v>0</v>
      </c>
      <c r="H143" s="791" t="s">
        <v>946</v>
      </c>
    </row>
    <row r="144" spans="1:8" ht="14">
      <c r="A144" s="747" t="s">
        <v>587</v>
      </c>
      <c r="B144" s="790" t="s">
        <v>907</v>
      </c>
      <c r="C144" s="790">
        <v>-74577.10436783194</v>
      </c>
      <c r="D144" s="790">
        <v>-74577.10436783194</v>
      </c>
      <c r="E144" s="790">
        <v>0</v>
      </c>
      <c r="F144" s="790">
        <v>0</v>
      </c>
      <c r="G144" s="790">
        <v>0</v>
      </c>
      <c r="H144" s="791" t="s">
        <v>946</v>
      </c>
    </row>
    <row r="145" spans="1:8" ht="14">
      <c r="A145" s="747" t="s">
        <v>588</v>
      </c>
      <c r="B145" s="790" t="s">
        <v>908</v>
      </c>
      <c r="C145" s="790">
        <v>-19564.345772842556</v>
      </c>
      <c r="D145" s="790">
        <v>-19564.345772842556</v>
      </c>
      <c r="E145" s="790">
        <v>0</v>
      </c>
      <c r="F145" s="790">
        <v>0</v>
      </c>
      <c r="G145" s="790">
        <v>0</v>
      </c>
      <c r="H145" s="791" t="s">
        <v>946</v>
      </c>
    </row>
    <row r="146" spans="1:8" ht="14">
      <c r="A146" s="747" t="s">
        <v>589</v>
      </c>
      <c r="B146" s="790" t="s">
        <v>954</v>
      </c>
      <c r="C146" s="790">
        <v>-198976.38274163485</v>
      </c>
      <c r="D146" s="790">
        <v>-198976.38274163485</v>
      </c>
      <c r="E146" s="790">
        <v>0</v>
      </c>
      <c r="F146" s="790">
        <v>0</v>
      </c>
      <c r="G146" s="790">
        <v>0</v>
      </c>
      <c r="H146" s="791" t="s">
        <v>946</v>
      </c>
    </row>
    <row r="147" spans="1:8" ht="14">
      <c r="A147" s="747" t="s">
        <v>590</v>
      </c>
      <c r="B147" s="790" t="s">
        <v>955</v>
      </c>
      <c r="C147" s="790">
        <v>-577496</v>
      </c>
      <c r="D147" s="790">
        <v>-577496</v>
      </c>
      <c r="E147" s="790">
        <v>0</v>
      </c>
      <c r="F147" s="790">
        <v>0</v>
      </c>
      <c r="G147" s="790">
        <v>0</v>
      </c>
      <c r="H147" s="791" t="s">
        <v>946</v>
      </c>
    </row>
    <row r="148" spans="1:8" ht="14">
      <c r="A148" s="747" t="s">
        <v>591</v>
      </c>
      <c r="B148" s="790" t="s">
        <v>909</v>
      </c>
      <c r="C148" s="790">
        <v>0</v>
      </c>
      <c r="D148" s="790">
        <v>0</v>
      </c>
      <c r="E148" s="790">
        <v>0</v>
      </c>
      <c r="F148" s="790">
        <v>0</v>
      </c>
      <c r="G148" s="790">
        <v>0</v>
      </c>
      <c r="H148" s="818" t="s">
        <v>956</v>
      </c>
    </row>
    <row r="149" spans="1:8" ht="14">
      <c r="A149" s="747" t="s">
        <v>592</v>
      </c>
      <c r="B149" s="790" t="s">
        <v>957</v>
      </c>
      <c r="C149" s="790">
        <v>-568355</v>
      </c>
      <c r="D149" s="790">
        <v>-568355</v>
      </c>
      <c r="E149" s="790">
        <v>0</v>
      </c>
      <c r="F149" s="790">
        <v>0</v>
      </c>
      <c r="G149" s="790">
        <v>0</v>
      </c>
      <c r="H149" s="818" t="s">
        <v>879</v>
      </c>
    </row>
    <row r="150" spans="1:8" ht="14">
      <c r="A150" s="747" t="s">
        <v>593</v>
      </c>
      <c r="B150" s="790" t="s">
        <v>958</v>
      </c>
      <c r="C150" s="790">
        <v>0</v>
      </c>
      <c r="D150" s="790">
        <v>0</v>
      </c>
      <c r="E150" s="790">
        <v>0</v>
      </c>
      <c r="F150" s="790">
        <v>0</v>
      </c>
      <c r="G150" s="790">
        <v>0</v>
      </c>
      <c r="H150" s="791">
        <v>0</v>
      </c>
    </row>
    <row r="151" spans="1:8" ht="28">
      <c r="A151" s="747" t="s">
        <v>594</v>
      </c>
      <c r="B151" s="790" t="s">
        <v>959</v>
      </c>
      <c r="C151" s="790">
        <v>-153762.71341534203</v>
      </c>
      <c r="D151" s="790">
        <v>0</v>
      </c>
      <c r="E151" s="790">
        <v>0</v>
      </c>
      <c r="F151" s="790">
        <v>-153762.71341534203</v>
      </c>
      <c r="G151" s="790">
        <v>0</v>
      </c>
      <c r="H151" s="791" t="s">
        <v>960</v>
      </c>
    </row>
    <row r="152" spans="1:8" ht="14">
      <c r="A152" s="747" t="s">
        <v>595</v>
      </c>
      <c r="B152" s="790" t="s">
        <v>961</v>
      </c>
      <c r="C152" s="790">
        <v>-1461442.3188827867</v>
      </c>
      <c r="D152" s="790">
        <f>C152</f>
        <v>-1461442.3188827867</v>
      </c>
      <c r="E152" s="790">
        <v>0</v>
      </c>
      <c r="F152" s="790">
        <v>0</v>
      </c>
      <c r="G152" s="790">
        <v>0</v>
      </c>
      <c r="H152" s="791" t="s">
        <v>962</v>
      </c>
    </row>
    <row r="153" spans="1:8" ht="14">
      <c r="A153" s="747" t="s">
        <v>596</v>
      </c>
      <c r="B153" s="790" t="s">
        <v>963</v>
      </c>
      <c r="C153" s="790">
        <v>-3581501.8396892999</v>
      </c>
      <c r="D153" s="790">
        <v>-3581501.8396892999</v>
      </c>
      <c r="E153" s="790">
        <v>0</v>
      </c>
      <c r="F153" s="790">
        <v>0</v>
      </c>
      <c r="G153" s="790">
        <v>0</v>
      </c>
      <c r="H153" s="791" t="s">
        <v>946</v>
      </c>
    </row>
    <row r="154" spans="1:8" ht="14">
      <c r="A154" s="747" t="s">
        <v>597</v>
      </c>
      <c r="B154" s="790" t="s">
        <v>1250</v>
      </c>
      <c r="C154" s="790">
        <v>-245785.7012832</v>
      </c>
      <c r="D154" s="790">
        <v>-245785.7012832</v>
      </c>
      <c r="E154" s="790">
        <v>0</v>
      </c>
      <c r="F154" s="790">
        <v>0</v>
      </c>
      <c r="G154" s="790">
        <v>0</v>
      </c>
      <c r="H154" s="791" t="s">
        <v>946</v>
      </c>
    </row>
    <row r="155" spans="1:8" ht="14">
      <c r="A155" s="747" t="s">
        <v>598</v>
      </c>
      <c r="B155" s="790" t="s">
        <v>1251</v>
      </c>
      <c r="C155" s="790">
        <v>-390761.32982099999</v>
      </c>
      <c r="D155" s="790">
        <v>-390761.32982099999</v>
      </c>
      <c r="E155" s="790">
        <v>0</v>
      </c>
      <c r="F155" s="790">
        <v>0</v>
      </c>
      <c r="G155" s="790">
        <v>0</v>
      </c>
      <c r="H155" s="791" t="s">
        <v>946</v>
      </c>
    </row>
    <row r="156" spans="1:8" ht="14">
      <c r="A156" s="747" t="s">
        <v>599</v>
      </c>
      <c r="B156" s="790" t="s">
        <v>887</v>
      </c>
      <c r="C156" s="790">
        <v>-208177.84155093922</v>
      </c>
      <c r="D156" s="790">
        <v>0</v>
      </c>
      <c r="E156" s="790">
        <v>0</v>
      </c>
      <c r="F156" s="790">
        <v>0</v>
      </c>
      <c r="G156" s="790">
        <v>-208177.84155093922</v>
      </c>
      <c r="H156" s="791" t="s">
        <v>932</v>
      </c>
    </row>
    <row r="157" spans="1:8" ht="28">
      <c r="A157" s="747" t="s">
        <v>600</v>
      </c>
      <c r="B157" s="790" t="s">
        <v>1252</v>
      </c>
      <c r="C157" s="790">
        <v>-127942.94572800001</v>
      </c>
      <c r="D157" s="790">
        <f>C157</f>
        <v>-127942.94572800001</v>
      </c>
      <c r="E157" s="790">
        <v>0</v>
      </c>
      <c r="F157" s="790">
        <v>0</v>
      </c>
      <c r="G157" s="790">
        <v>0</v>
      </c>
      <c r="H157" s="791" t="s">
        <v>965</v>
      </c>
    </row>
    <row r="158" spans="1:8" ht="14">
      <c r="A158" s="747" t="s">
        <v>601</v>
      </c>
      <c r="B158" s="790" t="s">
        <v>964</v>
      </c>
      <c r="C158" s="790">
        <v>4.0715866245602683</v>
      </c>
      <c r="D158" s="790">
        <v>4.0715866245602683</v>
      </c>
      <c r="E158" s="790">
        <v>0</v>
      </c>
      <c r="F158" s="790">
        <v>0</v>
      </c>
      <c r="G158" s="790">
        <v>0</v>
      </c>
      <c r="H158" s="791" t="s">
        <v>946</v>
      </c>
    </row>
    <row r="159" spans="1:8" ht="28">
      <c r="A159" s="747" t="s">
        <v>602</v>
      </c>
      <c r="B159" s="790" t="s">
        <v>966</v>
      </c>
      <c r="C159" s="790">
        <v>-38518.078355327998</v>
      </c>
      <c r="D159" s="790">
        <f>C159</f>
        <v>-38518.078355327998</v>
      </c>
      <c r="E159" s="790">
        <v>0</v>
      </c>
      <c r="F159" s="790">
        <v>0</v>
      </c>
      <c r="G159" s="790">
        <v>0</v>
      </c>
      <c r="H159" s="791" t="s">
        <v>1404</v>
      </c>
    </row>
    <row r="160" spans="1:8" ht="14">
      <c r="A160" s="747" t="s">
        <v>603</v>
      </c>
      <c r="B160" s="790" t="s">
        <v>893</v>
      </c>
      <c r="C160" s="790">
        <v>-2217430.42359616</v>
      </c>
      <c r="D160" s="790">
        <v>-2217430.42359616</v>
      </c>
      <c r="E160" s="790">
        <v>0</v>
      </c>
      <c r="F160" s="790">
        <v>0</v>
      </c>
      <c r="G160" s="790">
        <v>0</v>
      </c>
      <c r="H160" s="791" t="s">
        <v>967</v>
      </c>
    </row>
    <row r="161" spans="1:8" ht="28">
      <c r="A161" s="747" t="s">
        <v>604</v>
      </c>
      <c r="B161" s="790" t="s">
        <v>912</v>
      </c>
      <c r="C161" s="790">
        <v>-90086556</v>
      </c>
      <c r="D161" s="790">
        <v>0</v>
      </c>
      <c r="E161" s="790">
        <v>0</v>
      </c>
      <c r="F161" s="790">
        <v>0</v>
      </c>
      <c r="G161" s="790">
        <v>-90086556</v>
      </c>
      <c r="H161" s="791" t="s">
        <v>943</v>
      </c>
    </row>
    <row r="162" spans="1:8" ht="14">
      <c r="A162" s="747" t="s">
        <v>605</v>
      </c>
      <c r="B162" s="790" t="s">
        <v>1253</v>
      </c>
      <c r="C162" s="790">
        <v>-9147256</v>
      </c>
      <c r="D162" s="790">
        <v>-9147256</v>
      </c>
      <c r="E162" s="790">
        <v>0</v>
      </c>
      <c r="F162" s="790">
        <v>0</v>
      </c>
      <c r="G162" s="790">
        <v>0</v>
      </c>
      <c r="H162" s="791" t="s">
        <v>1254</v>
      </c>
    </row>
    <row r="163" spans="1:8" ht="14">
      <c r="A163" s="747" t="s">
        <v>606</v>
      </c>
      <c r="B163" s="790" t="s">
        <v>917</v>
      </c>
      <c r="C163" s="790">
        <v>-3254291</v>
      </c>
      <c r="D163" s="790">
        <v>0</v>
      </c>
      <c r="E163" s="790">
        <v>0</v>
      </c>
      <c r="F163" s="790">
        <v>-3254291</v>
      </c>
      <c r="G163" s="790">
        <v>0</v>
      </c>
      <c r="H163" s="791" t="s">
        <v>968</v>
      </c>
    </row>
    <row r="164" spans="1:8" ht="14">
      <c r="A164" s="747" t="s">
        <v>607</v>
      </c>
      <c r="B164" s="790"/>
      <c r="C164" s="790"/>
      <c r="D164" s="790"/>
      <c r="E164" s="790"/>
      <c r="F164" s="790"/>
      <c r="G164" s="790"/>
      <c r="H164" s="791"/>
    </row>
    <row r="165" spans="1:8" ht="14">
      <c r="A165" s="747" t="s">
        <v>608</v>
      </c>
      <c r="B165" s="790"/>
      <c r="C165" s="790"/>
      <c r="D165" s="790"/>
      <c r="E165" s="790"/>
      <c r="F165" s="790"/>
      <c r="G165" s="790"/>
      <c r="H165" s="820"/>
    </row>
    <row r="166" spans="1:8" ht="14">
      <c r="A166" s="747" t="s">
        <v>609</v>
      </c>
      <c r="B166" s="790"/>
      <c r="C166" s="790"/>
      <c r="D166" s="790"/>
      <c r="E166" s="790"/>
      <c r="F166" s="790"/>
      <c r="G166" s="790"/>
      <c r="H166" s="839"/>
    </row>
    <row r="167" spans="1:8" ht="14">
      <c r="A167" s="747" t="s">
        <v>610</v>
      </c>
      <c r="B167" s="820"/>
      <c r="C167" s="790"/>
      <c r="D167" s="790"/>
      <c r="E167" s="790"/>
      <c r="F167" s="790"/>
      <c r="G167" s="790"/>
      <c r="H167" s="820"/>
    </row>
    <row r="168" spans="1:8" ht="14">
      <c r="A168" s="747" t="s">
        <v>611</v>
      </c>
      <c r="B168" s="820"/>
      <c r="C168" s="790"/>
      <c r="D168" s="790"/>
      <c r="E168" s="790"/>
      <c r="F168" s="790"/>
      <c r="G168" s="790"/>
      <c r="H168" s="861"/>
    </row>
    <row r="169" spans="1:8" ht="14">
      <c r="A169" s="747" t="s">
        <v>612</v>
      </c>
      <c r="B169" s="820"/>
      <c r="C169" s="790"/>
      <c r="D169" s="790"/>
      <c r="E169" s="790"/>
      <c r="F169" s="790"/>
      <c r="G169" s="790"/>
      <c r="H169" s="820"/>
    </row>
    <row r="170" spans="1:8" ht="14">
      <c r="A170" s="747" t="s">
        <v>613</v>
      </c>
      <c r="B170" s="822"/>
      <c r="C170" s="790"/>
      <c r="D170" s="790"/>
      <c r="E170" s="790"/>
      <c r="F170" s="790"/>
      <c r="G170" s="790"/>
      <c r="H170" s="822"/>
    </row>
    <row r="171" spans="1:8" ht="14">
      <c r="A171" s="712" t="s">
        <v>614</v>
      </c>
      <c r="B171" s="824"/>
      <c r="C171" s="790"/>
      <c r="D171" s="790"/>
      <c r="E171" s="790"/>
      <c r="F171" s="790"/>
      <c r="G171" s="790"/>
      <c r="H171" s="862"/>
    </row>
    <row r="172" spans="1:8" ht="14">
      <c r="A172" s="712" t="s">
        <v>615</v>
      </c>
      <c r="B172" s="863"/>
      <c r="C172" s="790"/>
      <c r="D172" s="790"/>
      <c r="E172" s="790"/>
      <c r="F172" s="790"/>
      <c r="G172" s="790"/>
      <c r="H172" s="822"/>
    </row>
    <row r="173" spans="1:8" ht="14">
      <c r="A173" s="747" t="s">
        <v>615</v>
      </c>
      <c r="B173" s="824"/>
      <c r="C173" s="790"/>
      <c r="D173" s="790"/>
      <c r="E173" s="790"/>
      <c r="F173" s="790"/>
      <c r="G173" s="790"/>
      <c r="H173" s="824"/>
    </row>
    <row r="174" spans="1:10" ht="14">
      <c r="A174" s="712">
        <v>26</v>
      </c>
      <c r="B174" s="793" t="s">
        <v>1062</v>
      </c>
      <c r="C174" s="864">
        <f>SUM(C139:C173)</f>
        <v>-122737491.81638199</v>
      </c>
      <c r="D174" s="864">
        <f>SUM(D139:D173)</f>
        <v>-28601879.261415698</v>
      </c>
      <c r="E174" s="864">
        <f>SUM(E136:E173)</f>
        <v>0</v>
      </c>
      <c r="F174" s="864">
        <f>SUM(F136:F173)</f>
        <v>-3840878.7134153419</v>
      </c>
      <c r="G174" s="796">
        <f>SUM(G136:G173)</f>
        <v>-90294733.841550946</v>
      </c>
      <c r="H174" s="865"/>
      <c r="J174" s="761"/>
    </row>
    <row r="175" spans="1:8" ht="14">
      <c r="A175" s="712">
        <v>27</v>
      </c>
      <c r="B175" s="793" t="s">
        <v>563</v>
      </c>
      <c r="C175" s="796">
        <f>SUM(D175:G175)</f>
        <v>19638499.355825931</v>
      </c>
      <c r="D175" s="796">
        <v>-1581508</v>
      </c>
      <c r="E175" s="828">
        <v>0</v>
      </c>
      <c r="F175" s="796">
        <v>2358306</v>
      </c>
      <c r="G175" s="796">
        <f>16230075.376-'9 - EDIT'!C46/'9 - EDIT'!C33</f>
        <v>18861701.355825931</v>
      </c>
      <c r="H175" s="824"/>
    </row>
    <row r="176" spans="1:8" ht="14">
      <c r="A176" s="712">
        <v>28</v>
      </c>
      <c r="B176" s="793" t="s">
        <v>564</v>
      </c>
      <c r="C176" s="790"/>
      <c r="D176" s="866"/>
      <c r="E176" s="866"/>
      <c r="F176" s="866"/>
      <c r="G176" s="866"/>
      <c r="H176" s="824"/>
    </row>
    <row r="177" spans="1:8" ht="14">
      <c r="A177" s="747">
        <v>29</v>
      </c>
      <c r="B177" s="793" t="s">
        <v>13</v>
      </c>
      <c r="C177" s="864">
        <f>C174-C175-C176</f>
        <v>-142375991.17220792</v>
      </c>
      <c r="D177" s="864">
        <f>+D174-D175-D176</f>
        <v>-27020371.261415698</v>
      </c>
      <c r="E177" s="864">
        <f>+E174-E175-E176</f>
        <v>0</v>
      </c>
      <c r="F177" s="864">
        <f>+F174-F175-F176</f>
        <v>-6199184.7134153415</v>
      </c>
      <c r="G177" s="864">
        <f>+G174-G175-G176</f>
        <v>-109156435.19737688</v>
      </c>
      <c r="H177" s="865"/>
    </row>
    <row r="178" spans="1:8" ht="14.5" thickBot="1">
      <c r="A178" s="747"/>
      <c r="B178" s="762"/>
      <c r="C178" s="829"/>
      <c r="D178" s="829"/>
      <c r="E178" s="829"/>
      <c r="F178" s="829"/>
      <c r="G178" s="829"/>
      <c r="H178" s="786"/>
    </row>
    <row r="179" spans="1:2" ht="14">
      <c r="A179" s="747">
        <v>30</v>
      </c>
      <c r="B179" s="803" t="s">
        <v>616</v>
      </c>
    </row>
    <row r="180" spans="1:2" ht="14">
      <c r="A180" s="747">
        <v>31</v>
      </c>
      <c r="B180" s="771" t="s">
        <v>566</v>
      </c>
    </row>
    <row r="181" spans="1:2" ht="14">
      <c r="A181" s="747">
        <v>32</v>
      </c>
      <c r="B181" s="771" t="s">
        <v>567</v>
      </c>
    </row>
    <row r="182" spans="1:2" ht="14">
      <c r="A182" s="747">
        <v>33</v>
      </c>
      <c r="B182" s="771" t="s">
        <v>568</v>
      </c>
    </row>
    <row r="183" spans="1:2" ht="14">
      <c r="A183" s="747">
        <v>34</v>
      </c>
      <c r="B183" s="771" t="s">
        <v>569</v>
      </c>
    </row>
    <row r="184" spans="1:2" ht="14">
      <c r="A184" s="747">
        <v>35</v>
      </c>
      <c r="B184" s="775" t="s">
        <v>570</v>
      </c>
    </row>
    <row r="185" spans="1:2" ht="14">
      <c r="A185" s="747">
        <v>36</v>
      </c>
      <c r="B185" s="776" t="s">
        <v>571</v>
      </c>
    </row>
    <row r="186" ht="14">
      <c r="B186" s="860"/>
    </row>
    <row r="187" ht="14">
      <c r="B187" s="714"/>
    </row>
    <row r="188" ht="14">
      <c r="B188" s="714"/>
    </row>
  </sheetData>
  <mergeCells count="4">
    <mergeCell ref="B1:H1"/>
    <mergeCell ref="B91:H91"/>
    <mergeCell ref="B128:H128"/>
    <mergeCell ref="B2:H2"/>
  </mergeCells>
  <pageMargins left="0.7" right="0.7" top="0.75" bottom="0.75" header="0.3" footer="0.3"/>
  <pageSetup fitToHeight="0" orientation="landscape" scale="42" r:id="rId1"/>
  <rowBreaks count="2" manualBreakCount="2">
    <brk id="90" max="7" man="1"/>
    <brk id="126" max="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0"/>
  <sheetViews>
    <sheetView view="pageBreakPreview" zoomScale="60" zoomScaleNormal="80" workbookViewId="0" topLeftCell="A129">
      <selection pane="topLeft" activeCell="A1" sqref="A1"/>
    </sheetView>
  </sheetViews>
  <sheetFormatPr defaultColWidth="8.84375" defaultRowHeight="14"/>
  <cols>
    <col min="1" max="1" width="4.85714285714286" style="712" customWidth="1"/>
    <col min="2" max="2" width="51.2857142857143" style="739" customWidth="1"/>
    <col min="3" max="7" width="17.2857142857143" style="739" customWidth="1"/>
    <col min="8" max="8" width="103.785714285714" style="733" customWidth="1"/>
    <col min="9" max="9" width="8.85714285714286" style="711"/>
    <col min="10" max="10" width="8.78571428571429" style="711" customWidth="1"/>
    <col min="11" max="16384" width="8.85714285714286" style="711"/>
  </cols>
  <sheetData>
    <row r="1" spans="2:9" ht="14">
      <c r="B1" s="1078" t="s">
        <v>1065</v>
      </c>
      <c r="C1" s="1079"/>
      <c r="D1" s="1079"/>
      <c r="E1" s="1079"/>
      <c r="F1" s="1079"/>
      <c r="G1" s="1079"/>
      <c r="H1" s="1079"/>
      <c r="I1" s="713"/>
    </row>
    <row r="2" spans="2:9" ht="14">
      <c r="B2" s="1080" t="str">
        <f>'4A - ADIT Summary'!$G$65</f>
        <v>PECO Energy Company</v>
      </c>
      <c r="C2" s="1081"/>
      <c r="D2" s="1081"/>
      <c r="E2" s="1081"/>
      <c r="F2" s="1081"/>
      <c r="G2" s="1081"/>
      <c r="H2" s="1081"/>
      <c r="I2" s="713"/>
    </row>
    <row r="3" spans="2:9" ht="14">
      <c r="B3" s="714" t="s">
        <v>617</v>
      </c>
      <c r="C3" s="714"/>
      <c r="D3" s="714"/>
      <c r="E3" s="714"/>
      <c r="F3" s="714"/>
      <c r="G3" s="714"/>
      <c r="H3" s="715"/>
      <c r="I3" s="713"/>
    </row>
    <row r="4" spans="2:9" ht="14">
      <c r="B4" s="716" t="s">
        <v>58</v>
      </c>
      <c r="C4" s="717" t="s">
        <v>59</v>
      </c>
      <c r="D4" s="717" t="s">
        <v>60</v>
      </c>
      <c r="E4" s="717" t="s">
        <v>61</v>
      </c>
      <c r="F4" s="717" t="s">
        <v>62</v>
      </c>
      <c r="G4" s="717" t="s">
        <v>63</v>
      </c>
      <c r="H4" s="715" t="s">
        <v>617</v>
      </c>
      <c r="I4" s="713"/>
    </row>
    <row r="5" spans="2:9" ht="14.5">
      <c r="B5" s="714"/>
      <c r="C5" s="714"/>
      <c r="D5" s="738" t="s">
        <v>504</v>
      </c>
      <c r="E5" s="718" t="s">
        <v>492</v>
      </c>
      <c r="F5" s="719"/>
      <c r="G5" s="718"/>
      <c r="H5" s="715" t="s">
        <v>491</v>
      </c>
      <c r="I5" s="713"/>
    </row>
    <row r="6" spans="2:9" ht="14.5">
      <c r="B6" s="714"/>
      <c r="C6" s="714"/>
      <c r="D6" s="738" t="s">
        <v>505</v>
      </c>
      <c r="E6" s="718" t="s">
        <v>17</v>
      </c>
      <c r="F6" s="718" t="s">
        <v>506</v>
      </c>
      <c r="G6" s="718" t="s">
        <v>459</v>
      </c>
      <c r="H6" s="720"/>
      <c r="I6" s="713"/>
    </row>
    <row r="7" spans="2:9" ht="14.5">
      <c r="B7" s="714"/>
      <c r="C7" s="721" t="s">
        <v>13</v>
      </c>
      <c r="D7" s="738" t="s">
        <v>467</v>
      </c>
      <c r="E7" s="718" t="s">
        <v>467</v>
      </c>
      <c r="F7" s="718" t="s">
        <v>467</v>
      </c>
      <c r="G7" s="718" t="s">
        <v>467</v>
      </c>
      <c r="H7" s="720"/>
      <c r="I7" s="713"/>
    </row>
    <row r="8" spans="2:9" ht="14">
      <c r="B8" s="714"/>
      <c r="C8" s="714"/>
      <c r="D8" s="714"/>
      <c r="E8" s="719"/>
      <c r="F8" s="719"/>
      <c r="G8" s="719"/>
      <c r="H8" s="715"/>
      <c r="I8" s="713"/>
    </row>
    <row r="9" spans="1:9" ht="14.5">
      <c r="A9" s="712" t="s">
        <v>493</v>
      </c>
      <c r="B9" s="722" t="s">
        <v>474</v>
      </c>
      <c r="C9" s="723">
        <f>+C111</f>
        <v>-1139022726.2137337</v>
      </c>
      <c r="D9" s="714"/>
      <c r="E9" s="723">
        <f>E111</f>
        <v>-189143728.71373379</v>
      </c>
      <c r="F9" s="723">
        <f>F111</f>
        <v>0</v>
      </c>
      <c r="G9" s="723">
        <f>G111</f>
        <v>-30828317.5</v>
      </c>
      <c r="H9" s="724" t="s">
        <v>496</v>
      </c>
      <c r="I9" s="713"/>
    </row>
    <row r="10" spans="1:9" ht="14.5">
      <c r="A10" s="712" t="s">
        <v>495</v>
      </c>
      <c r="B10" s="722" t="s">
        <v>480</v>
      </c>
      <c r="C10" s="723">
        <f>+C171</f>
        <v>-139156935.68264332</v>
      </c>
      <c r="D10" s="714"/>
      <c r="E10" s="723">
        <f>E171</f>
        <v>0</v>
      </c>
      <c r="F10" s="723">
        <f>F171</f>
        <v>-5581934.0465911357</v>
      </c>
      <c r="G10" s="723">
        <f>G171</f>
        <v>-108797635.51156461</v>
      </c>
      <c r="H10" s="724" t="s">
        <v>498</v>
      </c>
      <c r="I10" s="713"/>
    </row>
    <row r="11" spans="1:9" ht="14.5">
      <c r="A11" s="712" t="s">
        <v>497</v>
      </c>
      <c r="B11" s="722" t="s">
        <v>483</v>
      </c>
      <c r="C11" s="723">
        <f>+C76</f>
        <v>178589499.75512001</v>
      </c>
      <c r="D11" s="714"/>
      <c r="E11" s="723">
        <f>E76</f>
        <v>0</v>
      </c>
      <c r="F11" s="723">
        <f>F76</f>
        <v>13690675.525985844</v>
      </c>
      <c r="G11" s="723">
        <f>G76</f>
        <v>131938477.59999999</v>
      </c>
      <c r="H11" s="724" t="s">
        <v>494</v>
      </c>
      <c r="I11" s="713"/>
    </row>
    <row r="12" spans="1:9" ht="14.5">
      <c r="A12" s="712" t="s">
        <v>499</v>
      </c>
      <c r="B12" s="722" t="s">
        <v>500</v>
      </c>
      <c r="C12" s="723">
        <f>SUM(C9:C11)</f>
        <v>-1099590162.1412571</v>
      </c>
      <c r="D12" s="714"/>
      <c r="E12" s="723">
        <f>SUM(E9:E11)</f>
        <v>-189143728.71373379</v>
      </c>
      <c r="F12" s="723">
        <f>SUM(F9:F11)</f>
        <v>8108741.4793947088</v>
      </c>
      <c r="G12" s="723">
        <f>SUM(G9:G11)</f>
        <v>-7687475.4115646183</v>
      </c>
      <c r="H12" s="724" t="s">
        <v>501</v>
      </c>
      <c r="I12" s="713"/>
    </row>
    <row r="13" spans="2:9" ht="14.5">
      <c r="B13" s="722"/>
      <c r="C13" s="723"/>
      <c r="D13" s="723"/>
      <c r="E13" s="725"/>
      <c r="F13" s="725"/>
      <c r="G13" s="725"/>
      <c r="H13" s="726"/>
      <c r="I13" s="713"/>
    </row>
    <row r="14" spans="2:9" ht="14">
      <c r="B14" s="714"/>
      <c r="C14" s="723"/>
      <c r="D14" s="723"/>
      <c r="E14" s="723"/>
      <c r="F14" s="723"/>
      <c r="G14" s="723"/>
      <c r="H14" s="726"/>
      <c r="I14" s="713"/>
    </row>
    <row r="15" spans="2:9" ht="14.5">
      <c r="B15" s="722"/>
      <c r="C15" s="723"/>
      <c r="D15" s="723"/>
      <c r="E15" s="723"/>
      <c r="F15" s="723"/>
      <c r="G15" s="723"/>
      <c r="H15" s="727"/>
      <c r="I15" s="713"/>
    </row>
    <row r="16" spans="2:9" ht="14">
      <c r="B16" s="714"/>
      <c r="C16" s="719"/>
      <c r="D16" s="719"/>
      <c r="E16" s="719"/>
      <c r="F16" s="719"/>
      <c r="G16" s="719"/>
      <c r="H16" s="720"/>
      <c r="I16" s="713"/>
    </row>
    <row r="17" spans="1:9" ht="14">
      <c r="A17" s="712" t="s">
        <v>8</v>
      </c>
      <c r="B17" s="728" t="s">
        <v>502</v>
      </c>
      <c r="C17" s="729"/>
      <c r="D17" s="719"/>
      <c r="E17" s="719"/>
      <c r="F17" s="719"/>
      <c r="G17" s="719"/>
      <c r="H17" s="720"/>
      <c r="I17" s="713"/>
    </row>
    <row r="18" spans="2:7" ht="14">
      <c r="B18" s="730" t="s">
        <v>503</v>
      </c>
      <c r="C18" s="731"/>
      <c r="D18" s="732"/>
      <c r="E18" s="732"/>
      <c r="F18" s="732"/>
      <c r="G18" s="732"/>
    </row>
    <row r="19" spans="2:8" ht="14">
      <c r="B19" s="734" t="s">
        <v>58</v>
      </c>
      <c r="C19" s="735" t="s">
        <v>59</v>
      </c>
      <c r="D19" s="735" t="s">
        <v>60</v>
      </c>
      <c r="E19" s="735" t="s">
        <v>61</v>
      </c>
      <c r="F19" s="735" t="s">
        <v>62</v>
      </c>
      <c r="G19" s="735" t="s">
        <v>63</v>
      </c>
      <c r="H19" s="736" t="s">
        <v>64</v>
      </c>
    </row>
    <row r="20" spans="2:7" ht="14.5">
      <c r="B20" s="737" t="s">
        <v>1473</v>
      </c>
      <c r="C20" s="738" t="s">
        <v>13</v>
      </c>
      <c r="D20" s="738" t="s">
        <v>504</v>
      </c>
      <c r="E20" s="738" t="s">
        <v>492</v>
      </c>
      <c r="F20" s="738"/>
      <c r="G20" s="738"/>
    </row>
    <row r="21" spans="1:7" ht="14.5">
      <c r="A21" s="712">
        <v>1</v>
      </c>
      <c r="C21" s="738"/>
      <c r="D21" s="738" t="s">
        <v>505</v>
      </c>
      <c r="E21" s="738" t="s">
        <v>17</v>
      </c>
      <c r="F21" s="738" t="s">
        <v>506</v>
      </c>
      <c r="G21" s="738" t="s">
        <v>459</v>
      </c>
    </row>
    <row r="22" spans="1:8" ht="14.5">
      <c r="A22" s="712" t="s">
        <v>508</v>
      </c>
      <c r="C22" s="738"/>
      <c r="D22" s="738" t="s">
        <v>467</v>
      </c>
      <c r="E22" s="738" t="s">
        <v>467</v>
      </c>
      <c r="F22" s="738" t="s">
        <v>467</v>
      </c>
      <c r="G22" s="738" t="s">
        <v>467</v>
      </c>
      <c r="H22" s="740" t="s">
        <v>507</v>
      </c>
    </row>
    <row r="23" spans="1:7" ht="14">
      <c r="A23" s="712" t="s">
        <v>509</v>
      </c>
      <c r="B23" s="741"/>
      <c r="C23" s="742"/>
      <c r="D23" s="743"/>
      <c r="E23" s="732"/>
      <c r="F23" s="732"/>
      <c r="G23" s="732"/>
    </row>
    <row r="24" spans="1:12" ht="42">
      <c r="A24" s="712" t="s">
        <v>510</v>
      </c>
      <c r="B24" s="744" t="s">
        <v>878</v>
      </c>
      <c r="C24" s="744">
        <v>237053</v>
      </c>
      <c r="D24" s="744">
        <v>237053</v>
      </c>
      <c r="E24" s="744"/>
      <c r="F24" s="744"/>
      <c r="G24" s="744">
        <v>0</v>
      </c>
      <c r="H24" s="745" t="s">
        <v>927</v>
      </c>
      <c r="L24" s="746"/>
    </row>
    <row r="25" spans="1:8" ht="14">
      <c r="A25" s="747" t="s">
        <v>511</v>
      </c>
      <c r="B25" s="744" t="s">
        <v>880</v>
      </c>
      <c r="C25" s="744">
        <v>1773851</v>
      </c>
      <c r="D25" s="744"/>
      <c r="E25" s="744"/>
      <c r="F25" s="748"/>
      <c r="G25" s="744">
        <v>1773851</v>
      </c>
      <c r="H25" s="745" t="s">
        <v>928</v>
      </c>
    </row>
    <row r="26" spans="1:8" ht="14">
      <c r="A26" s="747" t="s">
        <v>512</v>
      </c>
      <c r="B26" s="744" t="s">
        <v>881</v>
      </c>
      <c r="C26" s="744">
        <v>1863208</v>
      </c>
      <c r="D26" s="744"/>
      <c r="E26" s="744"/>
      <c r="F26" s="744"/>
      <c r="G26" s="744">
        <v>1863208</v>
      </c>
      <c r="H26" s="745" t="s">
        <v>929</v>
      </c>
    </row>
    <row r="27" spans="1:8" ht="14">
      <c r="A27" s="747" t="s">
        <v>513</v>
      </c>
      <c r="B27" s="744" t="s">
        <v>882</v>
      </c>
      <c r="C27" s="744">
        <v>0</v>
      </c>
      <c r="D27" s="744">
        <v>0</v>
      </c>
      <c r="E27" s="744"/>
      <c r="F27" s="744"/>
      <c r="G27" s="744"/>
      <c r="H27" s="745" t="s">
        <v>879</v>
      </c>
    </row>
    <row r="28" spans="1:8" ht="28">
      <c r="A28" s="747" t="s">
        <v>514</v>
      </c>
      <c r="B28" s="744" t="s">
        <v>883</v>
      </c>
      <c r="C28" s="744">
        <v>15064698</v>
      </c>
      <c r="D28" s="744">
        <v>15064698</v>
      </c>
      <c r="E28" s="744"/>
      <c r="F28" s="744"/>
      <c r="G28" s="744"/>
      <c r="H28" s="745" t="s">
        <v>930</v>
      </c>
    </row>
    <row r="29" spans="1:8" ht="14">
      <c r="A29" s="747" t="s">
        <v>515</v>
      </c>
      <c r="B29" s="744" t="s">
        <v>884</v>
      </c>
      <c r="C29" s="744">
        <v>1013502</v>
      </c>
      <c r="D29" s="744">
        <v>1013502</v>
      </c>
      <c r="E29" s="744"/>
      <c r="F29" s="744"/>
      <c r="G29" s="744"/>
      <c r="H29" s="745" t="s">
        <v>879</v>
      </c>
    </row>
    <row r="30" spans="1:8" ht="14">
      <c r="A30" s="747" t="s">
        <v>516</v>
      </c>
      <c r="B30" s="744" t="s">
        <v>885</v>
      </c>
      <c r="C30" s="744">
        <v>335650</v>
      </c>
      <c r="D30" s="744">
        <v>335650</v>
      </c>
      <c r="E30" s="749"/>
      <c r="F30" s="748"/>
      <c r="G30" s="749"/>
      <c r="H30" s="745" t="s">
        <v>879</v>
      </c>
    </row>
    <row r="31" spans="1:8" ht="28">
      <c r="A31" s="747" t="s">
        <v>517</v>
      </c>
      <c r="B31" s="744" t="s">
        <v>886</v>
      </c>
      <c r="C31" s="744">
        <v>1698133</v>
      </c>
      <c r="D31" s="744">
        <v>1698133</v>
      </c>
      <c r="E31" s="744"/>
      <c r="F31" s="744"/>
      <c r="G31" s="744">
        <v>0</v>
      </c>
      <c r="H31" s="745" t="s">
        <v>931</v>
      </c>
    </row>
    <row r="32" spans="1:8" ht="14">
      <c r="A32" s="747" t="s">
        <v>518</v>
      </c>
      <c r="B32" s="744" t="s">
        <v>1244</v>
      </c>
      <c r="C32" s="744">
        <v>225134</v>
      </c>
      <c r="D32" s="744">
        <v>225134</v>
      </c>
      <c r="E32" s="749"/>
      <c r="F32" s="749"/>
      <c r="G32" s="744"/>
      <c r="H32" s="745" t="s">
        <v>879</v>
      </c>
    </row>
    <row r="33" spans="1:8" ht="14">
      <c r="A33" s="747" t="s">
        <v>519</v>
      </c>
      <c r="B33" s="744" t="s">
        <v>887</v>
      </c>
      <c r="C33" s="744">
        <v>18627</v>
      </c>
      <c r="D33" s="744"/>
      <c r="E33" s="744"/>
      <c r="F33" s="744"/>
      <c r="G33" s="744">
        <v>18627</v>
      </c>
      <c r="H33" s="750" t="s">
        <v>932</v>
      </c>
    </row>
    <row r="34" spans="1:8" ht="14">
      <c r="A34" s="747" t="s">
        <v>520</v>
      </c>
      <c r="B34" s="744" t="s">
        <v>1245</v>
      </c>
      <c r="C34" s="744"/>
      <c r="D34" s="744"/>
      <c r="E34" s="744"/>
      <c r="F34" s="744">
        <v>0</v>
      </c>
      <c r="G34" s="744"/>
      <c r="H34" s="750" t="s">
        <v>1246</v>
      </c>
    </row>
    <row r="35" spans="1:8" ht="28">
      <c r="A35" s="747" t="s">
        <v>521</v>
      </c>
      <c r="B35" s="744" t="s">
        <v>910</v>
      </c>
      <c r="C35" s="744">
        <v>5371606</v>
      </c>
      <c r="D35" s="744">
        <v>5371606</v>
      </c>
      <c r="E35" s="744"/>
      <c r="F35" s="744"/>
      <c r="G35" s="744"/>
      <c r="H35" s="745" t="s">
        <v>1403</v>
      </c>
    </row>
    <row r="36" spans="1:8" ht="14">
      <c r="A36" s="747" t="s">
        <v>522</v>
      </c>
      <c r="B36" s="744" t="s">
        <v>888</v>
      </c>
      <c r="C36" s="744">
        <v>0</v>
      </c>
      <c r="D36" s="744">
        <v>0</v>
      </c>
      <c r="E36" s="744"/>
      <c r="F36" s="744"/>
      <c r="G36" s="744"/>
      <c r="H36" s="745" t="s">
        <v>879</v>
      </c>
    </row>
    <row r="37" spans="1:8" ht="14">
      <c r="A37" s="747" t="s">
        <v>523</v>
      </c>
      <c r="B37" s="744" t="s">
        <v>911</v>
      </c>
      <c r="C37" s="744">
        <v>9990749</v>
      </c>
      <c r="D37" s="744"/>
      <c r="E37" s="744"/>
      <c r="F37" s="744"/>
      <c r="G37" s="744">
        <v>9990749</v>
      </c>
      <c r="H37" s="745" t="s">
        <v>933</v>
      </c>
    </row>
    <row r="38" spans="1:8" ht="14">
      <c r="A38" s="747" t="s">
        <v>524</v>
      </c>
      <c r="B38" s="744" t="s">
        <v>889</v>
      </c>
      <c r="C38" s="744">
        <v>0</v>
      </c>
      <c r="D38" s="744"/>
      <c r="E38" s="744"/>
      <c r="F38" s="744"/>
      <c r="G38" s="744">
        <v>0</v>
      </c>
      <c r="H38" s="745" t="s">
        <v>934</v>
      </c>
    </row>
    <row r="39" spans="1:8" ht="14">
      <c r="A39" s="747" t="s">
        <v>525</v>
      </c>
      <c r="B39" s="744" t="s">
        <v>890</v>
      </c>
      <c r="C39" s="744">
        <v>0</v>
      </c>
      <c r="D39" s="744">
        <v>0</v>
      </c>
      <c r="E39" s="744"/>
      <c r="F39" s="744"/>
      <c r="G39" s="744"/>
      <c r="H39" s="745" t="s">
        <v>879</v>
      </c>
    </row>
    <row r="40" spans="1:8" ht="14">
      <c r="A40" s="747" t="s">
        <v>526</v>
      </c>
      <c r="B40" s="744" t="s">
        <v>935</v>
      </c>
      <c r="C40" s="744">
        <v>67489</v>
      </c>
      <c r="D40" s="744">
        <v>67489</v>
      </c>
      <c r="E40" s="744"/>
      <c r="F40" s="744"/>
      <c r="G40" s="744"/>
      <c r="H40" s="745" t="s">
        <v>879</v>
      </c>
    </row>
    <row r="41" spans="1:8" ht="14">
      <c r="A41" s="747" t="s">
        <v>527</v>
      </c>
      <c r="B41" s="744" t="s">
        <v>891</v>
      </c>
      <c r="C41" s="744">
        <v>428906</v>
      </c>
      <c r="D41" s="744">
        <v>428906</v>
      </c>
      <c r="E41" s="744"/>
      <c r="F41" s="744"/>
      <c r="G41" s="744"/>
      <c r="H41" s="750" t="s">
        <v>879</v>
      </c>
    </row>
    <row r="42" spans="1:8" ht="14">
      <c r="A42" s="747" t="s">
        <v>528</v>
      </c>
      <c r="B42" s="744" t="s">
        <v>892</v>
      </c>
      <c r="C42" s="744">
        <v>-15327.705265844561</v>
      </c>
      <c r="D42" s="744">
        <v>-15327.705265844561</v>
      </c>
      <c r="E42" s="744"/>
      <c r="F42" s="744"/>
      <c r="G42" s="744"/>
      <c r="H42" s="750"/>
    </row>
    <row r="43" spans="1:8" ht="14">
      <c r="A43" s="747" t="s">
        <v>529</v>
      </c>
      <c r="B43" s="744" t="s">
        <v>936</v>
      </c>
      <c r="C43" s="744">
        <v>10793.705265844565</v>
      </c>
      <c r="D43" s="744"/>
      <c r="E43" s="744"/>
      <c r="F43" s="744">
        <v>10793.705265844565</v>
      </c>
      <c r="G43" s="744"/>
      <c r="H43" s="750" t="s">
        <v>937</v>
      </c>
    </row>
    <row r="44" spans="1:8" ht="14">
      <c r="A44" s="747" t="s">
        <v>530</v>
      </c>
      <c r="B44" s="744" t="s">
        <v>938</v>
      </c>
      <c r="C44" s="744">
        <v>192052</v>
      </c>
      <c r="D44" s="744">
        <v>192052</v>
      </c>
      <c r="E44" s="744"/>
      <c r="F44" s="744"/>
      <c r="G44" s="744"/>
      <c r="H44" s="750" t="s">
        <v>879</v>
      </c>
    </row>
    <row r="45" spans="1:8" ht="14">
      <c r="A45" s="747" t="s">
        <v>531</v>
      </c>
      <c r="B45" s="744" t="s">
        <v>939</v>
      </c>
      <c r="C45" s="744">
        <v>83758</v>
      </c>
      <c r="D45" s="744"/>
      <c r="E45" s="744"/>
      <c r="F45" s="744">
        <v>83758</v>
      </c>
      <c r="G45" s="744"/>
      <c r="H45" s="750" t="s">
        <v>940</v>
      </c>
    </row>
    <row r="46" spans="1:8" ht="14">
      <c r="A46" s="747" t="s">
        <v>532</v>
      </c>
      <c r="B46" s="744" t="s">
        <v>941</v>
      </c>
      <c r="C46" s="744">
        <v>262092</v>
      </c>
      <c r="D46" s="744"/>
      <c r="E46" s="744"/>
      <c r="F46" s="744">
        <v>262092</v>
      </c>
      <c r="G46" s="751"/>
      <c r="H46" s="750" t="s">
        <v>942</v>
      </c>
    </row>
    <row r="47" spans="1:8" ht="14">
      <c r="A47" s="747" t="s">
        <v>533</v>
      </c>
      <c r="B47" s="744" t="s">
        <v>1247</v>
      </c>
      <c r="C47" s="744">
        <v>0</v>
      </c>
      <c r="D47" s="744"/>
      <c r="E47" s="752"/>
      <c r="F47" s="752"/>
      <c r="G47" s="744">
        <v>0</v>
      </c>
      <c r="H47" s="750" t="s">
        <v>1248</v>
      </c>
    </row>
    <row r="48" spans="1:13" ht="14">
      <c r="A48" s="747" t="s">
        <v>534</v>
      </c>
      <c r="B48" s="744" t="s">
        <v>1249</v>
      </c>
      <c r="C48" s="744">
        <v>13825356</v>
      </c>
      <c r="D48" s="752"/>
      <c r="E48" s="752"/>
      <c r="F48" s="752">
        <v>13825356</v>
      </c>
      <c r="G48" s="751"/>
      <c r="H48" s="750" t="s">
        <v>1246</v>
      </c>
      <c r="M48" s="746"/>
    </row>
    <row r="49" spans="1:8" ht="28">
      <c r="A49" s="747" t="s">
        <v>535</v>
      </c>
      <c r="B49" s="744" t="s">
        <v>912</v>
      </c>
      <c r="C49" s="744">
        <v>0</v>
      </c>
      <c r="D49" s="744"/>
      <c r="E49" s="752"/>
      <c r="F49" s="752"/>
      <c r="G49" s="751">
        <v>0</v>
      </c>
      <c r="H49" s="750" t="s">
        <v>943</v>
      </c>
    </row>
    <row r="50" spans="1:8" ht="14">
      <c r="A50" s="747" t="s">
        <v>536</v>
      </c>
      <c r="B50" s="744" t="s">
        <v>894</v>
      </c>
      <c r="C50" s="744">
        <v>0</v>
      </c>
      <c r="D50" s="744">
        <v>0</v>
      </c>
      <c r="E50" s="752"/>
      <c r="F50" s="752"/>
      <c r="G50" s="744"/>
      <c r="H50" s="750" t="s">
        <v>879</v>
      </c>
    </row>
    <row r="51" spans="1:8" ht="28">
      <c r="A51" s="747" t="s">
        <v>537</v>
      </c>
      <c r="B51" s="744" t="s">
        <v>913</v>
      </c>
      <c r="C51" s="744">
        <v>71389972</v>
      </c>
      <c r="D51" s="744"/>
      <c r="E51" s="752"/>
      <c r="F51" s="744"/>
      <c r="G51" s="751">
        <v>71389972</v>
      </c>
      <c r="H51" s="750" t="s">
        <v>944</v>
      </c>
    </row>
    <row r="52" spans="1:8" ht="28">
      <c r="A52" s="747" t="s">
        <v>538</v>
      </c>
      <c r="B52" s="744" t="s">
        <v>895</v>
      </c>
      <c r="C52" s="744">
        <v>48886</v>
      </c>
      <c r="D52" s="744">
        <v>48886</v>
      </c>
      <c r="E52" s="744"/>
      <c r="F52" s="744"/>
      <c r="G52" s="744"/>
      <c r="H52" s="750" t="s">
        <v>945</v>
      </c>
    </row>
    <row r="53" spans="1:8" ht="14">
      <c r="A53" s="747" t="s">
        <v>539</v>
      </c>
      <c r="B53" s="744" t="s">
        <v>896</v>
      </c>
      <c r="C53" s="744">
        <v>3158623</v>
      </c>
      <c r="D53" s="744">
        <v>3158623</v>
      </c>
      <c r="E53" s="744"/>
      <c r="F53" s="744"/>
      <c r="G53" s="744"/>
      <c r="H53" s="745" t="s">
        <v>946</v>
      </c>
    </row>
    <row r="54" spans="1:8" ht="14">
      <c r="A54" s="747" t="s">
        <v>540</v>
      </c>
      <c r="B54" s="744" t="s">
        <v>897</v>
      </c>
      <c r="C54" s="744">
        <v>0</v>
      </c>
      <c r="D54" s="744">
        <v>0</v>
      </c>
      <c r="E54" s="752"/>
      <c r="F54" s="744"/>
      <c r="G54" s="751"/>
      <c r="H54" s="745" t="s">
        <v>946</v>
      </c>
    </row>
    <row r="55" spans="1:8" ht="14">
      <c r="A55" s="747" t="s">
        <v>541</v>
      </c>
      <c r="B55" s="744" t="s">
        <v>898</v>
      </c>
      <c r="C55" s="744">
        <v>132515</v>
      </c>
      <c r="D55" s="744">
        <v>132515</v>
      </c>
      <c r="E55" s="744"/>
      <c r="F55" s="744"/>
      <c r="G55" s="744"/>
      <c r="H55" s="745" t="s">
        <v>947</v>
      </c>
    </row>
    <row r="56" spans="1:8" ht="14">
      <c r="A56" s="747" t="s">
        <v>542</v>
      </c>
      <c r="B56" s="744" t="s">
        <v>899</v>
      </c>
      <c r="C56" s="744">
        <v>51322</v>
      </c>
      <c r="D56" s="744"/>
      <c r="E56" s="752"/>
      <c r="F56" s="744"/>
      <c r="G56" s="751">
        <v>51322</v>
      </c>
      <c r="H56" s="745" t="s">
        <v>948</v>
      </c>
    </row>
    <row r="57" spans="1:8" ht="15" customHeight="1">
      <c r="A57" s="747" t="s">
        <v>543</v>
      </c>
      <c r="B57" s="744" t="s">
        <v>914</v>
      </c>
      <c r="C57" s="744">
        <v>1145678</v>
      </c>
      <c r="D57" s="744">
        <v>1145678</v>
      </c>
      <c r="E57" s="752"/>
      <c r="F57" s="744"/>
      <c r="G57" s="751">
        <v>0</v>
      </c>
      <c r="H57" s="745" t="s">
        <v>949</v>
      </c>
    </row>
    <row r="58" spans="1:8" ht="15" customHeight="1">
      <c r="A58" s="747" t="s">
        <v>544</v>
      </c>
      <c r="B58" s="744" t="s">
        <v>900</v>
      </c>
      <c r="C58" s="744">
        <v>1701178</v>
      </c>
      <c r="D58" s="744">
        <v>1701178</v>
      </c>
      <c r="E58" s="744"/>
      <c r="F58" s="744"/>
      <c r="G58" s="744"/>
      <c r="H58" s="745" t="s">
        <v>879</v>
      </c>
    </row>
    <row r="59" spans="1:8" ht="15" customHeight="1">
      <c r="A59" s="747" t="s">
        <v>545</v>
      </c>
      <c r="B59" s="744" t="s">
        <v>901</v>
      </c>
      <c r="C59" s="744">
        <v>9646333</v>
      </c>
      <c r="D59" s="744"/>
      <c r="E59" s="744"/>
      <c r="F59" s="748"/>
      <c r="G59" s="744">
        <v>9646333</v>
      </c>
      <c r="H59" s="745" t="s">
        <v>950</v>
      </c>
    </row>
    <row r="60" spans="1:8" ht="15" customHeight="1">
      <c r="A60" s="747" t="s">
        <v>546</v>
      </c>
      <c r="B60" s="744"/>
      <c r="C60" s="744"/>
      <c r="D60" s="744"/>
      <c r="E60" s="744"/>
      <c r="F60" s="744"/>
      <c r="G60" s="751"/>
      <c r="H60" s="745"/>
    </row>
    <row r="61" spans="1:8" ht="15" customHeight="1">
      <c r="A61" s="747" t="s">
        <v>547</v>
      </c>
      <c r="B61" s="744"/>
      <c r="C61" s="744"/>
      <c r="D61" s="744"/>
      <c r="E61" s="744"/>
      <c r="F61" s="744"/>
      <c r="G61" s="744"/>
      <c r="H61" s="745"/>
    </row>
    <row r="62" spans="1:8" ht="15" customHeight="1" hidden="1">
      <c r="A62" s="747" t="s">
        <v>548</v>
      </c>
      <c r="B62" s="744"/>
      <c r="C62" s="744"/>
      <c r="D62" s="744"/>
      <c r="E62" s="744"/>
      <c r="F62" s="744"/>
      <c r="G62" s="751"/>
      <c r="H62" s="745"/>
    </row>
    <row r="63" spans="1:8" ht="15" customHeight="1" hidden="1">
      <c r="A63" s="747" t="s">
        <v>549</v>
      </c>
      <c r="B63" s="744"/>
      <c r="C63" s="744"/>
      <c r="D63" s="744"/>
      <c r="E63" s="744"/>
      <c r="F63" s="744"/>
      <c r="G63" s="751"/>
      <c r="H63" s="745"/>
    </row>
    <row r="64" spans="1:8" ht="15" customHeight="1" hidden="1">
      <c r="A64" s="747" t="s">
        <v>550</v>
      </c>
      <c r="B64" s="744"/>
      <c r="C64" s="744"/>
      <c r="D64" s="744"/>
      <c r="E64" s="744"/>
      <c r="F64" s="744"/>
      <c r="G64" s="751"/>
      <c r="H64" s="745"/>
    </row>
    <row r="65" spans="1:8" ht="15" customHeight="1" hidden="1">
      <c r="A65" s="747" t="s">
        <v>551</v>
      </c>
      <c r="B65" s="744"/>
      <c r="C65" s="744"/>
      <c r="D65" s="744"/>
      <c r="E65" s="744"/>
      <c r="F65" s="752"/>
      <c r="G65" s="744"/>
      <c r="H65" s="753"/>
    </row>
    <row r="66" spans="1:8" ht="15" customHeight="1" hidden="1">
      <c r="A66" s="747" t="s">
        <v>552</v>
      </c>
      <c r="B66" s="744"/>
      <c r="C66" s="744"/>
      <c r="D66" s="744"/>
      <c r="E66" s="744"/>
      <c r="F66" s="744"/>
      <c r="G66" s="744"/>
      <c r="H66" s="754"/>
    </row>
    <row r="67" spans="1:8" ht="15" customHeight="1" hidden="1">
      <c r="A67" s="747" t="s">
        <v>553</v>
      </c>
      <c r="B67" s="744"/>
      <c r="C67" s="744"/>
      <c r="D67" s="744"/>
      <c r="E67" s="744"/>
      <c r="F67" s="744"/>
      <c r="G67" s="744"/>
      <c r="H67" s="753"/>
    </row>
    <row r="68" spans="1:8" ht="15" customHeight="1" hidden="1">
      <c r="A68" s="747" t="s">
        <v>554</v>
      </c>
      <c r="B68" s="744"/>
      <c r="C68" s="744"/>
      <c r="D68" s="744"/>
      <c r="E68" s="744"/>
      <c r="F68" s="744"/>
      <c r="G68" s="744"/>
      <c r="H68" s="745"/>
    </row>
    <row r="69" spans="1:8" ht="15" customHeight="1" hidden="1">
      <c r="A69" s="747" t="s">
        <v>555</v>
      </c>
      <c r="B69" s="744"/>
      <c r="C69" s="744"/>
      <c r="D69" s="744"/>
      <c r="E69" s="744"/>
      <c r="F69" s="744"/>
      <c r="G69" s="744"/>
      <c r="H69" s="745"/>
    </row>
    <row r="70" spans="1:8" ht="15" customHeight="1" hidden="1">
      <c r="A70" s="747" t="s">
        <v>556</v>
      </c>
      <c r="B70" s="755"/>
      <c r="C70" s="744"/>
      <c r="D70" s="744"/>
      <c r="E70" s="744"/>
      <c r="F70" s="744"/>
      <c r="G70" s="744"/>
      <c r="H70" s="753"/>
    </row>
    <row r="71" spans="1:8" ht="15" customHeight="1" hidden="1">
      <c r="A71" s="747" t="s">
        <v>557</v>
      </c>
      <c r="B71" s="756"/>
      <c r="C71" s="744">
        <v>0</v>
      </c>
      <c r="D71" s="744">
        <v>0</v>
      </c>
      <c r="E71" s="744"/>
      <c r="F71" s="744"/>
      <c r="G71" s="744"/>
      <c r="H71" s="753"/>
    </row>
    <row r="72" spans="1:8" ht="14">
      <c r="A72" s="747" t="s">
        <v>296</v>
      </c>
      <c r="B72" s="757"/>
      <c r="C72" s="744">
        <v>0</v>
      </c>
      <c r="D72" s="744"/>
      <c r="E72" s="744"/>
      <c r="F72" s="744"/>
      <c r="G72" s="744"/>
      <c r="H72" s="753"/>
    </row>
    <row r="73" spans="1:10" ht="14">
      <c r="A73" s="747">
        <v>2</v>
      </c>
      <c r="B73" s="758" t="s">
        <v>1057</v>
      </c>
      <c r="C73" s="759">
        <f>SUM(C24:C72)</f>
        <v>139721837</v>
      </c>
      <c r="D73" s="759">
        <f>SUM(D24:D72)</f>
        <v>30805775.294734154</v>
      </c>
      <c r="E73" s="759">
        <f>SUM(E24:E72)</f>
        <v>0</v>
      </c>
      <c r="F73" s="759">
        <f>SUM(F24:F72)</f>
        <v>14181999.705265844</v>
      </c>
      <c r="G73" s="759">
        <f>SUM(G24:G72)</f>
        <v>94734062</v>
      </c>
      <c r="H73" s="760"/>
      <c r="J73" s="761"/>
    </row>
    <row r="74" spans="1:8" ht="14">
      <c r="A74" s="747">
        <v>3</v>
      </c>
      <c r="B74" s="758" t="s">
        <v>563</v>
      </c>
      <c r="C74" s="744">
        <f>SUM(D74:G74)</f>
        <v>-38867662.755120002</v>
      </c>
      <c r="D74" s="744">
        <v>-2154571.3344000001</v>
      </c>
      <c r="E74" s="744">
        <v>0</v>
      </c>
      <c r="F74" s="744">
        <v>491324.17927999998</v>
      </c>
      <c r="G74" s="744">
        <v>-37204415.600000001</v>
      </c>
      <c r="H74" s="753"/>
    </row>
    <row r="75" spans="1:8" ht="14">
      <c r="A75" s="747">
        <v>4</v>
      </c>
      <c r="B75" s="758" t="s">
        <v>564</v>
      </c>
      <c r="C75" s="744"/>
      <c r="D75" s="744"/>
      <c r="E75" s="744"/>
      <c r="F75" s="744"/>
      <c r="G75" s="744"/>
      <c r="H75" s="753"/>
    </row>
    <row r="76" spans="1:8" ht="14">
      <c r="A76" s="712">
        <v>5</v>
      </c>
      <c r="B76" s="758" t="s">
        <v>1176</v>
      </c>
      <c r="C76" s="759">
        <f>+C73-C74-C75</f>
        <v>178589499.75512001</v>
      </c>
      <c r="D76" s="759">
        <f t="shared" si="0" ref="D76:G76">+D73-D74-D75</f>
        <v>32960346.629134156</v>
      </c>
      <c r="E76" s="759">
        <f t="shared" si="0"/>
        <v>0</v>
      </c>
      <c r="F76" s="759">
        <f t="shared" si="0"/>
        <v>13690675.525985844</v>
      </c>
      <c r="G76" s="759">
        <f t="shared" si="0"/>
        <v>131938477.59999999</v>
      </c>
      <c r="H76" s="760"/>
    </row>
    <row r="77" spans="2:8" ht="14">
      <c r="B77" s="762"/>
      <c r="C77" s="763"/>
      <c r="D77" s="719"/>
      <c r="E77" s="719"/>
      <c r="F77" s="719"/>
      <c r="G77" s="764"/>
      <c r="H77" s="765"/>
    </row>
    <row r="78" spans="1:8" ht="14">
      <c r="A78" s="747">
        <v>6</v>
      </c>
      <c r="B78" s="766" t="s">
        <v>565</v>
      </c>
      <c r="C78" s="767"/>
      <c r="D78" s="768"/>
      <c r="E78" s="768"/>
      <c r="F78" s="768"/>
      <c r="G78" s="769"/>
      <c r="H78" s="770"/>
    </row>
    <row r="79" spans="1:8" ht="14">
      <c r="A79" s="747">
        <v>7</v>
      </c>
      <c r="B79" s="771" t="s">
        <v>566</v>
      </c>
      <c r="C79" s="719"/>
      <c r="D79" s="719"/>
      <c r="E79" s="719"/>
      <c r="F79" s="719"/>
      <c r="G79" s="719"/>
      <c r="H79" s="772"/>
    </row>
    <row r="80" spans="1:8" ht="14">
      <c r="A80" s="747">
        <v>8</v>
      </c>
      <c r="B80" s="771" t="s">
        <v>567</v>
      </c>
      <c r="C80" s="773"/>
      <c r="D80" s="719"/>
      <c r="E80" s="719"/>
      <c r="F80" s="719"/>
      <c r="G80" s="764"/>
      <c r="H80" s="774"/>
    </row>
    <row r="81" spans="1:8" ht="14">
      <c r="A81" s="747">
        <v>9</v>
      </c>
      <c r="B81" s="771" t="s">
        <v>568</v>
      </c>
      <c r="C81" s="773"/>
      <c r="D81" s="719"/>
      <c r="E81" s="719"/>
      <c r="F81" s="719"/>
      <c r="G81" s="764"/>
      <c r="H81" s="774"/>
    </row>
    <row r="82" spans="1:8" ht="14">
      <c r="A82" s="747">
        <v>10</v>
      </c>
      <c r="B82" s="771" t="s">
        <v>569</v>
      </c>
      <c r="C82" s="773"/>
      <c r="D82" s="719"/>
      <c r="E82" s="719"/>
      <c r="F82" s="719"/>
      <c r="G82" s="764"/>
      <c r="H82" s="774"/>
    </row>
    <row r="83" spans="1:8" ht="14">
      <c r="A83" s="747">
        <v>11</v>
      </c>
      <c r="B83" s="775" t="s">
        <v>570</v>
      </c>
      <c r="C83" s="719"/>
      <c r="D83" s="719"/>
      <c r="E83" s="719"/>
      <c r="F83" s="719"/>
      <c r="G83" s="719"/>
      <c r="H83" s="772"/>
    </row>
    <row r="84" spans="1:8" ht="14">
      <c r="A84" s="747">
        <v>12</v>
      </c>
      <c r="B84" s="776" t="s">
        <v>571</v>
      </c>
      <c r="C84" s="719"/>
      <c r="D84" s="719"/>
      <c r="E84" s="719"/>
      <c r="F84" s="719"/>
      <c r="G84" s="719"/>
      <c r="H84" s="772"/>
    </row>
    <row r="85" spans="2:8" ht="14">
      <c r="B85" s="777"/>
      <c r="C85" s="778"/>
      <c r="D85" s="779"/>
      <c r="E85" s="779"/>
      <c r="F85" s="779"/>
      <c r="G85" s="780"/>
      <c r="H85" s="781"/>
    </row>
    <row r="86" spans="2:8" ht="14">
      <c r="B86" s="1080" t="str">
        <f>'4A - ADIT Summary'!$G$65</f>
        <v>PECO Energy Company</v>
      </c>
      <c r="C86" s="1081"/>
      <c r="D86" s="1081"/>
      <c r="E86" s="1081"/>
      <c r="F86" s="1081"/>
      <c r="G86" s="1081"/>
      <c r="H86" s="1081"/>
    </row>
    <row r="87" spans="2:8" ht="15.5">
      <c r="B87" s="714" t="s">
        <v>617</v>
      </c>
      <c r="C87" s="714"/>
      <c r="D87" s="714"/>
      <c r="E87" s="714"/>
      <c r="F87" s="714" t="s">
        <v>2</v>
      </c>
      <c r="G87" s="714"/>
      <c r="H87" s="519"/>
    </row>
    <row r="88" spans="2:8" ht="14">
      <c r="B88" s="714"/>
      <c r="C88" s="717"/>
      <c r="D88" s="782"/>
      <c r="E88" s="782"/>
      <c r="F88" s="782"/>
      <c r="G88" s="782"/>
      <c r="H88" s="783"/>
    </row>
    <row r="89" spans="2:8" ht="14">
      <c r="B89" s="716"/>
      <c r="C89" s="717"/>
      <c r="D89" s="782"/>
      <c r="E89" s="782"/>
      <c r="F89" s="782"/>
      <c r="G89" s="782"/>
      <c r="H89" s="715" t="s">
        <v>617</v>
      </c>
    </row>
    <row r="90" spans="2:8" ht="14">
      <c r="B90" s="716"/>
      <c r="C90" s="717"/>
      <c r="D90" s="782"/>
      <c r="E90" s="782"/>
      <c r="F90" s="782"/>
      <c r="G90" s="782"/>
      <c r="H90" s="715" t="s">
        <v>572</v>
      </c>
    </row>
    <row r="91" spans="2:8" ht="14">
      <c r="B91" s="716"/>
      <c r="C91" s="717"/>
      <c r="D91" s="782"/>
      <c r="E91" s="782"/>
      <c r="F91" s="782"/>
      <c r="G91" s="782"/>
      <c r="H91" s="720"/>
    </row>
    <row r="92" spans="2:8" ht="14.5">
      <c r="B92" s="714"/>
      <c r="C92" s="719"/>
      <c r="D92" s="719"/>
      <c r="E92" s="719"/>
      <c r="F92" s="719"/>
      <c r="G92" s="719"/>
      <c r="H92" s="784"/>
    </row>
    <row r="93" spans="2:8" ht="14.5">
      <c r="B93" s="714"/>
      <c r="C93" s="719"/>
      <c r="D93" s="719"/>
      <c r="E93" s="719"/>
      <c r="F93" s="719"/>
      <c r="G93" s="719"/>
      <c r="H93" s="784"/>
    </row>
    <row r="94" spans="2:8" ht="14">
      <c r="B94" s="716" t="s">
        <v>58</v>
      </c>
      <c r="C94" s="735" t="s">
        <v>59</v>
      </c>
      <c r="D94" s="717" t="s">
        <v>60</v>
      </c>
      <c r="E94" s="717" t="s">
        <v>61</v>
      </c>
      <c r="F94" s="717" t="s">
        <v>62</v>
      </c>
      <c r="G94" s="717" t="s">
        <v>63</v>
      </c>
      <c r="H94" s="785" t="s">
        <v>64</v>
      </c>
    </row>
    <row r="95" spans="2:8" ht="14.5">
      <c r="B95" s="722" t="s">
        <v>1474</v>
      </c>
      <c r="C95" s="738" t="s">
        <v>13</v>
      </c>
      <c r="D95" s="738" t="s">
        <v>504</v>
      </c>
      <c r="E95" s="718" t="s">
        <v>492</v>
      </c>
      <c r="F95" s="718"/>
      <c r="G95" s="718"/>
      <c r="H95" s="720"/>
    </row>
    <row r="96" spans="2:8" ht="14.5">
      <c r="B96" s="762"/>
      <c r="C96" s="738"/>
      <c r="D96" s="738" t="s">
        <v>505</v>
      </c>
      <c r="E96" s="718" t="s">
        <v>17</v>
      </c>
      <c r="F96" s="718" t="s">
        <v>506</v>
      </c>
      <c r="G96" s="718" t="s">
        <v>459</v>
      </c>
      <c r="H96" s="720"/>
    </row>
    <row r="97" spans="2:8" ht="14.5">
      <c r="B97" s="786"/>
      <c r="C97" s="787"/>
      <c r="D97" s="738" t="s">
        <v>467</v>
      </c>
      <c r="E97" s="718" t="s">
        <v>467</v>
      </c>
      <c r="F97" s="718" t="s">
        <v>467</v>
      </c>
      <c r="G97" s="718" t="s">
        <v>467</v>
      </c>
      <c r="H97" s="784" t="s">
        <v>507</v>
      </c>
    </row>
    <row r="98" spans="2:8" ht="14">
      <c r="B98" s="714"/>
      <c r="C98" s="788"/>
      <c r="D98" s="719"/>
      <c r="E98" s="719"/>
      <c r="F98" s="719"/>
      <c r="G98" s="719"/>
      <c r="H98" s="720"/>
    </row>
    <row r="99" spans="1:8" ht="14">
      <c r="A99" s="712" t="s">
        <v>573</v>
      </c>
      <c r="B99" s="789" t="s">
        <v>1114</v>
      </c>
      <c r="C99" s="789">
        <v>0</v>
      </c>
      <c r="D99" s="790">
        <v>0</v>
      </c>
      <c r="E99" s="790">
        <v>0</v>
      </c>
      <c r="F99" s="790">
        <v>0</v>
      </c>
      <c r="G99" s="790">
        <v>0</v>
      </c>
      <c r="H99" s="791"/>
    </row>
    <row r="100" spans="1:8" ht="14">
      <c r="A100" s="712" t="s">
        <v>574</v>
      </c>
      <c r="B100" s="789" t="s">
        <v>702</v>
      </c>
      <c r="C100" s="789">
        <v>-29503593</v>
      </c>
      <c r="D100" s="790"/>
      <c r="E100" s="790"/>
      <c r="F100" s="790"/>
      <c r="G100" s="790">
        <v>-29503593</v>
      </c>
      <c r="H100" s="791" t="s">
        <v>951</v>
      </c>
    </row>
    <row r="101" spans="1:8" ht="14">
      <c r="A101" s="712" t="s">
        <v>575</v>
      </c>
      <c r="B101" s="789" t="s">
        <v>778</v>
      </c>
      <c r="C101" s="789">
        <v>-1188168321</v>
      </c>
      <c r="D101" s="790">
        <v>-1188168321</v>
      </c>
      <c r="E101" s="790"/>
      <c r="F101" s="790"/>
      <c r="G101" s="790"/>
      <c r="H101" s="791" t="s">
        <v>952</v>
      </c>
    </row>
    <row r="102" spans="1:8" ht="14">
      <c r="A102" s="747" t="s">
        <v>576</v>
      </c>
      <c r="B102" s="789" t="s">
        <v>903</v>
      </c>
      <c r="C102" s="789">
        <v>-3041661</v>
      </c>
      <c r="D102" s="790"/>
      <c r="E102" s="790"/>
      <c r="F102" s="790"/>
      <c r="G102" s="790">
        <v>-3041661</v>
      </c>
      <c r="H102" s="791" t="s">
        <v>951</v>
      </c>
    </row>
    <row r="103" spans="1:8" ht="14">
      <c r="A103" s="747" t="s">
        <v>577</v>
      </c>
      <c r="B103" s="789" t="s">
        <v>17</v>
      </c>
      <c r="C103" s="789">
        <v>-226271862</v>
      </c>
      <c r="D103" s="790"/>
      <c r="E103" s="790">
        <v>-226271862</v>
      </c>
      <c r="F103" s="790"/>
      <c r="G103" s="790"/>
      <c r="H103" s="791" t="s">
        <v>902</v>
      </c>
    </row>
    <row r="104" spans="1:8" ht="14">
      <c r="A104" s="747" t="s">
        <v>578</v>
      </c>
      <c r="B104" s="789"/>
      <c r="C104" s="789"/>
      <c r="D104" s="790"/>
      <c r="E104" s="790"/>
      <c r="F104" s="790"/>
      <c r="G104" s="790"/>
      <c r="H104" s="792"/>
    </row>
    <row r="105" spans="1:8" ht="14">
      <c r="A105" s="747" t="s">
        <v>579</v>
      </c>
      <c r="B105" s="789"/>
      <c r="C105" s="789">
        <v>0</v>
      </c>
      <c r="D105" s="790"/>
      <c r="E105" s="790"/>
      <c r="F105" s="790"/>
      <c r="G105" s="790"/>
      <c r="H105" s="792"/>
    </row>
    <row r="106" spans="1:8" ht="14">
      <c r="A106" s="747" t="s">
        <v>580</v>
      </c>
      <c r="B106" s="789"/>
      <c r="C106" s="789"/>
      <c r="D106" s="790"/>
      <c r="E106" s="790"/>
      <c r="F106" s="790"/>
      <c r="G106" s="790"/>
      <c r="H106" s="792"/>
    </row>
    <row r="107" spans="1:8" ht="14">
      <c r="A107" s="747" t="s">
        <v>296</v>
      </c>
      <c r="B107" s="789"/>
      <c r="C107" s="789"/>
      <c r="D107" s="790"/>
      <c r="E107" s="790"/>
      <c r="F107" s="790"/>
      <c r="G107" s="790"/>
      <c r="H107" s="792"/>
    </row>
    <row r="108" spans="1:8" ht="14">
      <c r="A108" s="747">
        <v>14</v>
      </c>
      <c r="B108" s="793" t="s">
        <v>1059</v>
      </c>
      <c r="C108" s="794">
        <f>SUM(C99:C107)</f>
        <v>-1446985437</v>
      </c>
      <c r="D108" s="794">
        <f>SUM(D99:D107)</f>
        <v>-1188168321</v>
      </c>
      <c r="E108" s="794">
        <f>SUM(E99:E107)</f>
        <v>-226271862</v>
      </c>
      <c r="F108" s="794">
        <f>SUM(F99:F107)</f>
        <v>0</v>
      </c>
      <c r="G108" s="794">
        <f>SUM(G99:G107)</f>
        <v>-32545254</v>
      </c>
      <c r="H108" s="795"/>
    </row>
    <row r="109" spans="1:8" ht="14">
      <c r="A109" s="747">
        <v>15</v>
      </c>
      <c r="B109" s="793" t="s">
        <v>563</v>
      </c>
      <c r="C109" s="796">
        <f>SUM(D109:G109)</f>
        <v>-307962710.78626621</v>
      </c>
      <c r="D109" s="796">
        <v>-269117641</v>
      </c>
      <c r="E109" s="796">
        <f>58869852-'9 - EDIT'!P30-'9 - EDIT'!P38-'9 - EDIT'!P42</f>
        <v>-37128133.286266223</v>
      </c>
      <c r="F109" s="796">
        <v>0</v>
      </c>
      <c r="G109" s="796">
        <f>-143180-'9 - EDIT'!P32</f>
        <v>-1716936.5000000005</v>
      </c>
      <c r="H109" s="792"/>
    </row>
    <row r="110" spans="1:8" ht="14">
      <c r="A110" s="747">
        <v>16</v>
      </c>
      <c r="B110" s="793" t="s">
        <v>564</v>
      </c>
      <c r="C110" s="796"/>
      <c r="D110" s="796"/>
      <c r="E110" s="796"/>
      <c r="F110" s="796"/>
      <c r="G110" s="796"/>
      <c r="H110" s="797"/>
    </row>
    <row r="111" spans="1:8" ht="14">
      <c r="A111" s="747">
        <v>17</v>
      </c>
      <c r="B111" s="793" t="s">
        <v>1157</v>
      </c>
      <c r="C111" s="798">
        <f>+C108-C109-C110</f>
        <v>-1139022726.2137337</v>
      </c>
      <c r="D111" s="798">
        <f>+D108-D109-D110</f>
        <v>-919050680</v>
      </c>
      <c r="E111" s="798">
        <f>+E108-E109-E110</f>
        <v>-189143728.71373379</v>
      </c>
      <c r="F111" s="798">
        <f>+F108-F109-F110</f>
        <v>0</v>
      </c>
      <c r="G111" s="798">
        <f>+G108-G109-G110</f>
        <v>-30828317.5</v>
      </c>
      <c r="H111" s="799"/>
    </row>
    <row r="112" spans="2:8" ht="14">
      <c r="B112" s="762"/>
      <c r="C112" s="800"/>
      <c r="D112" s="800"/>
      <c r="E112" s="800"/>
      <c r="F112" s="800"/>
      <c r="G112" s="719"/>
      <c r="H112" s="801"/>
    </row>
    <row r="113" spans="2:8" ht="14.5" thickBot="1">
      <c r="B113" s="762"/>
      <c r="C113" s="763"/>
      <c r="D113" s="719"/>
      <c r="E113" s="719"/>
      <c r="F113" s="719"/>
      <c r="G113" s="764"/>
      <c r="H113" s="802"/>
    </row>
    <row r="114" spans="1:8" ht="14">
      <c r="A114" s="747">
        <v>18</v>
      </c>
      <c r="B114" s="803" t="s">
        <v>581</v>
      </c>
      <c r="C114" s="804"/>
      <c r="D114" s="805"/>
      <c r="E114" s="805"/>
      <c r="F114" s="805"/>
      <c r="G114" s="806"/>
      <c r="H114" s="807"/>
    </row>
    <row r="115" spans="1:8" ht="14">
      <c r="A115" s="747">
        <v>19</v>
      </c>
      <c r="B115" s="771" t="s">
        <v>566</v>
      </c>
      <c r="C115" s="808"/>
      <c r="D115" s="782"/>
      <c r="E115" s="782"/>
      <c r="F115" s="782"/>
      <c r="G115" s="782"/>
      <c r="H115" s="809"/>
    </row>
    <row r="116" spans="1:8" ht="14">
      <c r="A116" s="747">
        <v>20</v>
      </c>
      <c r="B116" s="771" t="s">
        <v>567</v>
      </c>
      <c r="C116" s="773"/>
      <c r="D116" s="719"/>
      <c r="E116" s="719"/>
      <c r="F116" s="719"/>
      <c r="G116" s="764"/>
      <c r="H116" s="810"/>
    </row>
    <row r="117" spans="1:8" ht="14">
      <c r="A117" s="747">
        <v>21</v>
      </c>
      <c r="B117" s="771" t="s">
        <v>568</v>
      </c>
      <c r="C117" s="773"/>
      <c r="D117" s="719"/>
      <c r="E117" s="719"/>
      <c r="F117" s="719"/>
      <c r="G117" s="764"/>
      <c r="H117" s="810"/>
    </row>
    <row r="118" spans="1:8" ht="14">
      <c r="A118" s="747">
        <v>22</v>
      </c>
      <c r="B118" s="771" t="s">
        <v>569</v>
      </c>
      <c r="C118" s="773"/>
      <c r="D118" s="719"/>
      <c r="E118" s="719"/>
      <c r="F118" s="719"/>
      <c r="G118" s="764"/>
      <c r="H118" s="810"/>
    </row>
    <row r="119" spans="1:8" ht="14">
      <c r="A119" s="747">
        <v>23</v>
      </c>
      <c r="B119" s="775" t="s">
        <v>570</v>
      </c>
      <c r="C119" s="811"/>
      <c r="D119" s="724"/>
      <c r="E119" s="724"/>
      <c r="F119" s="724"/>
      <c r="G119" s="724"/>
      <c r="H119" s="809"/>
    </row>
    <row r="120" spans="1:8" ht="14">
      <c r="A120" s="747">
        <v>24</v>
      </c>
      <c r="B120" s="776" t="s">
        <v>571</v>
      </c>
      <c r="C120" s="724"/>
      <c r="D120" s="724"/>
      <c r="E120" s="724"/>
      <c r="F120" s="724"/>
      <c r="G120" s="724"/>
      <c r="H120" s="809"/>
    </row>
    <row r="121" spans="2:8" ht="14.5" thickBot="1">
      <c r="B121" s="812"/>
      <c r="C121" s="813"/>
      <c r="D121" s="814"/>
      <c r="E121" s="814"/>
      <c r="F121" s="814"/>
      <c r="G121" s="815"/>
      <c r="H121" s="816"/>
    </row>
    <row r="122" spans="2:8" ht="14">
      <c r="B122" s="1080" t="str">
        <f>'4A - ADIT Summary'!$G$65</f>
        <v>PECO Energy Company</v>
      </c>
      <c r="C122" s="1081"/>
      <c r="D122" s="1081"/>
      <c r="E122" s="1081"/>
      <c r="F122" s="1081"/>
      <c r="G122" s="1081"/>
      <c r="H122" s="1081"/>
    </row>
    <row r="123" spans="2:8" ht="15.5">
      <c r="B123" s="714" t="s">
        <v>617</v>
      </c>
      <c r="C123" s="714"/>
      <c r="D123" s="714"/>
      <c r="E123" s="714"/>
      <c r="F123" s="714"/>
      <c r="G123" s="714"/>
      <c r="H123" s="519"/>
    </row>
    <row r="124" spans="2:8" ht="14">
      <c r="B124" s="714"/>
      <c r="C124" s="817"/>
      <c r="D124" s="817"/>
      <c r="E124" s="817"/>
      <c r="F124" s="817"/>
      <c r="G124" s="817"/>
      <c r="H124" s="783"/>
    </row>
    <row r="125" spans="2:8" ht="14">
      <c r="B125" s="817"/>
      <c r="C125" s="817"/>
      <c r="D125" s="817"/>
      <c r="E125" s="817"/>
      <c r="F125" s="817"/>
      <c r="G125" s="817"/>
      <c r="H125" s="715" t="s">
        <v>617</v>
      </c>
    </row>
    <row r="126" spans="2:8" ht="14">
      <c r="B126" s="817"/>
      <c r="C126" s="817"/>
      <c r="D126" s="817"/>
      <c r="E126" s="817"/>
      <c r="F126" s="817"/>
      <c r="G126" s="817"/>
      <c r="H126" s="715" t="s">
        <v>582</v>
      </c>
    </row>
    <row r="127" spans="2:8" ht="14">
      <c r="B127" s="762"/>
      <c r="C127" s="763"/>
      <c r="D127" s="719"/>
      <c r="E127" s="719"/>
      <c r="F127" s="719"/>
      <c r="G127" s="764"/>
      <c r="H127" s="802"/>
    </row>
    <row r="128" spans="2:8" ht="14">
      <c r="B128" s="716" t="s">
        <v>58</v>
      </c>
      <c r="C128" s="735" t="s">
        <v>59</v>
      </c>
      <c r="D128" s="717" t="s">
        <v>60</v>
      </c>
      <c r="E128" s="717" t="s">
        <v>61</v>
      </c>
      <c r="F128" s="717" t="s">
        <v>62</v>
      </c>
      <c r="G128" s="717" t="s">
        <v>63</v>
      </c>
      <c r="H128" s="785" t="s">
        <v>64</v>
      </c>
    </row>
    <row r="129" spans="2:8" ht="14.5">
      <c r="B129" s="722" t="s">
        <v>1475</v>
      </c>
      <c r="C129" s="738" t="s">
        <v>13</v>
      </c>
      <c r="D129" s="738" t="s">
        <v>504</v>
      </c>
      <c r="E129" s="718" t="s">
        <v>492</v>
      </c>
      <c r="F129" s="718"/>
      <c r="G129" s="718"/>
      <c r="H129" s="720"/>
    </row>
    <row r="130" spans="2:8" ht="14.5">
      <c r="B130" s="714"/>
      <c r="C130" s="738"/>
      <c r="D130" s="738" t="s">
        <v>505</v>
      </c>
      <c r="E130" s="718" t="s">
        <v>17</v>
      </c>
      <c r="F130" s="718" t="s">
        <v>506</v>
      </c>
      <c r="G130" s="718" t="s">
        <v>459</v>
      </c>
      <c r="H130" s="720"/>
    </row>
    <row r="131" spans="2:8" ht="14.5">
      <c r="B131" s="786"/>
      <c r="C131" s="787"/>
      <c r="D131" s="738" t="s">
        <v>467</v>
      </c>
      <c r="E131" s="718" t="s">
        <v>467</v>
      </c>
      <c r="F131" s="718" t="s">
        <v>467</v>
      </c>
      <c r="G131" s="718" t="s">
        <v>467</v>
      </c>
      <c r="H131" s="784" t="s">
        <v>507</v>
      </c>
    </row>
    <row r="132" spans="2:8" ht="14">
      <c r="B132" s="786"/>
      <c r="C132" s="787"/>
      <c r="D132" s="719"/>
      <c r="E132" s="719"/>
      <c r="F132" s="719"/>
      <c r="G132" s="719"/>
      <c r="H132" s="724"/>
    </row>
    <row r="133" spans="2:8" ht="14">
      <c r="B133" s="786"/>
      <c r="C133" s="787"/>
      <c r="D133" s="719"/>
      <c r="E133" s="719"/>
      <c r="F133" s="719"/>
      <c r="G133" s="719"/>
      <c r="H133" s="720"/>
    </row>
    <row r="134" spans="1:8" ht="14">
      <c r="A134" s="712" t="s">
        <v>583</v>
      </c>
      <c r="B134" s="790" t="s">
        <v>915</v>
      </c>
      <c r="C134" s="790">
        <v>-3337244</v>
      </c>
      <c r="D134" s="790">
        <v>-3337244</v>
      </c>
      <c r="E134" s="790"/>
      <c r="F134" s="790"/>
      <c r="G134" s="790"/>
      <c r="H134" s="791" t="s">
        <v>946</v>
      </c>
    </row>
    <row r="135" spans="1:12" ht="14">
      <c r="A135" s="712" t="s">
        <v>584</v>
      </c>
      <c r="B135" s="790" t="s">
        <v>904</v>
      </c>
      <c r="C135" s="790">
        <v>-848268</v>
      </c>
      <c r="D135" s="790">
        <v>-848268</v>
      </c>
      <c r="E135" s="790"/>
      <c r="F135" s="790"/>
      <c r="G135" s="790"/>
      <c r="H135" s="791" t="s">
        <v>946</v>
      </c>
      <c r="L135" s="746"/>
    </row>
    <row r="136" spans="1:12" ht="14">
      <c r="A136" s="712" t="s">
        <v>585</v>
      </c>
      <c r="B136" s="790" t="s">
        <v>916</v>
      </c>
      <c r="C136" s="790">
        <v>-321464</v>
      </c>
      <c r="D136" s="790"/>
      <c r="E136" s="790"/>
      <c r="F136" s="790">
        <v>-321464</v>
      </c>
      <c r="G136" s="790"/>
      <c r="H136" s="791" t="s">
        <v>953</v>
      </c>
      <c r="L136" s="746"/>
    </row>
    <row r="137" spans="1:8" ht="14">
      <c r="A137" s="747" t="s">
        <v>586</v>
      </c>
      <c r="B137" s="790" t="s">
        <v>905</v>
      </c>
      <c r="C137" s="790">
        <v>-417587</v>
      </c>
      <c r="D137" s="790">
        <v>-417587</v>
      </c>
      <c r="E137" s="790"/>
      <c r="F137" s="790"/>
      <c r="G137" s="790"/>
      <c r="H137" s="791" t="s">
        <v>946</v>
      </c>
    </row>
    <row r="138" spans="1:8" ht="14">
      <c r="A138" s="747" t="s">
        <v>587</v>
      </c>
      <c r="B138" s="790" t="s">
        <v>906</v>
      </c>
      <c r="C138" s="790">
        <v>-1350453</v>
      </c>
      <c r="D138" s="790">
        <v>-1350453</v>
      </c>
      <c r="E138" s="790"/>
      <c r="F138" s="790"/>
      <c r="G138" s="790"/>
      <c r="H138" s="791" t="s">
        <v>946</v>
      </c>
    </row>
    <row r="139" spans="1:8" ht="14">
      <c r="A139" s="747" t="s">
        <v>588</v>
      </c>
      <c r="B139" s="790" t="s">
        <v>907</v>
      </c>
      <c r="C139" s="790">
        <v>-68443</v>
      </c>
      <c r="D139" s="790">
        <v>-68443</v>
      </c>
      <c r="E139" s="790"/>
      <c r="F139" s="790"/>
      <c r="G139" s="790"/>
      <c r="H139" s="791" t="s">
        <v>946</v>
      </c>
    </row>
    <row r="140" spans="1:8" ht="14.25" customHeight="1">
      <c r="A140" s="747" t="s">
        <v>589</v>
      </c>
      <c r="B140" s="790" t="s">
        <v>908</v>
      </c>
      <c r="C140" s="790">
        <v>-415762</v>
      </c>
      <c r="D140" s="790">
        <v>-415762</v>
      </c>
      <c r="E140" s="790"/>
      <c r="F140" s="790"/>
      <c r="G140" s="790"/>
      <c r="H140" s="791" t="s">
        <v>946</v>
      </c>
    </row>
    <row r="141" spans="1:8" ht="14">
      <c r="A141" s="747" t="s">
        <v>590</v>
      </c>
      <c r="B141" s="790" t="s">
        <v>954</v>
      </c>
      <c r="C141" s="790">
        <v>-203599.37256033</v>
      </c>
      <c r="D141" s="790">
        <v>-203599.37256033</v>
      </c>
      <c r="E141" s="790"/>
      <c r="F141" s="790"/>
      <c r="G141" s="790"/>
      <c r="H141" s="791" t="s">
        <v>946</v>
      </c>
    </row>
    <row r="142" spans="1:8" ht="14">
      <c r="A142" s="747" t="s">
        <v>591</v>
      </c>
      <c r="B142" s="790" t="s">
        <v>955</v>
      </c>
      <c r="C142" s="790">
        <v>-385014</v>
      </c>
      <c r="D142" s="790">
        <v>-385014</v>
      </c>
      <c r="E142" s="790"/>
      <c r="F142" s="790"/>
      <c r="G142" s="790"/>
      <c r="H142" s="791" t="s">
        <v>946</v>
      </c>
    </row>
    <row r="143" spans="1:8" ht="14">
      <c r="A143" s="747" t="s">
        <v>592</v>
      </c>
      <c r="B143" s="790" t="s">
        <v>909</v>
      </c>
      <c r="C143" s="790">
        <v>-242518</v>
      </c>
      <c r="D143" s="790"/>
      <c r="E143" s="790"/>
      <c r="F143" s="790"/>
      <c r="G143" s="790">
        <v>-242518</v>
      </c>
      <c r="H143" s="818" t="s">
        <v>956</v>
      </c>
    </row>
    <row r="144" spans="1:8" ht="14">
      <c r="A144" s="747" t="s">
        <v>593</v>
      </c>
      <c r="B144" s="790" t="s">
        <v>957</v>
      </c>
      <c r="C144" s="790">
        <v>-575647</v>
      </c>
      <c r="D144" s="790">
        <v>-575647</v>
      </c>
      <c r="E144" s="790"/>
      <c r="F144" s="790"/>
      <c r="G144" s="790"/>
      <c r="H144" s="818" t="s">
        <v>879</v>
      </c>
    </row>
    <row r="145" spans="1:8" ht="14">
      <c r="A145" s="747" t="s">
        <v>594</v>
      </c>
      <c r="B145" s="790" t="s">
        <v>958</v>
      </c>
      <c r="C145" s="790">
        <v>0</v>
      </c>
      <c r="D145" s="790"/>
      <c r="E145" s="790"/>
      <c r="F145" s="790"/>
      <c r="G145" s="790"/>
      <c r="H145" s="791">
        <v>0</v>
      </c>
    </row>
    <row r="146" spans="1:8" ht="28">
      <c r="A146" s="747" t="s">
        <v>595</v>
      </c>
      <c r="B146" s="790" t="s">
        <v>959</v>
      </c>
      <c r="C146" s="790">
        <v>-111361.24659113595</v>
      </c>
      <c r="D146" s="790"/>
      <c r="E146" s="790"/>
      <c r="F146" s="790">
        <v>-111361.24659113595</v>
      </c>
      <c r="G146" s="790"/>
      <c r="H146" s="791" t="s">
        <v>960</v>
      </c>
    </row>
    <row r="147" spans="1:8" ht="14">
      <c r="A147" s="747" t="s">
        <v>596</v>
      </c>
      <c r="B147" s="790" t="s">
        <v>961</v>
      </c>
      <c r="C147" s="790">
        <v>-1595004.7078475345</v>
      </c>
      <c r="D147" s="790">
        <v>-1595004.7078475345</v>
      </c>
      <c r="E147" s="790"/>
      <c r="F147" s="790"/>
      <c r="G147" s="790">
        <v>0</v>
      </c>
      <c r="H147" s="791" t="s">
        <v>962</v>
      </c>
    </row>
    <row r="148" spans="1:8" ht="14">
      <c r="A148" s="747" t="s">
        <v>597</v>
      </c>
      <c r="B148" s="790" t="s">
        <v>963</v>
      </c>
      <c r="C148" s="790">
        <v>-3337244.1602963097</v>
      </c>
      <c r="D148" s="790">
        <v>-3337244.1602963097</v>
      </c>
      <c r="E148" s="790"/>
      <c r="F148" s="790"/>
      <c r="G148" s="790"/>
      <c r="H148" s="791" t="s">
        <v>946</v>
      </c>
    </row>
    <row r="149" spans="1:8" ht="14">
      <c r="A149" s="747" t="s">
        <v>598</v>
      </c>
      <c r="B149" s="790" t="s">
        <v>1250</v>
      </c>
      <c r="C149" s="790">
        <v>-0.011556840035989269</v>
      </c>
      <c r="D149" s="790">
        <v>-0.011556840035989269</v>
      </c>
      <c r="E149" s="790"/>
      <c r="F149" s="790"/>
      <c r="G149" s="790"/>
      <c r="H149" s="791" t="s">
        <v>946</v>
      </c>
    </row>
    <row r="150" spans="1:8" ht="14">
      <c r="A150" s="747" t="s">
        <v>599</v>
      </c>
      <c r="B150" s="790" t="s">
        <v>1251</v>
      </c>
      <c r="C150" s="790">
        <v>-1567342.1078519998</v>
      </c>
      <c r="D150" s="790">
        <v>-1567342.1078519998</v>
      </c>
      <c r="E150" s="790"/>
      <c r="F150" s="790"/>
      <c r="G150" s="790"/>
      <c r="H150" s="791" t="s">
        <v>946</v>
      </c>
    </row>
    <row r="151" spans="1:8" ht="14">
      <c r="A151" s="747" t="s">
        <v>600</v>
      </c>
      <c r="B151" s="790" t="s">
        <v>887</v>
      </c>
      <c r="C151" s="790">
        <v>-205033.817364444</v>
      </c>
      <c r="D151" s="790"/>
      <c r="E151" s="790"/>
      <c r="F151" s="790"/>
      <c r="G151" s="790">
        <v>-205033.817364444</v>
      </c>
      <c r="H151" s="791" t="s">
        <v>932</v>
      </c>
    </row>
    <row r="152" spans="1:8" ht="28">
      <c r="A152" s="747" t="s">
        <v>601</v>
      </c>
      <c r="B152" s="790" t="s">
        <v>1252</v>
      </c>
      <c r="C152" s="790">
        <v>-0.0028892099984864326</v>
      </c>
      <c r="D152" s="790">
        <v>0</v>
      </c>
      <c r="E152" s="790"/>
      <c r="F152" s="790">
        <v>0</v>
      </c>
      <c r="G152" s="790"/>
      <c r="H152" s="791" t="s">
        <v>965</v>
      </c>
    </row>
    <row r="153" spans="1:8" ht="14">
      <c r="A153" s="747" t="s">
        <v>602</v>
      </c>
      <c r="B153" s="790" t="s">
        <v>964</v>
      </c>
      <c r="C153" s="790">
        <v>0</v>
      </c>
      <c r="D153" s="790">
        <v>0</v>
      </c>
      <c r="E153" s="790"/>
      <c r="F153" s="790"/>
      <c r="G153" s="790"/>
      <c r="H153" s="791" t="s">
        <v>946</v>
      </c>
    </row>
    <row r="154" spans="1:8" ht="28">
      <c r="A154" s="747" t="s">
        <v>603</v>
      </c>
      <c r="B154" s="790" t="s">
        <v>966</v>
      </c>
      <c r="C154" s="790">
        <v>-0.011556840001303349</v>
      </c>
      <c r="D154" s="790"/>
      <c r="E154" s="790"/>
      <c r="F154" s="790"/>
      <c r="G154" s="790">
        <v>-0.011556840001303349</v>
      </c>
      <c r="H154" s="791" t="s">
        <v>1404</v>
      </c>
    </row>
    <row r="155" spans="1:8" ht="14">
      <c r="A155" s="747" t="s">
        <v>604</v>
      </c>
      <c r="B155" s="790" t="s">
        <v>893</v>
      </c>
      <c r="C155" s="790">
        <v>237902.43851464428</v>
      </c>
      <c r="D155" s="790">
        <v>237902.43851464428</v>
      </c>
      <c r="E155" s="790"/>
      <c r="F155" s="790"/>
      <c r="G155" s="790"/>
      <c r="H155" s="791" t="s">
        <v>967</v>
      </c>
    </row>
    <row r="156" spans="1:8" ht="28">
      <c r="A156" s="747" t="s">
        <v>605</v>
      </c>
      <c r="B156" s="790" t="s">
        <v>912</v>
      </c>
      <c r="C156" s="790">
        <v>-92669768</v>
      </c>
      <c r="D156" s="790"/>
      <c r="E156" s="790"/>
      <c r="F156" s="790"/>
      <c r="G156" s="790">
        <v>-92669768</v>
      </c>
      <c r="H156" s="791" t="s">
        <v>943</v>
      </c>
    </row>
    <row r="157" spans="1:8" ht="14">
      <c r="A157" s="747" t="s">
        <v>606</v>
      </c>
      <c r="B157" s="790" t="s">
        <v>1253</v>
      </c>
      <c r="C157" s="790">
        <v>-7896920</v>
      </c>
      <c r="D157" s="790">
        <v>-7896920</v>
      </c>
      <c r="E157" s="790"/>
      <c r="F157" s="790"/>
      <c r="G157" s="790"/>
      <c r="H157" s="791" t="s">
        <v>1254</v>
      </c>
    </row>
    <row r="158" spans="1:8" ht="14">
      <c r="A158" s="747" t="s">
        <v>607</v>
      </c>
      <c r="B158" s="790" t="s">
        <v>917</v>
      </c>
      <c r="C158" s="790">
        <v>-3278057</v>
      </c>
      <c r="D158" s="790"/>
      <c r="E158" s="790"/>
      <c r="F158" s="790">
        <v>-3278057</v>
      </c>
      <c r="G158" s="790"/>
      <c r="H158" s="791" t="s">
        <v>968</v>
      </c>
    </row>
    <row r="159" spans="1:8" ht="14.5">
      <c r="A159" s="747" t="s">
        <v>608</v>
      </c>
      <c r="B159" s="1034" t="s">
        <v>1611</v>
      </c>
      <c r="C159" s="790">
        <v>-5001186</v>
      </c>
      <c r="D159" s="790">
        <v>-5001186</v>
      </c>
      <c r="E159" s="790"/>
      <c r="F159" s="790"/>
      <c r="G159" s="790"/>
      <c r="H159" s="791"/>
    </row>
    <row r="160" spans="1:8" ht="14">
      <c r="A160" s="747" t="s">
        <v>609</v>
      </c>
      <c r="B160" s="790"/>
      <c r="C160" s="790"/>
      <c r="D160" s="790"/>
      <c r="E160" s="790"/>
      <c r="F160" s="790"/>
      <c r="G160" s="790"/>
      <c r="H160" s="819"/>
    </row>
    <row r="161" spans="1:8" ht="14" hidden="1">
      <c r="A161" s="747" t="s">
        <v>610</v>
      </c>
      <c r="B161" s="820"/>
      <c r="C161" s="790"/>
      <c r="D161" s="790"/>
      <c r="E161" s="790"/>
      <c r="F161" s="790"/>
      <c r="G161" s="790"/>
      <c r="H161" s="791"/>
    </row>
    <row r="162" spans="1:8" ht="14" hidden="1">
      <c r="A162" s="747" t="s">
        <v>611</v>
      </c>
      <c r="B162" s="820"/>
      <c r="C162" s="790"/>
      <c r="D162" s="790"/>
      <c r="E162" s="790"/>
      <c r="F162" s="790"/>
      <c r="G162" s="790"/>
      <c r="H162" s="821"/>
    </row>
    <row r="163" spans="1:8" ht="14" hidden="1">
      <c r="A163" s="747" t="s">
        <v>612</v>
      </c>
      <c r="B163" s="820"/>
      <c r="C163" s="790"/>
      <c r="D163" s="790"/>
      <c r="E163" s="790"/>
      <c r="F163" s="790"/>
      <c r="G163" s="790"/>
      <c r="H163" s="791"/>
    </row>
    <row r="164" spans="1:8" ht="14" hidden="1">
      <c r="A164" s="747" t="s">
        <v>613</v>
      </c>
      <c r="B164" s="822"/>
      <c r="C164" s="790"/>
      <c r="D164" s="790"/>
      <c r="E164" s="790"/>
      <c r="F164" s="790"/>
      <c r="G164" s="790"/>
      <c r="H164" s="823"/>
    </row>
    <row r="165" spans="1:8" ht="14" hidden="1">
      <c r="A165" s="712" t="s">
        <v>614</v>
      </c>
      <c r="B165" s="824"/>
      <c r="C165" s="790"/>
      <c r="D165" s="790"/>
      <c r="E165" s="790"/>
      <c r="F165" s="790"/>
      <c r="G165" s="790"/>
      <c r="H165" s="825"/>
    </row>
    <row r="166" spans="1:8" ht="14" hidden="1">
      <c r="A166" s="712" t="s">
        <v>615</v>
      </c>
      <c r="B166" s="824"/>
      <c r="C166" s="790"/>
      <c r="D166" s="790"/>
      <c r="E166" s="790"/>
      <c r="F166" s="790"/>
      <c r="G166" s="790"/>
      <c r="H166" s="823"/>
    </row>
    <row r="167" spans="1:8" ht="14">
      <c r="A167" s="747" t="s">
        <v>615</v>
      </c>
      <c r="B167" s="824"/>
      <c r="C167" s="790"/>
      <c r="D167" s="790"/>
      <c r="E167" s="790"/>
      <c r="F167" s="790"/>
      <c r="G167" s="790"/>
      <c r="H167" s="819"/>
    </row>
    <row r="168" spans="1:10" ht="14">
      <c r="A168" s="712">
        <v>26</v>
      </c>
      <c r="B168" s="793" t="s">
        <v>1061</v>
      </c>
      <c r="C168" s="826">
        <f>SUM(C134:C167)</f>
        <v>-123590014</v>
      </c>
      <c r="D168" s="826">
        <f>SUM(D134:D167)</f>
        <v>-26761811.921598367</v>
      </c>
      <c r="E168" s="826">
        <f>SUM(E131:E167)</f>
        <v>0</v>
      </c>
      <c r="F168" s="826">
        <f>SUM(F131:F167)</f>
        <v>-3710882.2465911359</v>
      </c>
      <c r="G168" s="826">
        <f>SUM(G131:G167)</f>
        <v>-93117319.828921288</v>
      </c>
      <c r="H168" s="827"/>
      <c r="J168" s="761"/>
    </row>
    <row r="169" spans="1:8" ht="14">
      <c r="A169" s="712">
        <v>27</v>
      </c>
      <c r="B169" s="793" t="s">
        <v>563</v>
      </c>
      <c r="C169" s="796">
        <f>SUM(D169:G169)</f>
        <v>15566921.682643324</v>
      </c>
      <c r="D169" s="796">
        <v>-1984445.7999999998</v>
      </c>
      <c r="E169" s="828"/>
      <c r="F169" s="796">
        <v>1871051.80</v>
      </c>
      <c r="G169" s="796">
        <f>13311852.3008-'9 - EDIT'!P46/'9 - EDIT'!C33</f>
        <v>15680315.682643324</v>
      </c>
      <c r="H169" s="753"/>
    </row>
    <row r="170" spans="1:8" ht="14">
      <c r="A170" s="712">
        <v>28</v>
      </c>
      <c r="B170" s="793" t="s">
        <v>564</v>
      </c>
      <c r="C170" s="796"/>
      <c r="D170" s="828"/>
      <c r="E170" s="828"/>
      <c r="F170" s="828"/>
      <c r="G170" s="828"/>
      <c r="H170" s="819"/>
    </row>
    <row r="171" spans="1:8" ht="14">
      <c r="A171" s="747">
        <v>29</v>
      </c>
      <c r="B171" s="793" t="s">
        <v>13</v>
      </c>
      <c r="C171" s="826">
        <f>C168-C169-C170</f>
        <v>-139156935.68264332</v>
      </c>
      <c r="D171" s="826">
        <f>+D168-D169-D170</f>
        <v>-24777366.121598367</v>
      </c>
      <c r="E171" s="826">
        <f>+E168-E169-E170</f>
        <v>0</v>
      </c>
      <c r="F171" s="826">
        <f>+F168-F169-F170</f>
        <v>-5581934.0465911357</v>
      </c>
      <c r="G171" s="826">
        <f>+G168-G169-G170</f>
        <v>-108797635.51156461</v>
      </c>
      <c r="H171" s="827"/>
    </row>
    <row r="172" spans="1:8" ht="14.5" thickBot="1">
      <c r="A172" s="747"/>
      <c r="B172" s="762"/>
      <c r="C172" s="829"/>
      <c r="D172" s="829"/>
      <c r="E172" s="829"/>
      <c r="F172" s="829"/>
      <c r="G172" s="829"/>
      <c r="H172" s="830"/>
    </row>
    <row r="173" spans="1:2" ht="14">
      <c r="A173" s="747">
        <v>30</v>
      </c>
      <c r="B173" s="803" t="s">
        <v>616</v>
      </c>
    </row>
    <row r="174" spans="1:2" ht="14">
      <c r="A174" s="747">
        <v>31</v>
      </c>
      <c r="B174" s="771" t="s">
        <v>566</v>
      </c>
    </row>
    <row r="175" spans="1:3" ht="14">
      <c r="A175" s="747">
        <v>32</v>
      </c>
      <c r="B175" s="771" t="s">
        <v>567</v>
      </c>
      <c r="C175" s="732"/>
    </row>
    <row r="176" spans="1:2" ht="14">
      <c r="A176" s="747">
        <v>33</v>
      </c>
      <c r="B176" s="771" t="s">
        <v>568</v>
      </c>
    </row>
    <row r="177" spans="1:2" ht="14">
      <c r="A177" s="747">
        <v>34</v>
      </c>
      <c r="B177" s="771" t="s">
        <v>569</v>
      </c>
    </row>
    <row r="178" spans="1:2" ht="14">
      <c r="A178" s="747">
        <v>35</v>
      </c>
      <c r="B178" s="775" t="s">
        <v>570</v>
      </c>
    </row>
    <row r="179" spans="1:2" ht="14">
      <c r="A179" s="747">
        <v>36</v>
      </c>
      <c r="B179" s="776" t="s">
        <v>571</v>
      </c>
    </row>
    <row r="180" ht="14">
      <c r="A180" s="747"/>
    </row>
  </sheetData>
  <mergeCells count="4">
    <mergeCell ref="B1:H1"/>
    <mergeCell ref="B86:H86"/>
    <mergeCell ref="B122:H122"/>
    <mergeCell ref="B2:H2"/>
  </mergeCells>
  <pageMargins left="0.7" right="0.7" top="0.75" bottom="0.75" header="0.3" footer="0.3"/>
  <pageSetup fitToHeight="0" orientation="landscape" scale="40" r:id="rId1"/>
  <rowBreaks count="2" manualBreakCount="2">
    <brk id="85" max="255" man="1"/>
    <brk id="121" max="25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view="pageBreakPreview" zoomScale="60" zoomScaleNormal="60" workbookViewId="0" topLeftCell="A1"/>
  </sheetViews>
  <sheetFormatPr defaultColWidth="8.84375" defaultRowHeight="14"/>
  <cols>
    <col min="1" max="1" width="4.78571428571429" style="538" customWidth="1"/>
    <col min="2" max="2" width="45.7142857142857" style="538" customWidth="1"/>
    <col min="3" max="3" width="17.7142857142857" style="538" bestFit="1" customWidth="1"/>
    <col min="4" max="5" width="11.2142857142857" style="538" customWidth="1"/>
    <col min="6" max="6" width="15.0714285714286" style="538" customWidth="1"/>
    <col min="7" max="15" width="11.2142857142857" style="538" bestFit="1" customWidth="1"/>
    <col min="16" max="16" width="12.2142857142857" style="538" customWidth="1"/>
    <col min="17" max="17" width="10.4285714285714" style="538" bestFit="1" customWidth="1"/>
    <col min="18" max="18" width="11.2142857142857" style="538" bestFit="1" customWidth="1"/>
    <col min="19" max="19" width="13.4285714285714" style="538" bestFit="1" customWidth="1"/>
    <col min="20" max="20" width="12" style="538" bestFit="1" customWidth="1"/>
    <col min="21" max="16384" width="8.85714285714286" style="538"/>
  </cols>
  <sheetData>
    <row r="1" spans="2:7" ht="14">
      <c r="B1" s="1082" t="str">
        <f>+'Attachment H-7'!D177</f>
        <v>PECO Energy Company</v>
      </c>
      <c r="C1" s="1082"/>
      <c r="D1" s="1082"/>
      <c r="E1" s="1082"/>
      <c r="F1" s="1082"/>
      <c r="G1" s="1082"/>
    </row>
    <row r="2" spans="2:20" ht="14">
      <c r="B2" s="1084"/>
      <c r="C2" s="1084"/>
      <c r="D2" s="1084"/>
      <c r="E2" s="1084"/>
      <c r="F2" s="1084"/>
      <c r="G2" s="1084"/>
      <c r="H2" s="1084"/>
      <c r="T2" s="538" t="s">
        <v>422</v>
      </c>
    </row>
    <row r="3" spans="2:7" ht="14">
      <c r="B3" s="1083" t="s">
        <v>652</v>
      </c>
      <c r="C3" s="1083"/>
      <c r="D3" s="1083"/>
      <c r="E3" s="1083"/>
      <c r="F3" s="1083"/>
      <c r="G3" s="1083"/>
    </row>
    <row r="5" spans="2:7" ht="14">
      <c r="B5" s="400" t="s">
        <v>684</v>
      </c>
      <c r="C5" s="400"/>
      <c r="D5" s="400"/>
      <c r="E5" s="400"/>
      <c r="F5" s="400"/>
      <c r="G5" s="400"/>
    </row>
    <row r="6" spans="2:20" ht="14">
      <c r="B6" s="396" t="s">
        <v>198</v>
      </c>
      <c r="C6" s="396" t="s">
        <v>199</v>
      </c>
      <c r="D6" s="396" t="s">
        <v>200</v>
      </c>
      <c r="E6" s="396" t="s">
        <v>201</v>
      </c>
      <c r="F6" s="396" t="s">
        <v>203</v>
      </c>
      <c r="G6" s="396" t="s">
        <v>202</v>
      </c>
      <c r="H6" s="396" t="s">
        <v>204</v>
      </c>
      <c r="I6" s="396" t="s">
        <v>205</v>
      </c>
      <c r="J6" s="396" t="s">
        <v>206</v>
      </c>
      <c r="K6" s="396" t="s">
        <v>244</v>
      </c>
      <c r="L6" s="396" t="s">
        <v>248</v>
      </c>
      <c r="M6" s="396" t="s">
        <v>453</v>
      </c>
      <c r="N6" s="396" t="s">
        <v>779</v>
      </c>
      <c r="O6" s="396" t="s">
        <v>780</v>
      </c>
      <c r="P6" s="396" t="s">
        <v>781</v>
      </c>
      <c r="Q6" s="396" t="s">
        <v>782</v>
      </c>
      <c r="R6" s="396" t="s">
        <v>783</v>
      </c>
      <c r="S6" s="396" t="s">
        <v>784</v>
      </c>
      <c r="T6" s="396" t="s">
        <v>787</v>
      </c>
    </row>
    <row r="7" spans="2:20" ht="14">
      <c r="B7" s="398" t="s">
        <v>775</v>
      </c>
      <c r="C7" s="401" t="s">
        <v>195</v>
      </c>
      <c r="D7" s="396" t="s">
        <v>84</v>
      </c>
      <c r="E7" s="396" t="s">
        <v>83</v>
      </c>
      <c r="F7" s="396" t="s">
        <v>82</v>
      </c>
      <c r="G7" s="396" t="s">
        <v>74</v>
      </c>
      <c r="H7" s="396" t="s">
        <v>73</v>
      </c>
      <c r="I7" s="396" t="s">
        <v>93</v>
      </c>
      <c r="J7" s="396" t="s">
        <v>81</v>
      </c>
      <c r="K7" s="396" t="s">
        <v>80</v>
      </c>
      <c r="L7" s="396" t="s">
        <v>79</v>
      </c>
      <c r="M7" s="396" t="s">
        <v>85</v>
      </c>
      <c r="N7" s="396" t="s">
        <v>78</v>
      </c>
      <c r="O7" s="396" t="s">
        <v>77</v>
      </c>
      <c r="P7" s="396" t="s">
        <v>481</v>
      </c>
      <c r="Q7" s="538" t="s">
        <v>17</v>
      </c>
      <c r="R7" s="538" t="s">
        <v>778</v>
      </c>
      <c r="S7" s="538" t="s">
        <v>685</v>
      </c>
      <c r="T7" s="612" t="s">
        <v>13</v>
      </c>
    </row>
    <row r="8" spans="2:20" ht="14">
      <c r="B8" s="398"/>
      <c r="C8" s="401"/>
      <c r="D8" s="396"/>
      <c r="E8" s="396"/>
      <c r="F8" s="396"/>
      <c r="G8" s="396"/>
      <c r="H8" s="396"/>
      <c r="I8" s="396"/>
      <c r="J8" s="396"/>
      <c r="K8" s="396"/>
      <c r="L8" s="396"/>
      <c r="M8" s="396"/>
      <c r="N8" s="396"/>
      <c r="O8" s="396"/>
      <c r="P8" s="405" t="s">
        <v>788</v>
      </c>
      <c r="T8" s="406" t="s">
        <v>1158</v>
      </c>
    </row>
    <row r="9" spans="1:20" ht="14">
      <c r="A9" s="402">
        <v>1</v>
      </c>
      <c r="B9" s="563" t="s">
        <v>1538</v>
      </c>
      <c r="C9" s="551">
        <v>18519044.990000002</v>
      </c>
      <c r="D9" s="551">
        <v>21569069.004372004</v>
      </c>
      <c r="E9" s="551">
        <v>22858712.014372006</v>
      </c>
      <c r="F9" s="551">
        <v>24239887.564372007</v>
      </c>
      <c r="G9" s="551">
        <v>25759412.074372005</v>
      </c>
      <c r="H9" s="551">
        <v>30718906.044372004</v>
      </c>
      <c r="I9" s="551">
        <v>32356636.814372003</v>
      </c>
      <c r="J9" s="551">
        <v>34122090.914372005</v>
      </c>
      <c r="K9" s="551">
        <v>35983458.944372006</v>
      </c>
      <c r="L9" s="551">
        <v>37770081.144372009</v>
      </c>
      <c r="M9" s="551">
        <v>39503867.904372007</v>
      </c>
      <c r="N9" s="551">
        <v>41010442.684372008</v>
      </c>
      <c r="O9" s="551">
        <v>42505508.100351408</v>
      </c>
      <c r="P9" s="539">
        <f>AVERAGE(C9:O9)</f>
        <v>31301316.784495648</v>
      </c>
      <c r="Q9" s="539"/>
      <c r="R9" s="539"/>
      <c r="S9" s="539">
        <f>P9</f>
        <v>31301316.784495648</v>
      </c>
      <c r="T9" s="539">
        <f>SUM(Q9:S9)</f>
        <v>31301316.784495648</v>
      </c>
    </row>
    <row r="10" spans="1:20" ht="14">
      <c r="A10" s="402">
        <f>A9+1</f>
        <v>2</v>
      </c>
      <c r="B10" s="563" t="s">
        <v>776</v>
      </c>
      <c r="C10" s="551">
        <v>11596262.390000001</v>
      </c>
      <c r="D10" s="551">
        <v>11596262.390000001</v>
      </c>
      <c r="E10" s="551">
        <v>11596262.390000001</v>
      </c>
      <c r="F10" s="551">
        <v>11596262.390000001</v>
      </c>
      <c r="G10" s="551">
        <v>11596262.390000001</v>
      </c>
      <c r="H10" s="551">
        <v>11596262.390000001</v>
      </c>
      <c r="I10" s="551">
        <v>11596262.390000001</v>
      </c>
      <c r="J10" s="551">
        <v>11596262.390000001</v>
      </c>
      <c r="K10" s="551">
        <v>11596262.390000001</v>
      </c>
      <c r="L10" s="551">
        <v>11596262.390000001</v>
      </c>
      <c r="M10" s="551">
        <v>11596262.390000001</v>
      </c>
      <c r="N10" s="551">
        <v>11596262.390000001</v>
      </c>
      <c r="O10" s="551">
        <v>11596262.390000001</v>
      </c>
      <c r="P10" s="539">
        <f t="shared" si="0" ref="P10:P15">AVERAGE(C10:O10)</f>
        <v>11596262.389999999</v>
      </c>
      <c r="Q10" s="539">
        <f>P10</f>
        <v>11596262.389999999</v>
      </c>
      <c r="R10" s="539"/>
      <c r="S10" s="539"/>
      <c r="T10" s="539">
        <f t="shared" si="1" ref="T10:T27">SUM(Q10:S10)</f>
        <v>11596262.389999999</v>
      </c>
    </row>
    <row r="11" spans="1:20" ht="14">
      <c r="A11" s="402">
        <f t="shared" si="2" ref="A11:A29">A10+1</f>
        <v>3</v>
      </c>
      <c r="B11" s="563" t="s">
        <v>777</v>
      </c>
      <c r="C11" s="551">
        <v>2369414.71</v>
      </c>
      <c r="D11" s="551">
        <v>2369414.71</v>
      </c>
      <c r="E11" s="551">
        <v>2369414.71</v>
      </c>
      <c r="F11" s="551">
        <v>2369414.71</v>
      </c>
      <c r="G11" s="551">
        <v>2369414.71</v>
      </c>
      <c r="H11" s="551">
        <v>2369414.71</v>
      </c>
      <c r="I11" s="551">
        <v>2369414.71</v>
      </c>
      <c r="J11" s="551">
        <v>2369414.71</v>
      </c>
      <c r="K11" s="551">
        <v>2369414.71</v>
      </c>
      <c r="L11" s="551">
        <v>2369414.71</v>
      </c>
      <c r="M11" s="551">
        <v>2369414.71</v>
      </c>
      <c r="N11" s="551">
        <v>2369414.71</v>
      </c>
      <c r="O11" s="551">
        <v>2369414.71</v>
      </c>
      <c r="P11" s="539">
        <f t="shared" si="0"/>
        <v>2369414.7100000004</v>
      </c>
      <c r="Q11" s="539"/>
      <c r="R11" s="539">
        <f>P11</f>
        <v>2369414.7100000004</v>
      </c>
      <c r="S11" s="539"/>
      <c r="T11" s="539">
        <f t="shared" si="1"/>
        <v>2369414.7100000004</v>
      </c>
    </row>
    <row r="12" spans="1:20" ht="14">
      <c r="A12" s="402">
        <f t="shared" si="2"/>
        <v>4</v>
      </c>
      <c r="B12" s="563" t="s">
        <v>789</v>
      </c>
      <c r="C12" s="551">
        <v>2872703</v>
      </c>
      <c r="D12" s="551">
        <v>2872703</v>
      </c>
      <c r="E12" s="551">
        <v>2872703</v>
      </c>
      <c r="F12" s="551">
        <v>2872703</v>
      </c>
      <c r="G12" s="551">
        <v>2872703</v>
      </c>
      <c r="H12" s="551">
        <v>2872703</v>
      </c>
      <c r="I12" s="551">
        <v>2872703</v>
      </c>
      <c r="J12" s="551">
        <v>2872703</v>
      </c>
      <c r="K12" s="551">
        <v>2872703</v>
      </c>
      <c r="L12" s="551">
        <v>2872703</v>
      </c>
      <c r="M12" s="551">
        <v>2872703</v>
      </c>
      <c r="N12" s="551">
        <v>2872703</v>
      </c>
      <c r="O12" s="551">
        <v>2872703</v>
      </c>
      <c r="P12" s="539">
        <f t="shared" si="0"/>
        <v>2872703</v>
      </c>
      <c r="Q12" s="539"/>
      <c r="R12" s="539">
        <f>P12</f>
        <v>2872703</v>
      </c>
      <c r="S12" s="539"/>
      <c r="T12" s="539">
        <f t="shared" si="1"/>
        <v>2872703</v>
      </c>
    </row>
    <row r="13" spans="1:20" ht="14">
      <c r="A13" s="402">
        <f t="shared" si="2"/>
        <v>5</v>
      </c>
      <c r="B13" s="563" t="s">
        <v>1571</v>
      </c>
      <c r="C13" s="551">
        <v>16318757</v>
      </c>
      <c r="D13" s="551">
        <v>16705462.83</v>
      </c>
      <c r="E13" s="551">
        <v>17086061.800000001</v>
      </c>
      <c r="F13" s="551">
        <v>19044749.129999999</v>
      </c>
      <c r="G13" s="551">
        <v>19513109.890000001</v>
      </c>
      <c r="H13" s="551">
        <v>19969944.240000002</v>
      </c>
      <c r="I13" s="551">
        <v>20446162.020000003</v>
      </c>
      <c r="J13" s="551">
        <v>20953600.740000002</v>
      </c>
      <c r="K13" s="551">
        <v>21499676.350000001</v>
      </c>
      <c r="L13" s="551">
        <v>22047390.84</v>
      </c>
      <c r="M13" s="551">
        <v>22558397.030000001</v>
      </c>
      <c r="N13" s="551">
        <v>23010204.84</v>
      </c>
      <c r="O13" s="551">
        <v>23457156.949999999</v>
      </c>
      <c r="P13" s="539">
        <f t="shared" si="0"/>
        <v>20200821.050769232</v>
      </c>
      <c r="Q13" s="539"/>
      <c r="R13" s="539">
        <f>P13</f>
        <v>20200821.050769232</v>
      </c>
      <c r="S13" s="539"/>
      <c r="T13" s="539">
        <f t="shared" si="1"/>
        <v>20200821.050769232</v>
      </c>
    </row>
    <row r="14" spans="1:20" ht="14">
      <c r="A14" s="402">
        <f t="shared" si="2"/>
        <v>6</v>
      </c>
      <c r="B14" s="403" t="s">
        <v>818</v>
      </c>
      <c r="C14" s="551">
        <v>19607928.760000002</v>
      </c>
      <c r="D14" s="551">
        <v>19607928.760000002</v>
      </c>
      <c r="E14" s="551">
        <v>19607928.760000002</v>
      </c>
      <c r="F14" s="551">
        <v>19607928.760000002</v>
      </c>
      <c r="G14" s="551">
        <v>19607928.760000002</v>
      </c>
      <c r="H14" s="551">
        <v>19607928.760000002</v>
      </c>
      <c r="I14" s="551">
        <v>19607928.760000002</v>
      </c>
      <c r="J14" s="551">
        <v>19607928.760000002</v>
      </c>
      <c r="K14" s="551">
        <v>19607928.760000002</v>
      </c>
      <c r="L14" s="551">
        <v>19607928.760000002</v>
      </c>
      <c r="M14" s="551">
        <v>19607928.760000002</v>
      </c>
      <c r="N14" s="551">
        <v>19607928.760000002</v>
      </c>
      <c r="O14" s="551">
        <v>19607928.760000002</v>
      </c>
      <c r="P14" s="539">
        <f t="shared" si="0"/>
        <v>19607928.759999998</v>
      </c>
      <c r="Q14" s="539"/>
      <c r="R14" s="539">
        <f>P14</f>
        <v>19607928.759999998</v>
      </c>
      <c r="S14" s="539"/>
      <c r="T14" s="539">
        <f t="shared" si="1"/>
        <v>19607928.759999998</v>
      </c>
    </row>
    <row r="15" spans="1:20" ht="14">
      <c r="A15" s="402">
        <f t="shared" si="2"/>
        <v>7</v>
      </c>
      <c r="B15" s="563" t="s">
        <v>790</v>
      </c>
      <c r="C15" s="551">
        <v>86110083.590000004</v>
      </c>
      <c r="D15" s="551">
        <v>86110083.590000004</v>
      </c>
      <c r="E15" s="551">
        <v>86110083.590000004</v>
      </c>
      <c r="F15" s="551">
        <v>86110083.590000004</v>
      </c>
      <c r="G15" s="551">
        <v>86110083.590000004</v>
      </c>
      <c r="H15" s="551">
        <v>86110083.590000004</v>
      </c>
      <c r="I15" s="551">
        <v>86110083.590000004</v>
      </c>
      <c r="J15" s="551">
        <v>86110083.590000004</v>
      </c>
      <c r="K15" s="551">
        <v>86110083.590000004</v>
      </c>
      <c r="L15" s="551">
        <v>86110083.590000004</v>
      </c>
      <c r="M15" s="551">
        <v>86110083.590000004</v>
      </c>
      <c r="N15" s="551">
        <v>86110083.590000004</v>
      </c>
      <c r="O15" s="551">
        <v>86110083.590000004</v>
      </c>
      <c r="P15" s="539">
        <f t="shared" si="0"/>
        <v>86110083.590000018</v>
      </c>
      <c r="Q15" s="539"/>
      <c r="R15" s="539">
        <f>P15</f>
        <v>86110083.590000018</v>
      </c>
      <c r="S15" s="539"/>
      <c r="T15" s="539">
        <f t="shared" si="1"/>
        <v>86110083.590000018</v>
      </c>
    </row>
    <row r="16" spans="1:20" ht="14">
      <c r="A16" s="402">
        <f t="shared" si="2"/>
        <v>8</v>
      </c>
      <c r="B16" s="563" t="s">
        <v>1572</v>
      </c>
      <c r="C16" s="551">
        <v>5552297.3600000003</v>
      </c>
      <c r="D16" s="551">
        <v>5552297.3600000003</v>
      </c>
      <c r="E16" s="551">
        <v>5552297.3600000003</v>
      </c>
      <c r="F16" s="551">
        <v>5552297.3600000003</v>
      </c>
      <c r="G16" s="551">
        <v>5552297.3600000003</v>
      </c>
      <c r="H16" s="551">
        <v>5552297.3600000003</v>
      </c>
      <c r="I16" s="551">
        <v>5552297.3600000003</v>
      </c>
      <c r="J16" s="551">
        <v>5552297.3600000003</v>
      </c>
      <c r="K16" s="551">
        <v>5552297.3600000003</v>
      </c>
      <c r="L16" s="551">
        <v>5552297.3600000003</v>
      </c>
      <c r="M16" s="551">
        <v>5552297.3600000003</v>
      </c>
      <c r="N16" s="551">
        <v>5552297.3600000003</v>
      </c>
      <c r="O16" s="551">
        <v>5552297.3600000003</v>
      </c>
      <c r="P16" s="539">
        <f t="shared" si="3" ref="P16:P17">AVERAGE(C16:O16)</f>
        <v>5552297.3600000003</v>
      </c>
      <c r="Q16" s="539">
        <f>P16</f>
        <v>5552297.3600000003</v>
      </c>
      <c r="R16" s="539"/>
      <c r="S16" s="539"/>
      <c r="T16" s="539">
        <f t="shared" si="4" ref="T16">SUM(Q16:S16)</f>
        <v>5552297.3600000003</v>
      </c>
    </row>
    <row r="17" spans="1:20" ht="14">
      <c r="A17" s="402">
        <f t="shared" si="2"/>
        <v>9</v>
      </c>
      <c r="B17" s="563" t="s">
        <v>1610</v>
      </c>
      <c r="C17" s="551">
        <v>0</v>
      </c>
      <c r="D17" s="551">
        <v>88459.213440000007</v>
      </c>
      <c r="E17" s="551">
        <v>175342.19468800002</v>
      </c>
      <c r="F17" s="551">
        <v>269845.57312000002</v>
      </c>
      <c r="G17" s="551">
        <v>375652.64780799998</v>
      </c>
      <c r="H17" s="551">
        <v>478831.04998399998</v>
      </c>
      <c r="I17" s="551">
        <v>586371.53190399997</v>
      </c>
      <c r="J17" s="551">
        <v>700947.74796800001</v>
      </c>
      <c r="K17" s="551">
        <v>824275.70137600007</v>
      </c>
      <c r="L17" s="551">
        <v>948031.63468800008</v>
      </c>
      <c r="M17" s="551">
        <v>1063445.165056</v>
      </c>
      <c r="N17" s="551">
        <v>1165507.3511679999</v>
      </c>
      <c r="O17" s="551">
        <v>1266470.0928</v>
      </c>
      <c r="P17" s="539">
        <f t="shared" si="3"/>
        <v>611013.83876923076</v>
      </c>
      <c r="Q17" s="539"/>
      <c r="R17" s="539">
        <f>P17</f>
        <v>611013.83876923076</v>
      </c>
      <c r="S17" s="539"/>
      <c r="T17" s="539">
        <f t="shared" si="1"/>
        <v>611013.83876923076</v>
      </c>
    </row>
    <row r="18" spans="1:20" ht="14">
      <c r="A18" s="402">
        <f t="shared" si="2"/>
        <v>10</v>
      </c>
      <c r="B18" s="399"/>
      <c r="C18" s="399"/>
      <c r="D18" s="399"/>
      <c r="E18" s="399"/>
      <c r="F18" s="399"/>
      <c r="G18" s="399"/>
      <c r="H18" s="399"/>
      <c r="I18" s="403"/>
      <c r="J18" s="403"/>
      <c r="K18" s="403"/>
      <c r="L18" s="403"/>
      <c r="M18" s="403"/>
      <c r="N18" s="403"/>
      <c r="O18" s="403"/>
      <c r="P18" s="539"/>
      <c r="Q18" s="539"/>
      <c r="R18" s="539"/>
      <c r="S18" s="539"/>
      <c r="T18" s="539">
        <f t="shared" si="1"/>
        <v>0</v>
      </c>
    </row>
    <row r="19" spans="1:20" ht="14">
      <c r="A19" s="402">
        <f t="shared" si="2"/>
        <v>11</v>
      </c>
      <c r="B19" s="399"/>
      <c r="C19" s="399"/>
      <c r="D19" s="399"/>
      <c r="E19" s="399"/>
      <c r="F19" s="399"/>
      <c r="G19" s="399"/>
      <c r="H19" s="399"/>
      <c r="I19" s="403"/>
      <c r="J19" s="403"/>
      <c r="K19" s="403"/>
      <c r="L19" s="403"/>
      <c r="M19" s="403"/>
      <c r="N19" s="403"/>
      <c r="O19" s="403"/>
      <c r="P19" s="539"/>
      <c r="Q19" s="539"/>
      <c r="R19" s="539"/>
      <c r="S19" s="539"/>
      <c r="T19" s="539">
        <f t="shared" si="1"/>
        <v>0</v>
      </c>
    </row>
    <row r="20" spans="1:20" ht="14">
      <c r="A20" s="402">
        <f t="shared" si="2"/>
        <v>12</v>
      </c>
      <c r="B20" s="399"/>
      <c r="C20" s="399"/>
      <c r="D20" s="399"/>
      <c r="E20" s="399"/>
      <c r="F20" s="399"/>
      <c r="G20" s="399"/>
      <c r="H20" s="399"/>
      <c r="I20" s="403"/>
      <c r="J20" s="403"/>
      <c r="K20" s="403"/>
      <c r="L20" s="403"/>
      <c r="M20" s="403"/>
      <c r="N20" s="403"/>
      <c r="O20" s="403"/>
      <c r="P20" s="539"/>
      <c r="Q20" s="539"/>
      <c r="R20" s="539"/>
      <c r="S20" s="539"/>
      <c r="T20" s="539">
        <f t="shared" si="1"/>
        <v>0</v>
      </c>
    </row>
    <row r="21" spans="1:20" ht="14">
      <c r="A21" s="402">
        <f t="shared" si="2"/>
        <v>13</v>
      </c>
      <c r="B21" s="399"/>
      <c r="C21" s="399"/>
      <c r="D21" s="399"/>
      <c r="E21" s="399"/>
      <c r="F21" s="399"/>
      <c r="G21" s="399"/>
      <c r="H21" s="399"/>
      <c r="I21" s="403"/>
      <c r="J21" s="403"/>
      <c r="K21" s="403"/>
      <c r="L21" s="403"/>
      <c r="M21" s="403"/>
      <c r="N21" s="403"/>
      <c r="O21" s="403"/>
      <c r="P21" s="539"/>
      <c r="Q21" s="539"/>
      <c r="R21" s="539"/>
      <c r="S21" s="539"/>
      <c r="T21" s="539">
        <f t="shared" si="1"/>
        <v>0</v>
      </c>
    </row>
    <row r="22" spans="1:20" ht="14">
      <c r="A22" s="402">
        <f t="shared" si="2"/>
        <v>14</v>
      </c>
      <c r="B22" s="403"/>
      <c r="C22" s="403"/>
      <c r="D22" s="403"/>
      <c r="E22" s="403"/>
      <c r="F22" s="403"/>
      <c r="G22" s="403"/>
      <c r="H22" s="403"/>
      <c r="I22" s="403"/>
      <c r="J22" s="403"/>
      <c r="K22" s="403"/>
      <c r="L22" s="403"/>
      <c r="M22" s="403"/>
      <c r="N22" s="403"/>
      <c r="O22" s="403"/>
      <c r="Q22" s="539"/>
      <c r="R22" s="539"/>
      <c r="S22" s="539"/>
      <c r="T22" s="539">
        <f t="shared" si="1"/>
        <v>0</v>
      </c>
    </row>
    <row r="23" spans="1:20" ht="14">
      <c r="A23" s="402">
        <f t="shared" si="2"/>
        <v>15</v>
      </c>
      <c r="B23" s="399"/>
      <c r="C23" s="399"/>
      <c r="D23" s="399"/>
      <c r="E23" s="399"/>
      <c r="F23" s="399"/>
      <c r="G23" s="399"/>
      <c r="H23" s="399"/>
      <c r="I23" s="403"/>
      <c r="J23" s="403"/>
      <c r="K23" s="403"/>
      <c r="L23" s="403"/>
      <c r="M23" s="403"/>
      <c r="N23" s="403"/>
      <c r="O23" s="403"/>
      <c r="Q23" s="539"/>
      <c r="R23" s="539"/>
      <c r="S23" s="539"/>
      <c r="T23" s="539">
        <f t="shared" si="1"/>
        <v>0</v>
      </c>
    </row>
    <row r="24" spans="1:20" ht="14">
      <c r="A24" s="402">
        <f t="shared" si="2"/>
        <v>16</v>
      </c>
      <c r="B24" s="403"/>
      <c r="C24" s="403"/>
      <c r="D24" s="403"/>
      <c r="E24" s="403"/>
      <c r="F24" s="403"/>
      <c r="G24" s="403"/>
      <c r="H24" s="403"/>
      <c r="I24" s="403"/>
      <c r="J24" s="403"/>
      <c r="K24" s="403"/>
      <c r="L24" s="403"/>
      <c r="M24" s="403"/>
      <c r="N24" s="403"/>
      <c r="O24" s="403"/>
      <c r="Q24" s="539"/>
      <c r="R24" s="539"/>
      <c r="S24" s="539"/>
      <c r="T24" s="539">
        <f t="shared" si="1"/>
        <v>0</v>
      </c>
    </row>
    <row r="25" spans="1:20" ht="14">
      <c r="A25" s="402">
        <f t="shared" si="2"/>
        <v>17</v>
      </c>
      <c r="B25" s="403"/>
      <c r="C25" s="403"/>
      <c r="D25" s="403"/>
      <c r="E25" s="403"/>
      <c r="F25" s="403"/>
      <c r="G25" s="403"/>
      <c r="H25" s="403"/>
      <c r="I25" s="403"/>
      <c r="J25" s="403"/>
      <c r="K25" s="403"/>
      <c r="L25" s="403"/>
      <c r="M25" s="403"/>
      <c r="N25" s="403"/>
      <c r="O25" s="403"/>
      <c r="Q25" s="539"/>
      <c r="R25" s="539"/>
      <c r="S25" s="539"/>
      <c r="T25" s="539">
        <f t="shared" si="1"/>
        <v>0</v>
      </c>
    </row>
    <row r="26" spans="1:20" ht="14">
      <c r="A26" s="402">
        <f t="shared" si="2"/>
        <v>18</v>
      </c>
      <c r="B26" s="403"/>
      <c r="C26" s="403"/>
      <c r="D26" s="403"/>
      <c r="E26" s="403"/>
      <c r="F26" s="403"/>
      <c r="G26" s="403"/>
      <c r="H26" s="403"/>
      <c r="I26" s="403"/>
      <c r="J26" s="403"/>
      <c r="K26" s="403"/>
      <c r="L26" s="403"/>
      <c r="M26" s="403"/>
      <c r="N26" s="403"/>
      <c r="O26" s="403"/>
      <c r="Q26" s="539"/>
      <c r="R26" s="539"/>
      <c r="S26" s="539"/>
      <c r="T26" s="539">
        <f t="shared" si="1"/>
        <v>0</v>
      </c>
    </row>
    <row r="27" spans="1:20" ht="14">
      <c r="A27" s="402">
        <f t="shared" si="2"/>
        <v>19</v>
      </c>
      <c r="B27" s="396" t="s">
        <v>13</v>
      </c>
      <c r="C27" s="539">
        <f>SUM(C9:C26)</f>
        <v>162946491.80000001</v>
      </c>
      <c r="D27" s="539">
        <f t="shared" si="5" ref="D27:O27">SUM(D9:D26)</f>
        <v>166471680.85781202</v>
      </c>
      <c r="E27" s="539">
        <f t="shared" si="5"/>
        <v>168228805.81906003</v>
      </c>
      <c r="F27" s="539">
        <f t="shared" si="5"/>
        <v>171663172.07749203</v>
      </c>
      <c r="G27" s="539">
        <f t="shared" si="5"/>
        <v>173756864.42218003</v>
      </c>
      <c r="H27" s="539">
        <f t="shared" si="5"/>
        <v>179276371.14435604</v>
      </c>
      <c r="I27" s="539">
        <f t="shared" si="5"/>
        <v>181497860.17627606</v>
      </c>
      <c r="J27" s="539">
        <f t="shared" si="5"/>
        <v>183885329.21234003</v>
      </c>
      <c r="K27" s="539">
        <f t="shared" si="5"/>
        <v>186416100.80574802</v>
      </c>
      <c r="L27" s="539">
        <f t="shared" si="5"/>
        <v>188874193.42906001</v>
      </c>
      <c r="M27" s="539">
        <f t="shared" si="5"/>
        <v>191234399.909428</v>
      </c>
      <c r="N27" s="539">
        <f t="shared" si="5"/>
        <v>193294844.68554005</v>
      </c>
      <c r="O27" s="539">
        <f t="shared" si="5"/>
        <v>195337824.95315144</v>
      </c>
      <c r="P27" s="539">
        <f>AVERAGE(C27:O27)</f>
        <v>180221841.48403412</v>
      </c>
      <c r="Q27" s="539">
        <f>SUM(Q9:Q26)</f>
        <v>17148559.75</v>
      </c>
      <c r="R27" s="539">
        <f>SUM(R9:R26)</f>
        <v>131771964.94953847</v>
      </c>
      <c r="S27" s="539">
        <f>SUM(S9:S26)</f>
        <v>31301316.784495648</v>
      </c>
      <c r="T27" s="539">
        <f t="shared" si="1"/>
        <v>180221841.48403412</v>
      </c>
    </row>
    <row r="28" spans="1:20" ht="14">
      <c r="A28" s="402">
        <f t="shared" si="2"/>
        <v>20</v>
      </c>
      <c r="B28" s="396"/>
      <c r="C28" s="539"/>
      <c r="D28" s="539"/>
      <c r="E28" s="539"/>
      <c r="F28" s="539"/>
      <c r="G28" s="539"/>
      <c r="H28" s="539"/>
      <c r="I28" s="539"/>
      <c r="J28" s="539"/>
      <c r="K28" s="539"/>
      <c r="L28" s="539"/>
      <c r="M28" s="539"/>
      <c r="N28" s="539"/>
      <c r="O28" s="539"/>
      <c r="P28" s="404" t="s">
        <v>698</v>
      </c>
      <c r="Q28" s="542">
        <v>1</v>
      </c>
      <c r="R28" s="542">
        <v>0</v>
      </c>
      <c r="S28" s="542">
        <f>'Attachment H-7'!I197</f>
        <v>0.09880621410235467</v>
      </c>
      <c r="T28" s="539"/>
    </row>
    <row r="29" spans="1:20" ht="14">
      <c r="A29" s="402">
        <f t="shared" si="2"/>
        <v>21</v>
      </c>
      <c r="B29" s="396"/>
      <c r="C29" s="539"/>
      <c r="D29" s="539"/>
      <c r="E29" s="539"/>
      <c r="F29" s="539"/>
      <c r="G29" s="539"/>
      <c r="H29" s="539"/>
      <c r="I29" s="539"/>
      <c r="J29" s="539"/>
      <c r="K29" s="539"/>
      <c r="L29" s="539"/>
      <c r="M29" s="539"/>
      <c r="N29" s="539"/>
      <c r="O29" s="539"/>
      <c r="P29" s="404" t="s">
        <v>786</v>
      </c>
      <c r="Q29" s="539">
        <f>Q27*Q28</f>
        <v>17148559.75</v>
      </c>
      <c r="R29" s="539">
        <f t="shared" si="6" ref="R29:S29">R27*R28</f>
        <v>0</v>
      </c>
      <c r="S29" s="539">
        <f t="shared" si="6"/>
        <v>3092764.6078945049</v>
      </c>
      <c r="T29" s="539">
        <f>SUM(Q29:S29)</f>
        <v>20241324.357894506</v>
      </c>
    </row>
    <row r="30" ht="14">
      <c r="A30" s="402"/>
    </row>
    <row r="31" spans="2:20" ht="14">
      <c r="B31" s="396" t="s">
        <v>198</v>
      </c>
      <c r="C31" s="396" t="s">
        <v>199</v>
      </c>
      <c r="D31" s="396" t="s">
        <v>200</v>
      </c>
      <c r="E31" s="396" t="s">
        <v>201</v>
      </c>
      <c r="F31" s="396" t="s">
        <v>203</v>
      </c>
      <c r="G31" s="396" t="s">
        <v>202</v>
      </c>
      <c r="H31" s="396" t="s">
        <v>204</v>
      </c>
      <c r="I31" s="396" t="s">
        <v>205</v>
      </c>
      <c r="J31" s="396" t="s">
        <v>206</v>
      </c>
      <c r="K31" s="396" t="s">
        <v>244</v>
      </c>
      <c r="L31" s="396" t="s">
        <v>248</v>
      </c>
      <c r="M31" s="396" t="s">
        <v>453</v>
      </c>
      <c r="N31" s="396" t="s">
        <v>779</v>
      </c>
      <c r="O31" s="396" t="s">
        <v>780</v>
      </c>
      <c r="P31" s="396" t="s">
        <v>781</v>
      </c>
      <c r="Q31" s="396" t="s">
        <v>782</v>
      </c>
      <c r="R31" s="396" t="s">
        <v>783</v>
      </c>
      <c r="S31" s="396" t="s">
        <v>784</v>
      </c>
      <c r="T31" s="396" t="s">
        <v>787</v>
      </c>
    </row>
    <row r="32" spans="2:20" ht="14">
      <c r="B32" s="398" t="s">
        <v>208</v>
      </c>
      <c r="C32" s="401" t="s">
        <v>195</v>
      </c>
      <c r="D32" s="396" t="s">
        <v>84</v>
      </c>
      <c r="E32" s="396" t="s">
        <v>83</v>
      </c>
      <c r="F32" s="396" t="s">
        <v>82</v>
      </c>
      <c r="G32" s="396" t="s">
        <v>74</v>
      </c>
      <c r="H32" s="396" t="s">
        <v>73</v>
      </c>
      <c r="I32" s="396" t="s">
        <v>93</v>
      </c>
      <c r="J32" s="396" t="s">
        <v>81</v>
      </c>
      <c r="K32" s="396" t="s">
        <v>80</v>
      </c>
      <c r="L32" s="396" t="s">
        <v>79</v>
      </c>
      <c r="M32" s="396" t="s">
        <v>85</v>
      </c>
      <c r="N32" s="396" t="s">
        <v>78</v>
      </c>
      <c r="O32" s="396" t="s">
        <v>77</v>
      </c>
      <c r="P32" s="396" t="s">
        <v>481</v>
      </c>
      <c r="Q32" s="538" t="s">
        <v>17</v>
      </c>
      <c r="R32" s="538" t="s">
        <v>778</v>
      </c>
      <c r="S32" s="538" t="s">
        <v>685</v>
      </c>
      <c r="T32" s="612" t="s">
        <v>13</v>
      </c>
    </row>
    <row r="33" spans="2:20" ht="14">
      <c r="B33" s="398"/>
      <c r="C33" s="401"/>
      <c r="D33" s="396"/>
      <c r="E33" s="396"/>
      <c r="F33" s="396"/>
      <c r="G33" s="396"/>
      <c r="H33" s="396"/>
      <c r="I33" s="396"/>
      <c r="J33" s="396"/>
      <c r="K33" s="396"/>
      <c r="L33" s="396"/>
      <c r="M33" s="396"/>
      <c r="N33" s="396"/>
      <c r="O33" s="396"/>
      <c r="P33" s="405" t="s">
        <v>788</v>
      </c>
      <c r="T33" s="406" t="s">
        <v>1158</v>
      </c>
    </row>
    <row r="34" spans="1:20" ht="14">
      <c r="A34" s="402">
        <f>A29+1</f>
        <v>22</v>
      </c>
      <c r="B34" s="563" t="s">
        <v>1538</v>
      </c>
      <c r="C34" s="551">
        <v>7733452.1500000004</v>
      </c>
      <c r="D34" s="551">
        <v>8021225.8209331967</v>
      </c>
      <c r="E34" s="551">
        <v>8345163.3837361597</v>
      </c>
      <c r="F34" s="551">
        <v>8691357.7678724565</v>
      </c>
      <c r="G34" s="551">
        <v>9061724.6525087524</v>
      </c>
      <c r="H34" s="551">
        <v>9486083.3578117155</v>
      </c>
      <c r="I34" s="551">
        <v>9965418.9359480105</v>
      </c>
      <c r="J34" s="551">
        <v>10473114.388000973</v>
      </c>
      <c r="K34" s="551">
        <v>11011033.357803935</v>
      </c>
      <c r="L34" s="551">
        <v>11579352.246190231</v>
      </c>
      <c r="M34" s="551">
        <v>12177007.875909861</v>
      </c>
      <c r="N34" s="551">
        <v>12801666.518462824</v>
      </c>
      <c r="O34" s="551">
        <v>13451338.829315614</v>
      </c>
      <c r="P34" s="539">
        <f>AVERAGE(C34:O34)</f>
        <v>10215226.098807212</v>
      </c>
      <c r="Q34" s="539"/>
      <c r="R34" s="539"/>
      <c r="S34" s="539">
        <f>P34</f>
        <v>10215226.098807212</v>
      </c>
      <c r="T34" s="539">
        <f>SUM(Q34:S34)</f>
        <v>10215226.098807212</v>
      </c>
    </row>
    <row r="35" spans="1:20" ht="14">
      <c r="A35" s="402">
        <f>A34+1</f>
        <v>23</v>
      </c>
      <c r="B35" s="563" t="s">
        <v>776</v>
      </c>
      <c r="C35" s="551">
        <v>6329992.7299999995</v>
      </c>
      <c r="D35" s="551">
        <v>6523317.7899999991</v>
      </c>
      <c r="E35" s="551">
        <v>6716642.8399999989</v>
      </c>
      <c r="F35" s="551">
        <v>6909967.8999999985</v>
      </c>
      <c r="G35" s="551">
        <v>7103292.9499999983</v>
      </c>
      <c r="H35" s="551">
        <v>7296618.0099999979</v>
      </c>
      <c r="I35" s="551">
        <v>7489943.0699999975</v>
      </c>
      <c r="J35" s="551">
        <v>7683268.1199999973</v>
      </c>
      <c r="K35" s="551">
        <v>7876593.1699999971</v>
      </c>
      <c r="L35" s="551">
        <v>8069918.2199999969</v>
      </c>
      <c r="M35" s="551">
        <v>8263243.2699999968</v>
      </c>
      <c r="N35" s="551">
        <v>8456568.3099999968</v>
      </c>
      <c r="O35" s="551">
        <v>8649893.3499999959</v>
      </c>
      <c r="P35" s="539">
        <f t="shared" si="7" ref="P35:P39">AVERAGE(C35:O35)</f>
        <v>7489943.0561538441</v>
      </c>
      <c r="Q35" s="539">
        <f>P35</f>
        <v>7489943.0561538441</v>
      </c>
      <c r="R35" s="539"/>
      <c r="S35" s="539"/>
      <c r="T35" s="539">
        <f t="shared" si="8" ref="T35:T52">SUM(Q35:S35)</f>
        <v>7489943.0561538441</v>
      </c>
    </row>
    <row r="36" spans="1:20" ht="14">
      <c r="A36" s="402">
        <f t="shared" si="9" ref="A36:A54">A35+1</f>
        <v>24</v>
      </c>
      <c r="B36" s="563" t="s">
        <v>777</v>
      </c>
      <c r="C36" s="551">
        <v>1032560.50</v>
      </c>
      <c r="D36" s="551">
        <v>1072667.99</v>
      </c>
      <c r="E36" s="551">
        <v>1112775.49</v>
      </c>
      <c r="F36" s="551">
        <v>1152882.98</v>
      </c>
      <c r="G36" s="551">
        <v>1192990.48</v>
      </c>
      <c r="H36" s="551">
        <v>1233097.98</v>
      </c>
      <c r="I36" s="551">
        <v>1273205.48</v>
      </c>
      <c r="J36" s="551">
        <v>1313312.98</v>
      </c>
      <c r="K36" s="551">
        <v>1353420.48</v>
      </c>
      <c r="L36" s="551">
        <v>1393527.98</v>
      </c>
      <c r="M36" s="551">
        <v>1433635.48</v>
      </c>
      <c r="N36" s="551">
        <v>1473742.98</v>
      </c>
      <c r="O36" s="551">
        <v>1513850.47</v>
      </c>
      <c r="P36" s="539">
        <f t="shared" si="7"/>
        <v>1273205.4823076928</v>
      </c>
      <c r="Q36" s="539"/>
      <c r="R36" s="539">
        <f>P36</f>
        <v>1273205.4823076928</v>
      </c>
      <c r="S36" s="539"/>
      <c r="T36" s="539">
        <f t="shared" si="8"/>
        <v>1273205.4823076928</v>
      </c>
    </row>
    <row r="37" spans="1:20" ht="14">
      <c r="A37" s="402">
        <f t="shared" si="9"/>
        <v>25</v>
      </c>
      <c r="B37" s="563" t="s">
        <v>789</v>
      </c>
      <c r="C37" s="551">
        <v>2222924.67</v>
      </c>
      <c r="D37" s="551">
        <v>2222924.67</v>
      </c>
      <c r="E37" s="551">
        <v>2222924.67</v>
      </c>
      <c r="F37" s="551">
        <v>2222924.67</v>
      </c>
      <c r="G37" s="551">
        <v>2222924.67</v>
      </c>
      <c r="H37" s="551">
        <v>2222924.67</v>
      </c>
      <c r="I37" s="551">
        <v>2222924.67</v>
      </c>
      <c r="J37" s="551">
        <v>2222924.67</v>
      </c>
      <c r="K37" s="551">
        <v>2222924.67</v>
      </c>
      <c r="L37" s="551">
        <v>2222924.67</v>
      </c>
      <c r="M37" s="551">
        <v>2222924.67</v>
      </c>
      <c r="N37" s="551">
        <v>2222924.67</v>
      </c>
      <c r="O37" s="551">
        <v>2222924.67</v>
      </c>
      <c r="P37" s="539">
        <f t="shared" si="7"/>
        <v>2222924.6700000009</v>
      </c>
      <c r="Q37" s="539"/>
      <c r="R37" s="539">
        <f>P37</f>
        <v>2222924.6700000009</v>
      </c>
      <c r="S37" s="539"/>
      <c r="T37" s="539">
        <f t="shared" si="8"/>
        <v>2222924.6700000009</v>
      </c>
    </row>
    <row r="38" spans="1:20" ht="14">
      <c r="A38" s="402">
        <f t="shared" si="9"/>
        <v>26</v>
      </c>
      <c r="B38" s="563" t="s">
        <v>1571</v>
      </c>
      <c r="C38" s="551">
        <v>3928994.05</v>
      </c>
      <c r="D38" s="551">
        <v>3969511.8604709883</v>
      </c>
      <c r="E38" s="551">
        <v>4014598.3316053101</v>
      </c>
      <c r="F38" s="551">
        <v>4073613.3032508818</v>
      </c>
      <c r="G38" s="551">
        <v>4147079.3237323286</v>
      </c>
      <c r="H38" s="551">
        <v>4226054.1100979</v>
      </c>
      <c r="I38" s="551">
        <v>4310584.4443541802</v>
      </c>
      <c r="J38" s="551">
        <v>4400971.6333542103</v>
      </c>
      <c r="K38" s="551">
        <v>4497631.6222607819</v>
      </c>
      <c r="L38" s="551">
        <v>4600804.219721104</v>
      </c>
      <c r="M38" s="551">
        <v>4710280.6165635921</v>
      </c>
      <c r="N38" s="551">
        <v>4825489.7684310805</v>
      </c>
      <c r="O38" s="551">
        <v>4946050.2866555685</v>
      </c>
      <c r="P38" s="539">
        <f t="shared" si="7"/>
        <v>4357820.2746536862</v>
      </c>
      <c r="Q38" s="539"/>
      <c r="R38" s="539">
        <f>P38</f>
        <v>4357820.2746536862</v>
      </c>
      <c r="S38" s="539"/>
      <c r="T38" s="539">
        <f t="shared" si="8"/>
        <v>4357820.2746536862</v>
      </c>
    </row>
    <row r="39" spans="1:20" ht="14">
      <c r="A39" s="402">
        <f t="shared" si="9"/>
        <v>27</v>
      </c>
      <c r="B39" s="563" t="s">
        <v>818</v>
      </c>
      <c r="C39" s="551">
        <v>16855601.300000001</v>
      </c>
      <c r="D39" s="551">
        <v>17300006.560000002</v>
      </c>
      <c r="E39" s="551">
        <v>17744411.830000002</v>
      </c>
      <c r="F39" s="551">
        <v>18188817.090000004</v>
      </c>
      <c r="G39" s="551">
        <v>18688555.390000004</v>
      </c>
      <c r="H39" s="551">
        <v>19188293.650000006</v>
      </c>
      <c r="I39" s="551">
        <v>19688031.950000007</v>
      </c>
      <c r="J39" s="551">
        <v>20187770.210000008</v>
      </c>
      <c r="K39" s="551">
        <v>20687508.510000009</v>
      </c>
      <c r="L39" s="551">
        <v>21187246.770000011</v>
      </c>
      <c r="M39" s="551">
        <v>21686985.070000011</v>
      </c>
      <c r="N39" s="551">
        <v>22186723.330000013</v>
      </c>
      <c r="O39" s="551">
        <v>22663451.500000015</v>
      </c>
      <c r="P39" s="539">
        <f t="shared" si="7"/>
        <v>19711800.243076928</v>
      </c>
      <c r="Q39" s="539"/>
      <c r="R39" s="539">
        <f>P39</f>
        <v>19711800.243076928</v>
      </c>
      <c r="S39" s="539"/>
      <c r="T39" s="539">
        <f t="shared" si="8"/>
        <v>19711800.243076928</v>
      </c>
    </row>
    <row r="40" spans="1:20" ht="14">
      <c r="A40" s="402">
        <f t="shared" si="9"/>
        <v>28</v>
      </c>
      <c r="B40" s="563" t="s">
        <v>790</v>
      </c>
      <c r="C40" s="551">
        <v>71779517.519999996</v>
      </c>
      <c r="D40" s="551">
        <v>72112873.229893625</v>
      </c>
      <c r="E40" s="551">
        <v>72446228.919787243</v>
      </c>
      <c r="F40" s="551">
        <v>72779584.639680862</v>
      </c>
      <c r="G40" s="551">
        <v>73112940.339574486</v>
      </c>
      <c r="H40" s="551">
        <v>73446296.069468096</v>
      </c>
      <c r="I40" s="551">
        <v>73756705.359361708</v>
      </c>
      <c r="J40" s="551">
        <v>74044168.299255326</v>
      </c>
      <c r="K40" s="551">
        <v>74330950.979148939</v>
      </c>
      <c r="L40" s="551">
        <v>74599937.169042557</v>
      </c>
      <c r="M40" s="551">
        <v>74849048.218936175</v>
      </c>
      <c r="N40" s="551">
        <v>75095400.488829792</v>
      </c>
      <c r="O40" s="551">
        <v>75341752.728723407</v>
      </c>
      <c r="P40" s="539">
        <f t="shared" si="10" ref="P40:P42">AVERAGE(C40:O40)</f>
        <v>73668877.227823243</v>
      </c>
      <c r="Q40" s="539"/>
      <c r="R40" s="539">
        <f>P40</f>
        <v>73668877.227823243</v>
      </c>
      <c r="S40" s="539"/>
      <c r="T40" s="539">
        <f t="shared" si="8"/>
        <v>73668877.227823243</v>
      </c>
    </row>
    <row r="41" spans="1:20" ht="14">
      <c r="A41" s="402">
        <f t="shared" si="9"/>
        <v>29</v>
      </c>
      <c r="B41" s="563" t="s">
        <v>1572</v>
      </c>
      <c r="C41" s="551">
        <v>1102456.04</v>
      </c>
      <c r="D41" s="551">
        <v>1349669.4466666668</v>
      </c>
      <c r="E41" s="551">
        <v>1596882.8533333335</v>
      </c>
      <c r="F41" s="551">
        <v>1844096.2600000002</v>
      </c>
      <c r="G41" s="551">
        <v>2091309.666666667</v>
      </c>
      <c r="H41" s="551">
        <v>2338523.0733333337</v>
      </c>
      <c r="I41" s="551">
        <v>2585736.4800000004</v>
      </c>
      <c r="J41" s="551">
        <v>2832949.8866666672</v>
      </c>
      <c r="K41" s="551">
        <v>3080163.2933333339</v>
      </c>
      <c r="L41" s="551">
        <v>3327376.7000000007</v>
      </c>
      <c r="M41" s="551">
        <v>3574590.1066666674</v>
      </c>
      <c r="N41" s="551">
        <v>3821803.5133333341</v>
      </c>
      <c r="O41" s="551">
        <v>4069016.9200000009</v>
      </c>
      <c r="P41" s="539">
        <f t="shared" si="10"/>
        <v>2585736.4800000009</v>
      </c>
      <c r="Q41" s="539">
        <f>P41</f>
        <v>2585736.4800000009</v>
      </c>
      <c r="R41" s="539"/>
      <c r="S41" s="539"/>
      <c r="T41" s="539">
        <f t="shared" si="8"/>
        <v>2585736.4800000009</v>
      </c>
    </row>
    <row r="42" spans="1:20" ht="14">
      <c r="A42" s="402">
        <f t="shared" si="9"/>
        <v>30</v>
      </c>
      <c r="B42" s="563" t="s">
        <v>1610</v>
      </c>
      <c r="C42" s="551">
        <v>0</v>
      </c>
      <c r="D42" s="551">
        <v>368.57989333333336</v>
      </c>
      <c r="E42" s="551">
        <v>1467.7510933333333</v>
      </c>
      <c r="F42" s="551">
        <v>3322.6976533333336</v>
      </c>
      <c r="G42" s="551">
        <v>6012.270613333334</v>
      </c>
      <c r="H42" s="551">
        <v>9572.6145066666686</v>
      </c>
      <c r="I42" s="551">
        <v>14010.951733333335</v>
      </c>
      <c r="J42" s="551">
        <v>19374.774453333335</v>
      </c>
      <c r="K42" s="551">
        <v>25729.865066666669</v>
      </c>
      <c r="L42" s="551">
        <v>33114.473013333336</v>
      </c>
      <c r="M42" s="551">
        <v>41495.619253333338</v>
      </c>
      <c r="N42" s="551">
        <v>50782.913173333334</v>
      </c>
      <c r="O42" s="551">
        <v>60916.145333333334</v>
      </c>
      <c r="P42" s="539">
        <f t="shared" si="10"/>
        <v>20474.511983589742</v>
      </c>
      <c r="Q42" s="539"/>
      <c r="R42" s="539">
        <f>P42</f>
        <v>20474.511983589742</v>
      </c>
      <c r="S42" s="539"/>
      <c r="T42" s="539">
        <f t="shared" si="8"/>
        <v>20474.511983589742</v>
      </c>
    </row>
    <row r="43" spans="1:20" ht="14">
      <c r="A43" s="402">
        <f t="shared" si="9"/>
        <v>31</v>
      </c>
      <c r="B43" s="399"/>
      <c r="C43" s="399"/>
      <c r="D43" s="399"/>
      <c r="E43" s="399"/>
      <c r="F43" s="399"/>
      <c r="G43" s="399"/>
      <c r="H43" s="399"/>
      <c r="I43" s="403"/>
      <c r="J43" s="403"/>
      <c r="K43" s="403"/>
      <c r="L43" s="403"/>
      <c r="M43" s="403"/>
      <c r="N43" s="403"/>
      <c r="O43" s="403"/>
      <c r="P43" s="539"/>
      <c r="Q43" s="539"/>
      <c r="R43" s="539"/>
      <c r="S43" s="539"/>
      <c r="T43" s="539">
        <f t="shared" si="8"/>
        <v>0</v>
      </c>
    </row>
    <row r="44" spans="1:20" ht="14">
      <c r="A44" s="402">
        <f t="shared" si="9"/>
        <v>32</v>
      </c>
      <c r="B44" s="399"/>
      <c r="C44" s="399"/>
      <c r="D44" s="399"/>
      <c r="E44" s="399"/>
      <c r="F44" s="399"/>
      <c r="G44" s="399"/>
      <c r="H44" s="399"/>
      <c r="I44" s="403"/>
      <c r="J44" s="403"/>
      <c r="K44" s="403"/>
      <c r="L44" s="403"/>
      <c r="M44" s="403"/>
      <c r="N44" s="403"/>
      <c r="O44" s="403"/>
      <c r="P44" s="539"/>
      <c r="Q44" s="539"/>
      <c r="R44" s="539"/>
      <c r="S44" s="539"/>
      <c r="T44" s="539">
        <f t="shared" si="8"/>
        <v>0</v>
      </c>
    </row>
    <row r="45" spans="1:20" ht="14">
      <c r="A45" s="402">
        <f t="shared" si="9"/>
        <v>33</v>
      </c>
      <c r="B45" s="399"/>
      <c r="C45" s="399"/>
      <c r="D45" s="399"/>
      <c r="E45" s="399"/>
      <c r="F45" s="399"/>
      <c r="G45" s="399"/>
      <c r="H45" s="399"/>
      <c r="I45" s="403"/>
      <c r="J45" s="403"/>
      <c r="K45" s="403"/>
      <c r="L45" s="403"/>
      <c r="M45" s="403"/>
      <c r="N45" s="403"/>
      <c r="O45" s="403"/>
      <c r="P45" s="539"/>
      <c r="Q45" s="539"/>
      <c r="R45" s="539"/>
      <c r="S45" s="539"/>
      <c r="T45" s="539">
        <f t="shared" si="8"/>
        <v>0</v>
      </c>
    </row>
    <row r="46" spans="1:20" ht="14">
      <c r="A46" s="402">
        <f t="shared" si="9"/>
        <v>34</v>
      </c>
      <c r="B46" s="399"/>
      <c r="C46" s="399"/>
      <c r="D46" s="399"/>
      <c r="E46" s="399"/>
      <c r="F46" s="399"/>
      <c r="G46" s="399"/>
      <c r="H46" s="399"/>
      <c r="I46" s="403"/>
      <c r="J46" s="403"/>
      <c r="K46" s="403"/>
      <c r="L46" s="403"/>
      <c r="M46" s="403"/>
      <c r="N46" s="403"/>
      <c r="O46" s="403"/>
      <c r="P46" s="539"/>
      <c r="Q46" s="539"/>
      <c r="R46" s="539"/>
      <c r="S46" s="539"/>
      <c r="T46" s="539">
        <f t="shared" si="8"/>
        <v>0</v>
      </c>
    </row>
    <row r="47" spans="1:20" ht="14">
      <c r="A47" s="402">
        <f t="shared" si="9"/>
        <v>35</v>
      </c>
      <c r="B47" s="403"/>
      <c r="C47" s="403"/>
      <c r="D47" s="403"/>
      <c r="E47" s="403"/>
      <c r="F47" s="403"/>
      <c r="G47" s="403"/>
      <c r="H47" s="403"/>
      <c r="I47" s="403"/>
      <c r="J47" s="403"/>
      <c r="K47" s="403"/>
      <c r="L47" s="403"/>
      <c r="M47" s="403"/>
      <c r="N47" s="403"/>
      <c r="O47" s="403"/>
      <c r="Q47" s="539"/>
      <c r="R47" s="539"/>
      <c r="S47" s="539"/>
      <c r="T47" s="539">
        <f t="shared" si="8"/>
        <v>0</v>
      </c>
    </row>
    <row r="48" spans="1:20" ht="14">
      <c r="A48" s="402">
        <f t="shared" si="9"/>
        <v>36</v>
      </c>
      <c r="B48" s="399"/>
      <c r="C48" s="399"/>
      <c r="D48" s="399"/>
      <c r="E48" s="399"/>
      <c r="F48" s="399"/>
      <c r="G48" s="399"/>
      <c r="H48" s="399"/>
      <c r="I48" s="403"/>
      <c r="J48" s="403"/>
      <c r="K48" s="403"/>
      <c r="L48" s="403"/>
      <c r="M48" s="403"/>
      <c r="N48" s="403"/>
      <c r="O48" s="403"/>
      <c r="Q48" s="539"/>
      <c r="R48" s="539"/>
      <c r="S48" s="539"/>
      <c r="T48" s="539">
        <f t="shared" si="8"/>
        <v>0</v>
      </c>
    </row>
    <row r="49" spans="1:20" ht="14">
      <c r="A49" s="402">
        <f t="shared" si="9"/>
        <v>37</v>
      </c>
      <c r="B49" s="403"/>
      <c r="C49" s="403"/>
      <c r="D49" s="403"/>
      <c r="E49" s="403"/>
      <c r="F49" s="403"/>
      <c r="G49" s="403"/>
      <c r="H49" s="403"/>
      <c r="I49" s="403"/>
      <c r="J49" s="403"/>
      <c r="K49" s="403"/>
      <c r="L49" s="403"/>
      <c r="M49" s="403"/>
      <c r="N49" s="403"/>
      <c r="O49" s="403"/>
      <c r="Q49" s="539"/>
      <c r="R49" s="539"/>
      <c r="S49" s="539"/>
      <c r="T49" s="539">
        <f t="shared" si="8"/>
        <v>0</v>
      </c>
    </row>
    <row r="50" spans="1:20" ht="14">
      <c r="A50" s="402">
        <f t="shared" si="9"/>
        <v>38</v>
      </c>
      <c r="B50" s="403"/>
      <c r="C50" s="403"/>
      <c r="D50" s="403"/>
      <c r="E50" s="403"/>
      <c r="F50" s="403"/>
      <c r="G50" s="403"/>
      <c r="H50" s="403"/>
      <c r="I50" s="403"/>
      <c r="J50" s="403"/>
      <c r="K50" s="403"/>
      <c r="L50" s="403"/>
      <c r="M50" s="403"/>
      <c r="N50" s="403"/>
      <c r="O50" s="403"/>
      <c r="Q50" s="539"/>
      <c r="R50" s="539"/>
      <c r="S50" s="539"/>
      <c r="T50" s="539">
        <f t="shared" si="8"/>
        <v>0</v>
      </c>
    </row>
    <row r="51" spans="1:20" ht="14">
      <c r="A51" s="402">
        <f t="shared" si="9"/>
        <v>39</v>
      </c>
      <c r="B51" s="403"/>
      <c r="C51" s="403"/>
      <c r="D51" s="403"/>
      <c r="E51" s="403"/>
      <c r="F51" s="403"/>
      <c r="G51" s="403"/>
      <c r="H51" s="403"/>
      <c r="I51" s="403"/>
      <c r="J51" s="403"/>
      <c r="K51" s="403"/>
      <c r="L51" s="403"/>
      <c r="M51" s="403"/>
      <c r="N51" s="403"/>
      <c r="O51" s="403"/>
      <c r="Q51" s="539"/>
      <c r="R51" s="539"/>
      <c r="S51" s="539"/>
      <c r="T51" s="539">
        <f t="shared" si="8"/>
        <v>0</v>
      </c>
    </row>
    <row r="52" spans="1:20" ht="14">
      <c r="A52" s="402">
        <f t="shared" si="9"/>
        <v>40</v>
      </c>
      <c r="B52" s="396" t="s">
        <v>13</v>
      </c>
      <c r="C52" s="539">
        <f>SUM(C34:C51)</f>
        <v>110985498.95999999</v>
      </c>
      <c r="D52" s="539">
        <f t="shared" si="11" ref="D52">SUM(D34:D51)</f>
        <v>112572565.94785783</v>
      </c>
      <c r="E52" s="539">
        <f t="shared" si="12" ref="E52">SUM(E34:E51)</f>
        <v>114201096.06955539</v>
      </c>
      <c r="F52" s="539">
        <f t="shared" si="13" ref="F52">SUM(F34:F51)</f>
        <v>115866567.30845755</v>
      </c>
      <c r="G52" s="539">
        <f t="shared" si="14" ref="G52">SUM(G34:G51)</f>
        <v>117626829.74309558</v>
      </c>
      <c r="H52" s="539">
        <f t="shared" si="15" ref="H52">SUM(H34:H51)</f>
        <v>119447463.53521772</v>
      </c>
      <c r="I52" s="539">
        <f t="shared" si="16" ref="I52">SUM(I34:I51)</f>
        <v>121306561.34139724</v>
      </c>
      <c r="J52" s="539">
        <f t="shared" si="17" ref="J52">SUM(J34:J51)</f>
        <v>123177854.96173051</v>
      </c>
      <c r="K52" s="539">
        <f t="shared" si="18" ref="K52">SUM(K34:K51)</f>
        <v>125085955.94761366</v>
      </c>
      <c r="L52" s="539">
        <f t="shared" si="19" ref="L52">SUM(L34:L51)</f>
        <v>127014202.44796723</v>
      </c>
      <c r="M52" s="539">
        <f t="shared" si="20" ref="M52">SUM(M34:M51)</f>
        <v>128959210.92732965</v>
      </c>
      <c r="N52" s="539">
        <f t="shared" si="21" ref="N52">SUM(N34:N51)</f>
        <v>130935102.49223039</v>
      </c>
      <c r="O52" s="539">
        <f t="shared" si="22" ref="O52">SUM(O34:O51)</f>
        <v>132919194.90002793</v>
      </c>
      <c r="P52" s="539">
        <f>AVERAGE(C52:O52)</f>
        <v>121546008.04480623</v>
      </c>
      <c r="Q52" s="539">
        <f>SUM(Q34:Q51)</f>
        <v>10075679.536153846</v>
      </c>
      <c r="R52" s="539">
        <f>SUM(R34:R51)</f>
        <v>101255102.40984514</v>
      </c>
      <c r="S52" s="539">
        <f>SUM(S34:S51)</f>
        <v>10215226.098807212</v>
      </c>
      <c r="T52" s="539">
        <f t="shared" si="8"/>
        <v>121546008.04480621</v>
      </c>
    </row>
    <row r="53" spans="1:20" ht="14">
      <c r="A53" s="402">
        <f t="shared" si="9"/>
        <v>41</v>
      </c>
      <c r="B53" s="396"/>
      <c r="C53" s="539"/>
      <c r="D53" s="539"/>
      <c r="E53" s="539"/>
      <c r="F53" s="539"/>
      <c r="G53" s="539"/>
      <c r="H53" s="539"/>
      <c r="I53" s="539"/>
      <c r="J53" s="539"/>
      <c r="K53" s="539"/>
      <c r="L53" s="539"/>
      <c r="M53" s="539"/>
      <c r="N53" s="539"/>
      <c r="O53" s="539"/>
      <c r="P53" s="404" t="s">
        <v>698</v>
      </c>
      <c r="Q53" s="542">
        <f>Q28</f>
        <v>1</v>
      </c>
      <c r="R53" s="542">
        <f t="shared" si="23" ref="R53:S53">R28</f>
        <v>0</v>
      </c>
      <c r="S53" s="542">
        <f t="shared" si="23"/>
        <v>0.09880621410235467</v>
      </c>
      <c r="T53" s="539"/>
    </row>
    <row r="54" spans="1:20" ht="14">
      <c r="A54" s="402">
        <f t="shared" si="9"/>
        <v>42</v>
      </c>
      <c r="B54" s="396"/>
      <c r="C54" s="539"/>
      <c r="D54" s="539"/>
      <c r="E54" s="539"/>
      <c r="F54" s="539"/>
      <c r="G54" s="539"/>
      <c r="H54" s="539"/>
      <c r="I54" s="539"/>
      <c r="J54" s="539"/>
      <c r="K54" s="539"/>
      <c r="L54" s="539"/>
      <c r="M54" s="539"/>
      <c r="N54" s="539"/>
      <c r="O54" s="539"/>
      <c r="P54" s="404" t="s">
        <v>786</v>
      </c>
      <c r="Q54" s="539">
        <f>Q52*Q53</f>
        <v>10075679.536153846</v>
      </c>
      <c r="R54" s="539">
        <f t="shared" si="24" ref="R54">R52*R53</f>
        <v>0</v>
      </c>
      <c r="S54" s="539">
        <f t="shared" si="25" ref="S54">S52*S53</f>
        <v>1009327.8170227066</v>
      </c>
      <c r="T54" s="539">
        <f>SUM(Q54:S54)</f>
        <v>11085007.353176553</v>
      </c>
    </row>
    <row r="55" ht="14">
      <c r="C55" s="400" t="str">
        <f>B1</f>
        <v>PECO Energy Company</v>
      </c>
    </row>
    <row r="56" spans="2:20" ht="14">
      <c r="B56" s="1084"/>
      <c r="C56" s="1084"/>
      <c r="D56" s="1084"/>
      <c r="E56" s="1084"/>
      <c r="F56" s="1084"/>
      <c r="G56" s="1084"/>
      <c r="H56" s="1084"/>
      <c r="T56" s="538" t="s">
        <v>154</v>
      </c>
    </row>
    <row r="57" spans="2:7" ht="14">
      <c r="B57" s="1083" t="s">
        <v>652</v>
      </c>
      <c r="C57" s="1083"/>
      <c r="D57" s="1083"/>
      <c r="E57" s="1083"/>
      <c r="F57" s="1083"/>
      <c r="G57" s="1083"/>
    </row>
    <row r="59" spans="2:20" ht="14">
      <c r="B59" s="396" t="s">
        <v>198</v>
      </c>
      <c r="C59" s="396" t="s">
        <v>199</v>
      </c>
      <c r="D59" s="396" t="s">
        <v>200</v>
      </c>
      <c r="E59" s="396" t="s">
        <v>201</v>
      </c>
      <c r="F59" s="396" t="s">
        <v>203</v>
      </c>
      <c r="G59" s="396" t="s">
        <v>202</v>
      </c>
      <c r="H59" s="396" t="s">
        <v>204</v>
      </c>
      <c r="I59" s="396" t="s">
        <v>205</v>
      </c>
      <c r="J59" s="396" t="s">
        <v>206</v>
      </c>
      <c r="K59" s="396" t="s">
        <v>244</v>
      </c>
      <c r="L59" s="396" t="s">
        <v>248</v>
      </c>
      <c r="M59" s="396" t="s">
        <v>453</v>
      </c>
      <c r="N59" s="396" t="s">
        <v>779</v>
      </c>
      <c r="O59" s="396" t="s">
        <v>780</v>
      </c>
      <c r="P59" s="396" t="s">
        <v>781</v>
      </c>
      <c r="Q59" s="396" t="s">
        <v>782</v>
      </c>
      <c r="R59" s="396" t="s">
        <v>783</v>
      </c>
      <c r="S59" s="396" t="s">
        <v>784</v>
      </c>
      <c r="T59" s="396" t="s">
        <v>787</v>
      </c>
    </row>
    <row r="60" spans="2:20" ht="14">
      <c r="B60" s="398" t="s">
        <v>785</v>
      </c>
      <c r="C60" s="401" t="s">
        <v>195</v>
      </c>
      <c r="D60" s="396" t="s">
        <v>84</v>
      </c>
      <c r="E60" s="396" t="s">
        <v>83</v>
      </c>
      <c r="F60" s="396" t="s">
        <v>82</v>
      </c>
      <c r="G60" s="396" t="s">
        <v>74</v>
      </c>
      <c r="H60" s="396" t="s">
        <v>73</v>
      </c>
      <c r="I60" s="396" t="s">
        <v>93</v>
      </c>
      <c r="J60" s="396" t="s">
        <v>81</v>
      </c>
      <c r="K60" s="396" t="s">
        <v>80</v>
      </c>
      <c r="L60" s="396" t="s">
        <v>79</v>
      </c>
      <c r="M60" s="396" t="s">
        <v>85</v>
      </c>
      <c r="N60" s="396" t="s">
        <v>78</v>
      </c>
      <c r="O60" s="396" t="s">
        <v>77</v>
      </c>
      <c r="P60" s="396" t="s">
        <v>481</v>
      </c>
      <c r="Q60" s="538" t="s">
        <v>17</v>
      </c>
      <c r="R60" s="538" t="s">
        <v>778</v>
      </c>
      <c r="S60" s="538" t="s">
        <v>685</v>
      </c>
      <c r="T60" s="612" t="s">
        <v>13</v>
      </c>
    </row>
    <row r="61" spans="2:20" ht="14">
      <c r="B61" s="398" t="str">
        <f>B7&amp;" Minus "&amp;B32</f>
        <v>Gross Plant Minus Accumulated Depreciation</v>
      </c>
      <c r="C61" s="401"/>
      <c r="D61" s="396"/>
      <c r="E61" s="396"/>
      <c r="F61" s="396"/>
      <c r="G61" s="396"/>
      <c r="H61" s="396"/>
      <c r="I61" s="396"/>
      <c r="J61" s="396"/>
      <c r="K61" s="396"/>
      <c r="L61" s="396"/>
      <c r="M61" s="396"/>
      <c r="N61" s="396"/>
      <c r="O61" s="396"/>
      <c r="P61" s="405" t="s">
        <v>788</v>
      </c>
      <c r="T61" s="406" t="s">
        <v>1158</v>
      </c>
    </row>
    <row r="62" spans="1:20" ht="14">
      <c r="A62" s="402">
        <f>A54+1</f>
        <v>43</v>
      </c>
      <c r="B62" s="563" t="str">
        <f t="shared" si="26" ref="B62:B70">B34</f>
        <v>Intangible - General</v>
      </c>
      <c r="C62" s="397">
        <f t="shared" si="27" ref="C62:C79">C9-C34</f>
        <v>10785592.840000002</v>
      </c>
      <c r="D62" s="397">
        <f t="shared" si="28" ref="D62:O62">D9-D34</f>
        <v>13547843.183438808</v>
      </c>
      <c r="E62" s="397">
        <f t="shared" si="28"/>
        <v>14513548.630635846</v>
      </c>
      <c r="F62" s="397">
        <f t="shared" si="28"/>
        <v>15548529.79649955</v>
      </c>
      <c r="G62" s="397">
        <f t="shared" si="28"/>
        <v>16697687.421863252</v>
      </c>
      <c r="H62" s="397">
        <f t="shared" si="28"/>
        <v>21232822.686560288</v>
      </c>
      <c r="I62" s="397">
        <f t="shared" si="28"/>
        <v>22391217.878423993</v>
      </c>
      <c r="J62" s="397">
        <f t="shared" si="28"/>
        <v>23648976.526371032</v>
      </c>
      <c r="K62" s="397">
        <f t="shared" si="28"/>
        <v>24972425.586568072</v>
      </c>
      <c r="L62" s="397">
        <f t="shared" si="28"/>
        <v>26190728.898181777</v>
      </c>
      <c r="M62" s="397">
        <f t="shared" si="28"/>
        <v>27326860.028462145</v>
      </c>
      <c r="N62" s="397">
        <f t="shared" si="28"/>
        <v>28208776.165909186</v>
      </c>
      <c r="O62" s="397">
        <f t="shared" si="28"/>
        <v>29054169.271035794</v>
      </c>
      <c r="P62" s="539">
        <f>AVERAGE(C62:O62)</f>
        <v>21086090.68568844</v>
      </c>
      <c r="Q62" s="539"/>
      <c r="R62" s="539"/>
      <c r="S62" s="539">
        <f>P62</f>
        <v>21086090.68568844</v>
      </c>
      <c r="T62" s="539">
        <f>SUM(Q62:S62)</f>
        <v>21086090.68568844</v>
      </c>
    </row>
    <row r="63" spans="1:20" ht="14">
      <c r="A63" s="402">
        <f>A62+1</f>
        <v>44</v>
      </c>
      <c r="B63" s="563" t="str">
        <f t="shared" si="26"/>
        <v>IT NERC CIP - Transmission</v>
      </c>
      <c r="C63" s="397">
        <f t="shared" si="27"/>
        <v>5266269.6600000011</v>
      </c>
      <c r="D63" s="397">
        <f t="shared" si="29" ref="D63:O63">D10-D35</f>
        <v>5072944.6000000015</v>
      </c>
      <c r="E63" s="397">
        <f t="shared" si="29"/>
        <v>4879619.5500000017</v>
      </c>
      <c r="F63" s="397">
        <f t="shared" si="29"/>
        <v>4686294.4900000021</v>
      </c>
      <c r="G63" s="397">
        <f t="shared" si="29"/>
        <v>4492969.4400000023</v>
      </c>
      <c r="H63" s="397">
        <f t="shared" si="29"/>
        <v>4299644.3800000027</v>
      </c>
      <c r="I63" s="397">
        <f t="shared" si="29"/>
        <v>4106319.3200000031</v>
      </c>
      <c r="J63" s="397">
        <f t="shared" si="29"/>
        <v>3912994.2700000033</v>
      </c>
      <c r="K63" s="397">
        <f t="shared" si="29"/>
        <v>3719669.2200000035</v>
      </c>
      <c r="L63" s="397">
        <f t="shared" si="29"/>
        <v>3526344.1700000037</v>
      </c>
      <c r="M63" s="397">
        <f t="shared" si="29"/>
        <v>3333019.1200000038</v>
      </c>
      <c r="N63" s="397">
        <f t="shared" si="29"/>
        <v>3139694.0800000038</v>
      </c>
      <c r="O63" s="397">
        <f t="shared" si="29"/>
        <v>2946369.0400000047</v>
      </c>
      <c r="P63" s="539">
        <f t="shared" si="30" ref="P63:P70">AVERAGE(C63:O63)</f>
        <v>4106319.333846157</v>
      </c>
      <c r="Q63" s="539">
        <f>P63</f>
        <v>4106319.333846157</v>
      </c>
      <c r="R63" s="539"/>
      <c r="S63" s="539"/>
      <c r="T63" s="539">
        <f t="shared" si="31" ref="T63:T79">SUM(Q63:S63)</f>
        <v>4106319.333846157</v>
      </c>
    </row>
    <row r="64" spans="1:20" ht="14">
      <c r="A64" s="402">
        <f t="shared" si="32" ref="A64:A82">A63+1</f>
        <v>45</v>
      </c>
      <c r="B64" s="563" t="str">
        <f t="shared" si="26"/>
        <v>IT NERC CIP - Distribution</v>
      </c>
      <c r="C64" s="397">
        <f t="shared" si="27"/>
        <v>1336854.21</v>
      </c>
      <c r="D64" s="397">
        <f t="shared" si="33" ref="D64:O64">D11-D36</f>
        <v>1296746.72</v>
      </c>
      <c r="E64" s="397">
        <f t="shared" si="33"/>
        <v>1256639.22</v>
      </c>
      <c r="F64" s="397">
        <f t="shared" si="33"/>
        <v>1216531.73</v>
      </c>
      <c r="G64" s="397">
        <f t="shared" si="33"/>
        <v>1176424.23</v>
      </c>
      <c r="H64" s="397">
        <f t="shared" si="33"/>
        <v>1136316.73</v>
      </c>
      <c r="I64" s="397">
        <f t="shared" si="33"/>
        <v>1096209.23</v>
      </c>
      <c r="J64" s="397">
        <f t="shared" si="33"/>
        <v>1056101.73</v>
      </c>
      <c r="K64" s="397">
        <f t="shared" si="33"/>
        <v>1015994.23</v>
      </c>
      <c r="L64" s="397">
        <f t="shared" si="33"/>
        <v>975886.73</v>
      </c>
      <c r="M64" s="397">
        <f t="shared" si="33"/>
        <v>935779.23</v>
      </c>
      <c r="N64" s="397">
        <f t="shared" si="33"/>
        <v>895671.73</v>
      </c>
      <c r="O64" s="397">
        <f t="shared" si="33"/>
        <v>855564.24</v>
      </c>
      <c r="P64" s="539">
        <f t="shared" si="30"/>
        <v>1096209.2276923079</v>
      </c>
      <c r="Q64" s="539"/>
      <c r="R64" s="539">
        <f>P64</f>
        <v>1096209.2276923079</v>
      </c>
      <c r="S64" s="539"/>
      <c r="T64" s="539">
        <f t="shared" si="31"/>
        <v>1096209.2276923079</v>
      </c>
    </row>
    <row r="65" spans="1:20" ht="14">
      <c r="A65" s="402">
        <f t="shared" si="32"/>
        <v>46</v>
      </c>
      <c r="B65" s="563" t="str">
        <f t="shared" si="26"/>
        <v>IT DSP - Distribution</v>
      </c>
      <c r="C65" s="397">
        <f t="shared" si="27"/>
        <v>649778.33000000007</v>
      </c>
      <c r="D65" s="397">
        <f t="shared" si="34" ref="D65:O65">D12-D37</f>
        <v>649778.33000000007</v>
      </c>
      <c r="E65" s="397">
        <f t="shared" si="34"/>
        <v>649778.33000000007</v>
      </c>
      <c r="F65" s="397">
        <f t="shared" si="34"/>
        <v>649778.33000000007</v>
      </c>
      <c r="G65" s="397">
        <f t="shared" si="34"/>
        <v>649778.33000000007</v>
      </c>
      <c r="H65" s="397">
        <f t="shared" si="34"/>
        <v>649778.33000000007</v>
      </c>
      <c r="I65" s="397">
        <f t="shared" si="34"/>
        <v>649778.33000000007</v>
      </c>
      <c r="J65" s="397">
        <f t="shared" si="34"/>
        <v>649778.33000000007</v>
      </c>
      <c r="K65" s="397">
        <f t="shared" si="34"/>
        <v>649778.33000000007</v>
      </c>
      <c r="L65" s="397">
        <f t="shared" si="34"/>
        <v>649778.33000000007</v>
      </c>
      <c r="M65" s="397">
        <f t="shared" si="34"/>
        <v>649778.33000000007</v>
      </c>
      <c r="N65" s="397">
        <f t="shared" si="34"/>
        <v>649778.33000000007</v>
      </c>
      <c r="O65" s="397">
        <f t="shared" si="34"/>
        <v>649778.33000000007</v>
      </c>
      <c r="P65" s="539">
        <f t="shared" si="30"/>
        <v>649778.33000000007</v>
      </c>
      <c r="Q65" s="539"/>
      <c r="R65" s="539">
        <f>P65</f>
        <v>649778.33000000007</v>
      </c>
      <c r="S65" s="539"/>
      <c r="T65" s="539">
        <f t="shared" si="31"/>
        <v>649778.33000000007</v>
      </c>
    </row>
    <row r="66" spans="1:20" ht="14">
      <c r="A66" s="402">
        <f t="shared" si="32"/>
        <v>47</v>
      </c>
      <c r="B66" s="563" t="str">
        <f t="shared" si="26"/>
        <v>IT Business Intelligence Data Analysis - Distribution</v>
      </c>
      <c r="C66" s="397">
        <f t="shared" si="27"/>
        <v>12389762.949999999</v>
      </c>
      <c r="D66" s="397">
        <f t="shared" si="35" ref="D66:O66">D13-D38</f>
        <v>12735950.969529012</v>
      </c>
      <c r="E66" s="397">
        <f t="shared" si="35"/>
        <v>13071463.468394691</v>
      </c>
      <c r="F66" s="397">
        <f t="shared" si="35"/>
        <v>14971135.826749116</v>
      </c>
      <c r="G66" s="397">
        <f t="shared" si="35"/>
        <v>15366030.566267673</v>
      </c>
      <c r="H66" s="397">
        <f t="shared" si="35"/>
        <v>15743890.129902102</v>
      </c>
      <c r="I66" s="397">
        <f t="shared" si="35"/>
        <v>16135577.575645823</v>
      </c>
      <c r="J66" s="397">
        <f t="shared" si="35"/>
        <v>16552629.106645793</v>
      </c>
      <c r="K66" s="397">
        <f t="shared" si="35"/>
        <v>17002044.727739219</v>
      </c>
      <c r="L66" s="397">
        <f t="shared" si="35"/>
        <v>17446586.620278895</v>
      </c>
      <c r="M66" s="397">
        <f t="shared" si="35"/>
        <v>17848116.413436409</v>
      </c>
      <c r="N66" s="397">
        <f t="shared" si="35"/>
        <v>18184715.071568921</v>
      </c>
      <c r="O66" s="397">
        <f t="shared" si="35"/>
        <v>18511106.663344432</v>
      </c>
      <c r="P66" s="539">
        <f t="shared" si="30"/>
        <v>15843000.776115546</v>
      </c>
      <c r="Q66" s="539"/>
      <c r="R66" s="539">
        <f>P66</f>
        <v>15843000.776115546</v>
      </c>
      <c r="S66" s="539"/>
      <c r="T66" s="539">
        <f t="shared" si="31"/>
        <v>15843000.776115546</v>
      </c>
    </row>
    <row r="67" spans="1:20" ht="14">
      <c r="A67" s="402">
        <f t="shared" si="32"/>
        <v>48</v>
      </c>
      <c r="B67" s="563" t="str">
        <f t="shared" si="26"/>
        <v>IT Post 2010 and Other - Distribution</v>
      </c>
      <c r="C67" s="397">
        <f t="shared" si="27"/>
        <v>2752327.4600000009</v>
      </c>
      <c r="D67" s="397">
        <f t="shared" si="36" ref="D67:O67">D14-D39</f>
        <v>2307922.1999999993</v>
      </c>
      <c r="E67" s="397">
        <f t="shared" si="36"/>
        <v>1863516.9299999997</v>
      </c>
      <c r="F67" s="397">
        <f t="shared" si="36"/>
        <v>1419111.6699999981</v>
      </c>
      <c r="G67" s="397">
        <f t="shared" si="36"/>
        <v>919373.36999999732</v>
      </c>
      <c r="H67" s="397">
        <f t="shared" si="36"/>
        <v>419635.10999999568</v>
      </c>
      <c r="I67" s="397">
        <f t="shared" si="36"/>
        <v>-80103.190000005066</v>
      </c>
      <c r="J67" s="397">
        <f t="shared" si="36"/>
        <v>-579841.45000000671</v>
      </c>
      <c r="K67" s="397">
        <f t="shared" si="36"/>
        <v>-1079579.7500000075</v>
      </c>
      <c r="L67" s="397">
        <f t="shared" si="36"/>
        <v>-1579318.0100000091</v>
      </c>
      <c r="M67" s="397">
        <f t="shared" si="36"/>
        <v>-2079056.3100000098</v>
      </c>
      <c r="N67" s="397">
        <f t="shared" si="36"/>
        <v>-2578794.5700000115</v>
      </c>
      <c r="O67" s="397">
        <f t="shared" si="36"/>
        <v>-3055522.7400000133</v>
      </c>
      <c r="P67" s="539">
        <f t="shared" si="30"/>
        <v>-103871.48307692862</v>
      </c>
      <c r="Q67" s="539"/>
      <c r="R67" s="539">
        <f>P67</f>
        <v>-103871.48307692862</v>
      </c>
      <c r="S67" s="539"/>
      <c r="T67" s="539">
        <f t="shared" si="31"/>
        <v>-103871.48307692862</v>
      </c>
    </row>
    <row r="68" spans="1:20" ht="14">
      <c r="A68" s="402">
        <f t="shared" si="32"/>
        <v>49</v>
      </c>
      <c r="B68" s="563" t="str">
        <f t="shared" si="26"/>
        <v>IT Smart Meter - Distribution</v>
      </c>
      <c r="C68" s="397">
        <f t="shared" si="27"/>
        <v>14330566.070000008</v>
      </c>
      <c r="D68" s="397">
        <f t="shared" si="37" ref="D68:O68">D15-D40</f>
        <v>13997210.360106379</v>
      </c>
      <c r="E68" s="397">
        <f t="shared" si="37"/>
        <v>13663854.670212761</v>
      </c>
      <c r="F68" s="397">
        <f t="shared" si="37"/>
        <v>13330498.950319141</v>
      </c>
      <c r="G68" s="397">
        <f t="shared" si="37"/>
        <v>12997143.250425518</v>
      </c>
      <c r="H68" s="397">
        <f t="shared" si="37"/>
        <v>12663787.520531908</v>
      </c>
      <c r="I68" s="397">
        <f t="shared" si="37"/>
        <v>12353378.230638295</v>
      </c>
      <c r="J68" s="397">
        <f t="shared" si="37"/>
        <v>12065915.290744677</v>
      </c>
      <c r="K68" s="397">
        <f t="shared" si="37"/>
        <v>11779132.610851064</v>
      </c>
      <c r="L68" s="397">
        <f t="shared" si="37"/>
        <v>11510146.420957446</v>
      </c>
      <c r="M68" s="397">
        <f t="shared" si="37"/>
        <v>11261035.371063829</v>
      </c>
      <c r="N68" s="397">
        <f t="shared" si="37"/>
        <v>11014683.101170212</v>
      </c>
      <c r="O68" s="397">
        <f t="shared" si="37"/>
        <v>10768330.861276597</v>
      </c>
      <c r="P68" s="539">
        <f t="shared" si="30"/>
        <v>12441206.362176757</v>
      </c>
      <c r="Q68" s="539"/>
      <c r="R68" s="539">
        <f>P68</f>
        <v>12441206.362176757</v>
      </c>
      <c r="S68" s="539"/>
      <c r="T68" s="539">
        <f t="shared" si="31"/>
        <v>12441206.362176757</v>
      </c>
    </row>
    <row r="69" spans="1:20" ht="14">
      <c r="A69" s="402">
        <f t="shared" si="32"/>
        <v>50</v>
      </c>
      <c r="B69" s="563" t="str">
        <f t="shared" si="26"/>
        <v>IT Other - Transmission</v>
      </c>
      <c r="C69" s="397">
        <f t="shared" si="27"/>
        <v>4449841.32</v>
      </c>
      <c r="D69" s="397">
        <f t="shared" si="38" ref="D69:O69">D16-D41</f>
        <v>4202627.913333334</v>
      </c>
      <c r="E69" s="397">
        <f t="shared" si="38"/>
        <v>3955414.5066666668</v>
      </c>
      <c r="F69" s="397">
        <f t="shared" si="38"/>
        <v>3708201.10</v>
      </c>
      <c r="G69" s="397">
        <f t="shared" si="38"/>
        <v>3460987.6933333334</v>
      </c>
      <c r="H69" s="397">
        <f t="shared" si="38"/>
        <v>3213774.2866666666</v>
      </c>
      <c r="I69" s="397">
        <f t="shared" si="38"/>
        <v>2966560.88</v>
      </c>
      <c r="J69" s="397">
        <f t="shared" si="38"/>
        <v>2719347.4733333332</v>
      </c>
      <c r="K69" s="397">
        <f t="shared" si="38"/>
        <v>2472134.0666666664</v>
      </c>
      <c r="L69" s="397">
        <f t="shared" si="38"/>
        <v>2224920.6599999997</v>
      </c>
      <c r="M69" s="397">
        <f t="shared" si="38"/>
        <v>1977707.253333333</v>
      </c>
      <c r="N69" s="397">
        <f t="shared" si="38"/>
        <v>1730493.8466666662</v>
      </c>
      <c r="O69" s="397">
        <f t="shared" si="38"/>
        <v>1483280.4399999995</v>
      </c>
      <c r="P69" s="539">
        <f t="shared" si="30"/>
        <v>2966560.8799999994</v>
      </c>
      <c r="Q69" s="539">
        <f>P69</f>
        <v>2966560.8799999994</v>
      </c>
      <c r="R69" s="539"/>
      <c r="S69" s="539"/>
      <c r="T69" s="539">
        <f t="shared" si="31"/>
        <v>2966560.8799999994</v>
      </c>
    </row>
    <row r="70" spans="1:20" ht="14">
      <c r="A70" s="402">
        <f t="shared" si="32"/>
        <v>51</v>
      </c>
      <c r="B70" s="563" t="str">
        <f t="shared" si="26"/>
        <v>IT CIMS - Distribution only portion</v>
      </c>
      <c r="C70" s="397">
        <f t="shared" si="27"/>
        <v>0</v>
      </c>
      <c r="D70" s="397">
        <f t="shared" si="39" ref="D70:O70">D17-D42</f>
        <v>88090.633546666679</v>
      </c>
      <c r="E70" s="397">
        <f t="shared" si="39"/>
        <v>173874.44359466669</v>
      </c>
      <c r="F70" s="397">
        <f t="shared" si="39"/>
        <v>266522.87546666671</v>
      </c>
      <c r="G70" s="397">
        <f t="shared" si="39"/>
        <v>369640.37719466665</v>
      </c>
      <c r="H70" s="397">
        <f t="shared" si="39"/>
        <v>469258.43547733332</v>
      </c>
      <c r="I70" s="397">
        <f t="shared" si="39"/>
        <v>572360.58017066668</v>
      </c>
      <c r="J70" s="397">
        <f t="shared" si="39"/>
        <v>681572.97351466666</v>
      </c>
      <c r="K70" s="397">
        <f t="shared" si="39"/>
        <v>798545.83630933345</v>
      </c>
      <c r="L70" s="397">
        <f t="shared" si="39"/>
        <v>914917.16167466668</v>
      </c>
      <c r="M70" s="397">
        <f t="shared" si="39"/>
        <v>1021949.5458026667</v>
      </c>
      <c r="N70" s="397">
        <f t="shared" si="39"/>
        <v>1114724.4379946666</v>
      </c>
      <c r="O70" s="397">
        <f t="shared" si="39"/>
        <v>1205553.9474666666</v>
      </c>
      <c r="P70" s="539">
        <f t="shared" si="30"/>
        <v>590539.32678564102</v>
      </c>
      <c r="Q70" s="539"/>
      <c r="R70" s="539">
        <f>P70</f>
        <v>590539.32678564102</v>
      </c>
      <c r="S70" s="539"/>
      <c r="T70" s="539">
        <f t="shared" si="31"/>
        <v>590539.32678564102</v>
      </c>
    </row>
    <row r="71" spans="1:20" ht="14">
      <c r="A71" s="402">
        <f t="shared" si="32"/>
        <v>52</v>
      </c>
      <c r="B71" s="399"/>
      <c r="C71" s="397">
        <f t="shared" si="27"/>
        <v>0</v>
      </c>
      <c r="D71" s="397">
        <f t="shared" si="40" ref="D71:O71">D18-D43</f>
        <v>0</v>
      </c>
      <c r="E71" s="397">
        <f t="shared" si="40"/>
        <v>0</v>
      </c>
      <c r="F71" s="397">
        <f t="shared" si="40"/>
        <v>0</v>
      </c>
      <c r="G71" s="397">
        <f t="shared" si="40"/>
        <v>0</v>
      </c>
      <c r="H71" s="397">
        <f t="shared" si="40"/>
        <v>0</v>
      </c>
      <c r="I71" s="397">
        <f t="shared" si="40"/>
        <v>0</v>
      </c>
      <c r="J71" s="397">
        <f t="shared" si="40"/>
        <v>0</v>
      </c>
      <c r="K71" s="397">
        <f t="shared" si="40"/>
        <v>0</v>
      </c>
      <c r="L71" s="397">
        <f t="shared" si="40"/>
        <v>0</v>
      </c>
      <c r="M71" s="397">
        <f t="shared" si="40"/>
        <v>0</v>
      </c>
      <c r="N71" s="397">
        <f t="shared" si="40"/>
        <v>0</v>
      </c>
      <c r="O71" s="397">
        <f t="shared" si="40"/>
        <v>0</v>
      </c>
      <c r="P71" s="539"/>
      <c r="Q71" s="539"/>
      <c r="R71" s="539"/>
      <c r="S71" s="539"/>
      <c r="T71" s="539">
        <f t="shared" si="31"/>
        <v>0</v>
      </c>
    </row>
    <row r="72" spans="1:20" ht="14">
      <c r="A72" s="402">
        <f t="shared" si="32"/>
        <v>53</v>
      </c>
      <c r="B72" s="399"/>
      <c r="C72" s="397">
        <f t="shared" si="27"/>
        <v>0</v>
      </c>
      <c r="D72" s="397">
        <f t="shared" si="41" ref="D72:O72">D19-D44</f>
        <v>0</v>
      </c>
      <c r="E72" s="397">
        <f t="shared" si="41"/>
        <v>0</v>
      </c>
      <c r="F72" s="397">
        <f t="shared" si="41"/>
        <v>0</v>
      </c>
      <c r="G72" s="397">
        <f t="shared" si="41"/>
        <v>0</v>
      </c>
      <c r="H72" s="397">
        <f t="shared" si="41"/>
        <v>0</v>
      </c>
      <c r="I72" s="397">
        <f t="shared" si="41"/>
        <v>0</v>
      </c>
      <c r="J72" s="397">
        <f t="shared" si="41"/>
        <v>0</v>
      </c>
      <c r="K72" s="397">
        <f t="shared" si="41"/>
        <v>0</v>
      </c>
      <c r="L72" s="397">
        <f t="shared" si="41"/>
        <v>0</v>
      </c>
      <c r="M72" s="397">
        <f t="shared" si="41"/>
        <v>0</v>
      </c>
      <c r="N72" s="397">
        <f t="shared" si="41"/>
        <v>0</v>
      </c>
      <c r="O72" s="397">
        <f t="shared" si="41"/>
        <v>0</v>
      </c>
      <c r="P72" s="539"/>
      <c r="Q72" s="539"/>
      <c r="R72" s="539"/>
      <c r="S72" s="539"/>
      <c r="T72" s="539">
        <f t="shared" si="31"/>
        <v>0</v>
      </c>
    </row>
    <row r="73" spans="1:20" ht="14">
      <c r="A73" s="402">
        <f t="shared" si="32"/>
        <v>54</v>
      </c>
      <c r="B73" s="399"/>
      <c r="C73" s="397">
        <f t="shared" si="27"/>
        <v>0</v>
      </c>
      <c r="D73" s="397">
        <f t="shared" si="42" ref="D73:O73">D20-D45</f>
        <v>0</v>
      </c>
      <c r="E73" s="397">
        <f t="shared" si="42"/>
        <v>0</v>
      </c>
      <c r="F73" s="397">
        <f t="shared" si="42"/>
        <v>0</v>
      </c>
      <c r="G73" s="397">
        <f t="shared" si="42"/>
        <v>0</v>
      </c>
      <c r="H73" s="397">
        <f t="shared" si="42"/>
        <v>0</v>
      </c>
      <c r="I73" s="397">
        <f t="shared" si="42"/>
        <v>0</v>
      </c>
      <c r="J73" s="397">
        <f t="shared" si="42"/>
        <v>0</v>
      </c>
      <c r="K73" s="397">
        <f t="shared" si="42"/>
        <v>0</v>
      </c>
      <c r="L73" s="397">
        <f t="shared" si="42"/>
        <v>0</v>
      </c>
      <c r="M73" s="397">
        <f t="shared" si="42"/>
        <v>0</v>
      </c>
      <c r="N73" s="397">
        <f t="shared" si="42"/>
        <v>0</v>
      </c>
      <c r="O73" s="397">
        <f t="shared" si="42"/>
        <v>0</v>
      </c>
      <c r="P73" s="539"/>
      <c r="Q73" s="539"/>
      <c r="R73" s="539"/>
      <c r="S73" s="539"/>
      <c r="T73" s="539">
        <f t="shared" si="31"/>
        <v>0</v>
      </c>
    </row>
    <row r="74" spans="1:20" ht="14">
      <c r="A74" s="402">
        <f t="shared" si="32"/>
        <v>55</v>
      </c>
      <c r="B74" s="399"/>
      <c r="C74" s="397">
        <f t="shared" si="27"/>
        <v>0</v>
      </c>
      <c r="D74" s="397">
        <f t="shared" si="43" ref="D74:O74">D21-D46</f>
        <v>0</v>
      </c>
      <c r="E74" s="397">
        <f t="shared" si="43"/>
        <v>0</v>
      </c>
      <c r="F74" s="397">
        <f t="shared" si="43"/>
        <v>0</v>
      </c>
      <c r="G74" s="397">
        <f t="shared" si="43"/>
        <v>0</v>
      </c>
      <c r="H74" s="397">
        <f t="shared" si="43"/>
        <v>0</v>
      </c>
      <c r="I74" s="397">
        <f t="shared" si="43"/>
        <v>0</v>
      </c>
      <c r="J74" s="397">
        <f t="shared" si="43"/>
        <v>0</v>
      </c>
      <c r="K74" s="397">
        <f t="shared" si="43"/>
        <v>0</v>
      </c>
      <c r="L74" s="397">
        <f t="shared" si="43"/>
        <v>0</v>
      </c>
      <c r="M74" s="397">
        <f t="shared" si="43"/>
        <v>0</v>
      </c>
      <c r="N74" s="397">
        <f t="shared" si="43"/>
        <v>0</v>
      </c>
      <c r="O74" s="397">
        <f t="shared" si="43"/>
        <v>0</v>
      </c>
      <c r="P74" s="539"/>
      <c r="Q74" s="539"/>
      <c r="R74" s="539"/>
      <c r="S74" s="539"/>
      <c r="T74" s="539">
        <f t="shared" si="31"/>
        <v>0</v>
      </c>
    </row>
    <row r="75" spans="1:20" ht="14">
      <c r="A75" s="402">
        <f t="shared" si="32"/>
        <v>56</v>
      </c>
      <c r="B75" s="403"/>
      <c r="C75" s="397">
        <f t="shared" si="27"/>
        <v>0</v>
      </c>
      <c r="D75" s="397">
        <f t="shared" si="44" ref="D75:O75">D22-D47</f>
        <v>0</v>
      </c>
      <c r="E75" s="397">
        <f t="shared" si="44"/>
        <v>0</v>
      </c>
      <c r="F75" s="397">
        <f t="shared" si="44"/>
        <v>0</v>
      </c>
      <c r="G75" s="397">
        <f t="shared" si="44"/>
        <v>0</v>
      </c>
      <c r="H75" s="397">
        <f t="shared" si="44"/>
        <v>0</v>
      </c>
      <c r="I75" s="397">
        <f t="shared" si="44"/>
        <v>0</v>
      </c>
      <c r="J75" s="397">
        <f t="shared" si="44"/>
        <v>0</v>
      </c>
      <c r="K75" s="397">
        <f t="shared" si="44"/>
        <v>0</v>
      </c>
      <c r="L75" s="397">
        <f t="shared" si="44"/>
        <v>0</v>
      </c>
      <c r="M75" s="397">
        <f t="shared" si="44"/>
        <v>0</v>
      </c>
      <c r="N75" s="397">
        <f t="shared" si="44"/>
        <v>0</v>
      </c>
      <c r="O75" s="397">
        <f t="shared" si="44"/>
        <v>0</v>
      </c>
      <c r="Q75" s="539"/>
      <c r="R75" s="539"/>
      <c r="S75" s="539"/>
      <c r="T75" s="539">
        <f t="shared" si="31"/>
        <v>0</v>
      </c>
    </row>
    <row r="76" spans="1:20" ht="14">
      <c r="A76" s="402">
        <f t="shared" si="32"/>
        <v>57</v>
      </c>
      <c r="B76" s="399"/>
      <c r="C76" s="397">
        <f t="shared" si="27"/>
        <v>0</v>
      </c>
      <c r="D76" s="397">
        <f t="shared" si="45" ref="D76:O76">D23-D48</f>
        <v>0</v>
      </c>
      <c r="E76" s="397">
        <f t="shared" si="45"/>
        <v>0</v>
      </c>
      <c r="F76" s="397">
        <f t="shared" si="45"/>
        <v>0</v>
      </c>
      <c r="G76" s="397">
        <f t="shared" si="45"/>
        <v>0</v>
      </c>
      <c r="H76" s="397">
        <f t="shared" si="45"/>
        <v>0</v>
      </c>
      <c r="I76" s="397">
        <f t="shared" si="45"/>
        <v>0</v>
      </c>
      <c r="J76" s="397">
        <f t="shared" si="45"/>
        <v>0</v>
      </c>
      <c r="K76" s="397">
        <f t="shared" si="45"/>
        <v>0</v>
      </c>
      <c r="L76" s="397">
        <f t="shared" si="45"/>
        <v>0</v>
      </c>
      <c r="M76" s="397">
        <f t="shared" si="45"/>
        <v>0</v>
      </c>
      <c r="N76" s="397">
        <f t="shared" si="45"/>
        <v>0</v>
      </c>
      <c r="O76" s="397">
        <f t="shared" si="45"/>
        <v>0</v>
      </c>
      <c r="Q76" s="539"/>
      <c r="R76" s="539"/>
      <c r="S76" s="539"/>
      <c r="T76" s="539">
        <f t="shared" si="31"/>
        <v>0</v>
      </c>
    </row>
    <row r="77" spans="1:20" ht="14">
      <c r="A77" s="402">
        <f t="shared" si="32"/>
        <v>58</v>
      </c>
      <c r="B77" s="403"/>
      <c r="C77" s="397">
        <f t="shared" si="27"/>
        <v>0</v>
      </c>
      <c r="D77" s="397">
        <f t="shared" si="46" ref="D77:O77">D24-D49</f>
        <v>0</v>
      </c>
      <c r="E77" s="397">
        <f t="shared" si="46"/>
        <v>0</v>
      </c>
      <c r="F77" s="397">
        <f t="shared" si="46"/>
        <v>0</v>
      </c>
      <c r="G77" s="397">
        <f t="shared" si="46"/>
        <v>0</v>
      </c>
      <c r="H77" s="397">
        <f t="shared" si="46"/>
        <v>0</v>
      </c>
      <c r="I77" s="397">
        <f t="shared" si="46"/>
        <v>0</v>
      </c>
      <c r="J77" s="397">
        <f t="shared" si="46"/>
        <v>0</v>
      </c>
      <c r="K77" s="397">
        <f t="shared" si="46"/>
        <v>0</v>
      </c>
      <c r="L77" s="397">
        <f t="shared" si="46"/>
        <v>0</v>
      </c>
      <c r="M77" s="397">
        <f t="shared" si="46"/>
        <v>0</v>
      </c>
      <c r="N77" s="397">
        <f t="shared" si="46"/>
        <v>0</v>
      </c>
      <c r="O77" s="397">
        <f t="shared" si="46"/>
        <v>0</v>
      </c>
      <c r="Q77" s="539"/>
      <c r="R77" s="539"/>
      <c r="S77" s="539"/>
      <c r="T77" s="539">
        <f t="shared" si="31"/>
        <v>0</v>
      </c>
    </row>
    <row r="78" spans="1:20" ht="14">
      <c r="A78" s="402">
        <f t="shared" si="32"/>
        <v>59</v>
      </c>
      <c r="B78" s="403"/>
      <c r="C78" s="397">
        <f t="shared" si="27"/>
        <v>0</v>
      </c>
      <c r="D78" s="397">
        <f t="shared" si="47" ref="D78:O78">D25-D50</f>
        <v>0</v>
      </c>
      <c r="E78" s="397">
        <f t="shared" si="47"/>
        <v>0</v>
      </c>
      <c r="F78" s="397">
        <f t="shared" si="47"/>
        <v>0</v>
      </c>
      <c r="G78" s="397">
        <f t="shared" si="47"/>
        <v>0</v>
      </c>
      <c r="H78" s="397">
        <f t="shared" si="47"/>
        <v>0</v>
      </c>
      <c r="I78" s="397">
        <f t="shared" si="47"/>
        <v>0</v>
      </c>
      <c r="J78" s="397">
        <f t="shared" si="47"/>
        <v>0</v>
      </c>
      <c r="K78" s="397">
        <f t="shared" si="47"/>
        <v>0</v>
      </c>
      <c r="L78" s="397">
        <f t="shared" si="47"/>
        <v>0</v>
      </c>
      <c r="M78" s="397">
        <f t="shared" si="47"/>
        <v>0</v>
      </c>
      <c r="N78" s="397">
        <f t="shared" si="47"/>
        <v>0</v>
      </c>
      <c r="O78" s="397">
        <f t="shared" si="47"/>
        <v>0</v>
      </c>
      <c r="Q78" s="539"/>
      <c r="R78" s="539"/>
      <c r="S78" s="539"/>
      <c r="T78" s="539">
        <f t="shared" si="31"/>
        <v>0</v>
      </c>
    </row>
    <row r="79" spans="1:20" ht="14">
      <c r="A79" s="402">
        <f t="shared" si="32"/>
        <v>60</v>
      </c>
      <c r="B79" s="403"/>
      <c r="C79" s="397">
        <f t="shared" si="27"/>
        <v>0</v>
      </c>
      <c r="D79" s="397">
        <f t="shared" si="48" ref="D79:O79">D26-D51</f>
        <v>0</v>
      </c>
      <c r="E79" s="397">
        <f t="shared" si="48"/>
        <v>0</v>
      </c>
      <c r="F79" s="397">
        <f t="shared" si="48"/>
        <v>0</v>
      </c>
      <c r="G79" s="397">
        <f t="shared" si="48"/>
        <v>0</v>
      </c>
      <c r="H79" s="397">
        <f t="shared" si="48"/>
        <v>0</v>
      </c>
      <c r="I79" s="397">
        <f t="shared" si="48"/>
        <v>0</v>
      </c>
      <c r="J79" s="397">
        <f t="shared" si="48"/>
        <v>0</v>
      </c>
      <c r="K79" s="397">
        <f t="shared" si="48"/>
        <v>0</v>
      </c>
      <c r="L79" s="397">
        <f t="shared" si="48"/>
        <v>0</v>
      </c>
      <c r="M79" s="397">
        <f t="shared" si="48"/>
        <v>0</v>
      </c>
      <c r="N79" s="397">
        <f t="shared" si="48"/>
        <v>0</v>
      </c>
      <c r="O79" s="397">
        <f t="shared" si="48"/>
        <v>0</v>
      </c>
      <c r="Q79" s="539"/>
      <c r="R79" s="539"/>
      <c r="S79" s="539"/>
      <c r="T79" s="539">
        <f t="shared" si="31"/>
        <v>0</v>
      </c>
    </row>
    <row r="80" spans="1:20" ht="14">
      <c r="A80" s="402">
        <f t="shared" si="32"/>
        <v>61</v>
      </c>
      <c r="B80" s="396" t="s">
        <v>13</v>
      </c>
      <c r="C80" s="539">
        <f>SUM(C62:C79)</f>
        <v>51960992.840000011</v>
      </c>
      <c r="D80" s="539">
        <f t="shared" si="49" ref="D80:O80">SUM(D62:D79)</f>
        <v>53899114.909954198</v>
      </c>
      <c r="E80" s="539">
        <f t="shared" si="49"/>
        <v>54027709.749504626</v>
      </c>
      <c r="F80" s="539">
        <f t="shared" si="49"/>
        <v>55796604.769034475</v>
      </c>
      <c r="G80" s="539">
        <f t="shared" si="49"/>
        <v>56130034.679084443</v>
      </c>
      <c r="H80" s="539">
        <f t="shared" si="49"/>
        <v>59828907.609138303</v>
      </c>
      <c r="I80" s="539">
        <f t="shared" si="49"/>
        <v>60191298.83487878</v>
      </c>
      <c r="J80" s="539">
        <f t="shared" si="49"/>
        <v>60707474.250609502</v>
      </c>
      <c r="K80" s="539">
        <f t="shared" si="49"/>
        <v>61330144.858134352</v>
      </c>
      <c r="L80" s="539">
        <f t="shared" si="49"/>
        <v>61859990.981092781</v>
      </c>
      <c r="M80" s="539">
        <f t="shared" si="49"/>
        <v>62275188.982098378</v>
      </c>
      <c r="N80" s="539">
        <f t="shared" si="49"/>
        <v>62359742.193309642</v>
      </c>
      <c r="O80" s="539">
        <f t="shared" si="49"/>
        <v>62418630.053123482</v>
      </c>
      <c r="P80" s="539">
        <f t="shared" si="50" ref="P80">SUM(P62:P79)</f>
        <v>58675833.439227916</v>
      </c>
      <c r="Q80" s="539">
        <f t="shared" si="51" ref="Q80">SUM(Q62:Q79)</f>
        <v>7072880.2138461564</v>
      </c>
      <c r="R80" s="539">
        <f t="shared" si="52" ref="R80">SUM(R62:R79)</f>
        <v>30516862.539693326</v>
      </c>
      <c r="S80" s="539">
        <f t="shared" si="53" ref="S80">SUM(S62:S79)</f>
        <v>21086090.68568844</v>
      </c>
      <c r="T80" s="539">
        <f t="shared" si="54" ref="T80">SUM(T62:T79)</f>
        <v>58675833.439227916</v>
      </c>
    </row>
    <row r="81" spans="1:20" ht="14">
      <c r="A81" s="402">
        <f t="shared" si="32"/>
        <v>62</v>
      </c>
      <c r="B81" s="396"/>
      <c r="C81" s="539"/>
      <c r="D81" s="539"/>
      <c r="E81" s="539"/>
      <c r="F81" s="539"/>
      <c r="G81" s="539"/>
      <c r="H81" s="539"/>
      <c r="I81" s="539"/>
      <c r="J81" s="539"/>
      <c r="K81" s="539"/>
      <c r="L81" s="539"/>
      <c r="M81" s="539"/>
      <c r="N81" s="539"/>
      <c r="O81" s="539"/>
      <c r="P81" s="404" t="s">
        <v>698</v>
      </c>
      <c r="Q81" s="542">
        <f>Q53</f>
        <v>1</v>
      </c>
      <c r="R81" s="542">
        <f t="shared" si="55" ref="R81:S81">R53</f>
        <v>0</v>
      </c>
      <c r="S81" s="542">
        <f t="shared" si="55"/>
        <v>0.09880621410235467</v>
      </c>
      <c r="T81" s="539"/>
    </row>
    <row r="82" spans="1:20" ht="14">
      <c r="A82" s="402">
        <f t="shared" si="32"/>
        <v>63</v>
      </c>
      <c r="B82" s="396"/>
      <c r="C82" s="539"/>
      <c r="D82" s="539"/>
      <c r="E82" s="539"/>
      <c r="F82" s="539"/>
      <c r="G82" s="539"/>
      <c r="H82" s="539"/>
      <c r="I82" s="539"/>
      <c r="J82" s="539"/>
      <c r="K82" s="539"/>
      <c r="L82" s="539"/>
      <c r="M82" s="539"/>
      <c r="N82" s="539"/>
      <c r="O82" s="539"/>
      <c r="P82" s="404" t="s">
        <v>786</v>
      </c>
      <c r="Q82" s="539">
        <f>Q80*Q81</f>
        <v>7072880.2138461564</v>
      </c>
      <c r="R82" s="539">
        <f t="shared" si="56" ref="R82">R80*R81</f>
        <v>0</v>
      </c>
      <c r="S82" s="539">
        <f t="shared" si="57" ref="S82">S80*S81</f>
        <v>2083436.7908717985</v>
      </c>
      <c r="T82" s="539">
        <f>SUM(Q82:S82)</f>
        <v>9156317.0047179554</v>
      </c>
    </row>
    <row r="84" spans="2:20" ht="14">
      <c r="B84" s="396" t="s">
        <v>198</v>
      </c>
      <c r="C84" s="396" t="s">
        <v>199</v>
      </c>
      <c r="D84" s="396" t="s">
        <v>200</v>
      </c>
      <c r="E84" s="396" t="s">
        <v>201</v>
      </c>
      <c r="F84" s="396" t="s">
        <v>203</v>
      </c>
      <c r="G84" s="396" t="s">
        <v>202</v>
      </c>
      <c r="H84" s="396"/>
      <c r="I84" s="396"/>
      <c r="J84" s="396"/>
      <c r="K84" s="396"/>
      <c r="L84" s="396"/>
      <c r="M84" s="396"/>
      <c r="N84" s="396"/>
      <c r="O84" s="396"/>
      <c r="P84" s="396"/>
      <c r="Q84" s="396"/>
      <c r="R84" s="396"/>
      <c r="S84" s="396"/>
      <c r="T84" s="396"/>
    </row>
    <row r="85" spans="2:15" ht="14">
      <c r="B85" s="398"/>
      <c r="C85" s="396" t="s">
        <v>13</v>
      </c>
      <c r="D85" s="538" t="s">
        <v>17</v>
      </c>
      <c r="E85" s="538" t="s">
        <v>778</v>
      </c>
      <c r="F85" s="538" t="s">
        <v>685</v>
      </c>
      <c r="G85" s="612" t="s">
        <v>13</v>
      </c>
      <c r="H85" s="396"/>
      <c r="I85" s="396"/>
      <c r="J85" s="396"/>
      <c r="K85" s="396"/>
      <c r="L85" s="396"/>
      <c r="M85" s="396"/>
      <c r="N85" s="396"/>
      <c r="O85" s="396"/>
    </row>
    <row r="86" spans="2:15" ht="14">
      <c r="B86" s="398" t="s">
        <v>662</v>
      </c>
      <c r="C86" s="405"/>
      <c r="G86" s="406" t="s">
        <v>1159</v>
      </c>
      <c r="H86" s="396"/>
      <c r="I86" s="396"/>
      <c r="J86" s="396"/>
      <c r="K86" s="396"/>
      <c r="L86" s="396"/>
      <c r="M86" s="396"/>
      <c r="N86" s="396"/>
      <c r="O86" s="396"/>
    </row>
    <row r="87" spans="1:15" ht="14">
      <c r="A87" s="402">
        <f>A82+1</f>
        <v>64</v>
      </c>
      <c r="B87" s="563" t="s">
        <v>1538</v>
      </c>
      <c r="C87" s="551">
        <v>2811570.8500000001</v>
      </c>
      <c r="D87" s="539"/>
      <c r="E87" s="539"/>
      <c r="F87" s="539">
        <f>C87</f>
        <v>2811570.85</v>
      </c>
      <c r="G87" s="539">
        <f>SUM(D87:F87)</f>
        <v>2811570.85</v>
      </c>
      <c r="H87" s="397"/>
      <c r="I87" s="397"/>
      <c r="J87" s="397"/>
      <c r="K87" s="397"/>
      <c r="L87" s="397"/>
      <c r="M87" s="397"/>
      <c r="N87" s="397"/>
      <c r="O87" s="397"/>
    </row>
    <row r="88" spans="1:15" ht="14">
      <c r="A88" s="402">
        <f>A87+1</f>
        <v>65</v>
      </c>
      <c r="B88" s="563" t="s">
        <v>776</v>
      </c>
      <c r="C88" s="551">
        <v>2298585.23</v>
      </c>
      <c r="D88" s="539">
        <f>C88</f>
        <v>2298585.23</v>
      </c>
      <c r="E88" s="539"/>
      <c r="F88" s="539"/>
      <c r="G88" s="539">
        <f t="shared" si="58" ref="G88:G105">SUM(D88:F88)</f>
        <v>2298585.23</v>
      </c>
      <c r="H88" s="397"/>
      <c r="I88" s="397"/>
      <c r="J88" s="397"/>
      <c r="K88" s="397"/>
      <c r="L88" s="397"/>
      <c r="M88" s="397"/>
      <c r="N88" s="397"/>
      <c r="O88" s="397"/>
    </row>
    <row r="89" spans="1:15" ht="14">
      <c r="A89" s="402">
        <f t="shared" si="59" ref="A89:A107">A88+1</f>
        <v>66</v>
      </c>
      <c r="B89" s="563" t="s">
        <v>777</v>
      </c>
      <c r="C89" s="551">
        <v>445765.78000000003</v>
      </c>
      <c r="D89" s="539"/>
      <c r="E89" s="539">
        <f>C89</f>
        <v>445765.78</v>
      </c>
      <c r="F89" s="539"/>
      <c r="G89" s="539">
        <f t="shared" si="58"/>
        <v>445765.78</v>
      </c>
      <c r="H89" s="397"/>
      <c r="I89" s="397"/>
      <c r="J89" s="397"/>
      <c r="K89" s="397"/>
      <c r="L89" s="397"/>
      <c r="M89" s="397"/>
      <c r="N89" s="397"/>
      <c r="O89" s="397"/>
    </row>
    <row r="90" spans="1:15" ht="14">
      <c r="A90" s="402">
        <f t="shared" si="59"/>
        <v>67</v>
      </c>
      <c r="B90" s="563" t="s">
        <v>789</v>
      </c>
      <c r="C90" s="551">
        <v>0</v>
      </c>
      <c r="D90" s="539"/>
      <c r="E90" s="539">
        <f>C90</f>
        <v>0</v>
      </c>
      <c r="F90" s="539"/>
      <c r="G90" s="539">
        <f t="shared" si="58"/>
        <v>0</v>
      </c>
      <c r="H90" s="397"/>
      <c r="I90" s="397"/>
      <c r="J90" s="397"/>
      <c r="K90" s="397"/>
      <c r="L90" s="397"/>
      <c r="M90" s="397"/>
      <c r="N90" s="397"/>
      <c r="O90" s="397"/>
    </row>
    <row r="91" spans="1:15" ht="14">
      <c r="A91" s="402">
        <f t="shared" si="59"/>
        <v>68</v>
      </c>
      <c r="B91" s="563" t="s">
        <v>1571</v>
      </c>
      <c r="C91" s="551">
        <v>458583.59999999998</v>
      </c>
      <c r="D91" s="539"/>
      <c r="E91" s="539">
        <f>C91</f>
        <v>458583.60</v>
      </c>
      <c r="F91" s="539"/>
      <c r="G91" s="539">
        <f t="shared" si="58"/>
        <v>458583.60</v>
      </c>
      <c r="H91" s="397"/>
      <c r="I91" s="397"/>
      <c r="J91" s="397"/>
      <c r="K91" s="397"/>
      <c r="L91" s="397"/>
      <c r="M91" s="397"/>
      <c r="N91" s="397"/>
      <c r="O91" s="397"/>
    </row>
    <row r="92" spans="1:15" ht="14">
      <c r="A92" s="402">
        <f t="shared" si="59"/>
        <v>69</v>
      </c>
      <c r="B92" s="563" t="s">
        <v>818</v>
      </c>
      <c r="C92" s="551">
        <v>5526523.0300000003</v>
      </c>
      <c r="D92" s="539"/>
      <c r="E92" s="539">
        <f>C92</f>
        <v>5526523.0300000003</v>
      </c>
      <c r="F92" s="539"/>
      <c r="G92" s="539">
        <f t="shared" si="58"/>
        <v>5526523.0300000003</v>
      </c>
      <c r="H92" s="397"/>
      <c r="I92" s="397"/>
      <c r="J92" s="397"/>
      <c r="K92" s="397"/>
      <c r="L92" s="397"/>
      <c r="M92" s="397"/>
      <c r="N92" s="397"/>
      <c r="O92" s="397"/>
    </row>
    <row r="93" spans="1:15" ht="14">
      <c r="A93" s="402">
        <f t="shared" si="59"/>
        <v>70</v>
      </c>
      <c r="B93" s="563" t="s">
        <v>790</v>
      </c>
      <c r="C93" s="551">
        <v>6160935.3000000007</v>
      </c>
      <c r="D93" s="539"/>
      <c r="E93" s="539">
        <f>C93</f>
        <v>6160935.3000000007</v>
      </c>
      <c r="F93" s="539"/>
      <c r="G93" s="539">
        <f t="shared" si="58"/>
        <v>6160935.3000000007</v>
      </c>
      <c r="H93" s="397"/>
      <c r="I93" s="397"/>
      <c r="J93" s="397"/>
      <c r="K93" s="397"/>
      <c r="L93" s="397"/>
      <c r="M93" s="397"/>
      <c r="N93" s="397"/>
      <c r="O93" s="397"/>
    </row>
    <row r="94" spans="1:15" ht="14">
      <c r="A94" s="402">
        <f t="shared" si="59"/>
        <v>71</v>
      </c>
      <c r="B94" s="563" t="s">
        <v>1572</v>
      </c>
      <c r="C94" s="551">
        <v>1102456.04</v>
      </c>
      <c r="D94" s="539">
        <f>C94</f>
        <v>1102456.04</v>
      </c>
      <c r="E94" s="539"/>
      <c r="F94" s="539"/>
      <c r="G94" s="539">
        <f t="shared" si="58"/>
        <v>1102456.04</v>
      </c>
      <c r="H94" s="397"/>
      <c r="I94" s="397"/>
      <c r="J94" s="397"/>
      <c r="K94" s="397"/>
      <c r="L94" s="397"/>
      <c r="M94" s="397"/>
      <c r="N94" s="397"/>
      <c r="O94" s="397"/>
    </row>
    <row r="95" spans="1:15" ht="14">
      <c r="A95" s="402">
        <f t="shared" si="59"/>
        <v>72</v>
      </c>
      <c r="B95" s="399"/>
      <c r="C95" s="551">
        <v>0</v>
      </c>
      <c r="D95" s="539"/>
      <c r="E95" s="539"/>
      <c r="F95" s="539"/>
      <c r="G95" s="539">
        <f t="shared" si="58"/>
        <v>0</v>
      </c>
      <c r="H95" s="397"/>
      <c r="I95" s="397"/>
      <c r="J95" s="397"/>
      <c r="K95" s="397"/>
      <c r="L95" s="397"/>
      <c r="M95" s="397"/>
      <c r="N95" s="397"/>
      <c r="O95" s="397"/>
    </row>
    <row r="96" spans="1:15" ht="14">
      <c r="A96" s="402">
        <f t="shared" si="59"/>
        <v>73</v>
      </c>
      <c r="B96" s="399"/>
      <c r="C96" s="551">
        <v>0</v>
      </c>
      <c r="D96" s="539"/>
      <c r="E96" s="539"/>
      <c r="F96" s="539"/>
      <c r="G96" s="539">
        <f t="shared" si="58"/>
        <v>0</v>
      </c>
      <c r="H96" s="397"/>
      <c r="I96" s="397"/>
      <c r="J96" s="397"/>
      <c r="K96" s="397"/>
      <c r="L96" s="397"/>
      <c r="M96" s="397"/>
      <c r="N96" s="397"/>
      <c r="O96" s="397"/>
    </row>
    <row r="97" spans="1:15" ht="14">
      <c r="A97" s="402">
        <f t="shared" si="59"/>
        <v>74</v>
      </c>
      <c r="B97" s="399"/>
      <c r="C97" s="551">
        <v>0</v>
      </c>
      <c r="D97" s="539"/>
      <c r="E97" s="539"/>
      <c r="F97" s="539"/>
      <c r="G97" s="539">
        <f t="shared" si="58"/>
        <v>0</v>
      </c>
      <c r="H97" s="397"/>
      <c r="I97" s="397"/>
      <c r="J97" s="397"/>
      <c r="K97" s="397"/>
      <c r="L97" s="397"/>
      <c r="M97" s="397"/>
      <c r="N97" s="397"/>
      <c r="O97" s="397"/>
    </row>
    <row r="98" spans="1:15" ht="14">
      <c r="A98" s="402">
        <f t="shared" si="59"/>
        <v>75</v>
      </c>
      <c r="B98" s="399"/>
      <c r="C98" s="551">
        <v>0</v>
      </c>
      <c r="D98" s="539"/>
      <c r="E98" s="539"/>
      <c r="F98" s="539"/>
      <c r="G98" s="539">
        <f t="shared" si="58"/>
        <v>0</v>
      </c>
      <c r="H98" s="397"/>
      <c r="I98" s="397"/>
      <c r="J98" s="397"/>
      <c r="K98" s="397"/>
      <c r="L98" s="397"/>
      <c r="M98" s="397"/>
      <c r="N98" s="397"/>
      <c r="O98" s="397"/>
    </row>
    <row r="99" spans="1:15" ht="14">
      <c r="A99" s="402">
        <f t="shared" si="59"/>
        <v>76</v>
      </c>
      <c r="B99" s="399"/>
      <c r="C99" s="551">
        <v>0</v>
      </c>
      <c r="D99" s="539"/>
      <c r="E99" s="539"/>
      <c r="F99" s="539"/>
      <c r="G99" s="539">
        <f t="shared" si="58"/>
        <v>0</v>
      </c>
      <c r="H99" s="397"/>
      <c r="I99" s="397"/>
      <c r="J99" s="397"/>
      <c r="K99" s="397"/>
      <c r="L99" s="397"/>
      <c r="M99" s="397"/>
      <c r="N99" s="397"/>
      <c r="O99" s="397"/>
    </row>
    <row r="100" spans="1:15" ht="14">
      <c r="A100" s="402">
        <f t="shared" si="59"/>
        <v>77</v>
      </c>
      <c r="B100" s="403"/>
      <c r="C100" s="551">
        <v>0</v>
      </c>
      <c r="D100" s="539"/>
      <c r="E100" s="539"/>
      <c r="F100" s="539"/>
      <c r="G100" s="539">
        <f t="shared" si="58"/>
        <v>0</v>
      </c>
      <c r="H100" s="397"/>
      <c r="I100" s="397"/>
      <c r="J100" s="397"/>
      <c r="K100" s="397"/>
      <c r="L100" s="397"/>
      <c r="M100" s="397"/>
      <c r="N100" s="397"/>
      <c r="O100" s="397"/>
    </row>
    <row r="101" spans="1:15" ht="14">
      <c r="A101" s="402">
        <f t="shared" si="59"/>
        <v>78</v>
      </c>
      <c r="B101" s="399"/>
      <c r="C101" s="551">
        <v>0</v>
      </c>
      <c r="D101" s="539"/>
      <c r="E101" s="539"/>
      <c r="F101" s="539"/>
      <c r="G101" s="539">
        <f t="shared" si="58"/>
        <v>0</v>
      </c>
      <c r="H101" s="397"/>
      <c r="I101" s="397"/>
      <c r="J101" s="397"/>
      <c r="K101" s="397"/>
      <c r="L101" s="397"/>
      <c r="M101" s="397"/>
      <c r="N101" s="397"/>
      <c r="O101" s="397"/>
    </row>
    <row r="102" spans="1:15" ht="14">
      <c r="A102" s="402">
        <f t="shared" si="59"/>
        <v>79</v>
      </c>
      <c r="B102" s="403"/>
      <c r="C102" s="551">
        <v>0</v>
      </c>
      <c r="D102" s="539"/>
      <c r="E102" s="539"/>
      <c r="F102" s="539"/>
      <c r="G102" s="539">
        <f t="shared" si="58"/>
        <v>0</v>
      </c>
      <c r="H102" s="397"/>
      <c r="I102" s="397"/>
      <c r="J102" s="397"/>
      <c r="K102" s="397"/>
      <c r="L102" s="397"/>
      <c r="M102" s="397"/>
      <c r="N102" s="397"/>
      <c r="O102" s="397"/>
    </row>
    <row r="103" spans="1:15" ht="14">
      <c r="A103" s="402">
        <f t="shared" si="59"/>
        <v>80</v>
      </c>
      <c r="B103" s="403"/>
      <c r="C103" s="551">
        <v>0</v>
      </c>
      <c r="D103" s="539"/>
      <c r="E103" s="539"/>
      <c r="F103" s="539"/>
      <c r="G103" s="539">
        <f t="shared" si="58"/>
        <v>0</v>
      </c>
      <c r="H103" s="397"/>
      <c r="I103" s="397"/>
      <c r="J103" s="397"/>
      <c r="K103" s="397"/>
      <c r="L103" s="397"/>
      <c r="M103" s="397"/>
      <c r="N103" s="397"/>
      <c r="O103" s="397"/>
    </row>
    <row r="104" spans="1:15" ht="14">
      <c r="A104" s="402">
        <f t="shared" si="59"/>
        <v>81</v>
      </c>
      <c r="B104" s="403"/>
      <c r="C104" s="551">
        <v>0</v>
      </c>
      <c r="D104" s="539"/>
      <c r="E104" s="539"/>
      <c r="F104" s="539"/>
      <c r="G104" s="539">
        <f t="shared" si="58"/>
        <v>0</v>
      </c>
      <c r="H104" s="397"/>
      <c r="I104" s="397"/>
      <c r="J104" s="397"/>
      <c r="K104" s="397"/>
      <c r="L104" s="397"/>
      <c r="M104" s="397"/>
      <c r="N104" s="397"/>
      <c r="O104" s="397"/>
    </row>
    <row r="105" spans="1:15" ht="14">
      <c r="A105" s="402">
        <f t="shared" si="59"/>
        <v>82</v>
      </c>
      <c r="B105" s="396" t="s">
        <v>13</v>
      </c>
      <c r="C105" s="539">
        <f>SUM(C87:C104)</f>
        <v>18804419.829999998</v>
      </c>
      <c r="D105" s="539">
        <f>SUM(D87:D104)</f>
        <v>3401041.27</v>
      </c>
      <c r="E105" s="539">
        <f>SUM(E87:E104)</f>
        <v>12591807.710000001</v>
      </c>
      <c r="F105" s="539">
        <f>SUM(F87:F104)</f>
        <v>2811570.85</v>
      </c>
      <c r="G105" s="539">
        <f t="shared" si="58"/>
        <v>18804419.830000002</v>
      </c>
      <c r="H105" s="539"/>
      <c r="I105" s="539"/>
      <c r="J105" s="539"/>
      <c r="K105" s="539"/>
      <c r="L105" s="539"/>
      <c r="M105" s="539"/>
      <c r="N105" s="539"/>
      <c r="O105" s="539"/>
    </row>
    <row r="106" spans="1:7" ht="14">
      <c r="A106" s="402">
        <f t="shared" si="59"/>
        <v>83</v>
      </c>
      <c r="C106" s="404" t="s">
        <v>698</v>
      </c>
      <c r="D106" s="542">
        <f>Q81</f>
        <v>1</v>
      </c>
      <c r="E106" s="542">
        <f>R81</f>
        <v>0</v>
      </c>
      <c r="F106" s="542">
        <f>S81</f>
        <v>0.09880621410235467</v>
      </c>
      <c r="G106" s="539"/>
    </row>
    <row r="107" spans="1:7" ht="14">
      <c r="A107" s="402">
        <f t="shared" si="59"/>
        <v>84</v>
      </c>
      <c r="C107" s="404" t="s">
        <v>786</v>
      </c>
      <c r="D107" s="539">
        <f>D105*D106</f>
        <v>3401041.27</v>
      </c>
      <c r="E107" s="539">
        <f t="shared" si="60" ref="E107">E105*E106</f>
        <v>0</v>
      </c>
      <c r="F107" s="539">
        <f t="shared" si="61" ref="F107">F105*F106</f>
        <v>277800.67136903934</v>
      </c>
      <c r="G107" s="539">
        <f>SUM(D107:F107)</f>
        <v>3678841.9413690395</v>
      </c>
    </row>
  </sheetData>
  <mergeCells count="5">
    <mergeCell ref="B1:G1"/>
    <mergeCell ref="B3:G3"/>
    <mergeCell ref="B2:H2"/>
    <mergeCell ref="B56:H56"/>
    <mergeCell ref="B57:G57"/>
  </mergeCells>
  <pageMargins left="0.7" right="0.7" top="0.75" bottom="0.75" header="0.3" footer="0.3"/>
  <pageSetup fitToHeight="4" orientation="landscape" scale="38" r:id="rId1"/>
  <rowBreaks count="1" manualBreakCount="1">
    <brk id="54" max="1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9"/>
  <sheetViews>
    <sheetView view="pageBreakPreview" zoomScale="60" zoomScaleNormal="90" workbookViewId="0" topLeftCell="A52">
      <selection pane="topLeft" activeCell="A1" sqref="A1"/>
    </sheetView>
  </sheetViews>
  <sheetFormatPr defaultColWidth="8.765625" defaultRowHeight="15.5"/>
  <cols>
    <col min="1" max="1" width="4.78571428571429" style="117" customWidth="1"/>
    <col min="2" max="2" width="62" style="117" customWidth="1"/>
    <col min="3" max="3" width="15.2857142857143" style="117" customWidth="1"/>
    <col min="4" max="7" width="11.7142857142857" style="117" customWidth="1"/>
    <col min="8" max="8" width="11" style="117" bestFit="1" customWidth="1"/>
    <col min="9" max="9" width="8.78571428571429" style="117"/>
    <col min="10" max="10" width="13.7857142857143" style="117" bestFit="1" customWidth="1"/>
    <col min="11" max="11" width="12.4285714285714" style="117" bestFit="1" customWidth="1"/>
    <col min="12" max="16384" width="8.78571428571429" style="117"/>
  </cols>
  <sheetData>
    <row r="1" spans="1:8" ht="17.5">
      <c r="A1" s="1085" t="str">
        <f>+'Attachment H-7'!D177</f>
        <v>PECO Energy Company</v>
      </c>
      <c r="B1" s="1085"/>
      <c r="C1" s="1085"/>
      <c r="D1" s="1085"/>
      <c r="E1" s="1085"/>
      <c r="F1" s="1085"/>
      <c r="G1" s="352"/>
      <c r="H1" s="117" t="s">
        <v>422</v>
      </c>
    </row>
    <row r="2" spans="1:7" ht="20">
      <c r="A2" s="706"/>
      <c r="B2" s="707"/>
      <c r="C2" s="708"/>
      <c r="D2" s="709"/>
      <c r="E2" s="352"/>
      <c r="F2" s="352"/>
      <c r="G2" s="352"/>
    </row>
    <row r="3" spans="1:7" ht="15.5">
      <c r="A3" s="1086" t="s">
        <v>1233</v>
      </c>
      <c r="B3" s="1086"/>
      <c r="C3" s="1086"/>
      <c r="D3" s="1086"/>
      <c r="E3" s="1086"/>
      <c r="F3" s="1086"/>
      <c r="G3" s="352"/>
    </row>
    <row r="4" spans="2:14" ht="15.5">
      <c r="B4" s="396" t="s">
        <v>198</v>
      </c>
      <c r="C4" s="396" t="s">
        <v>199</v>
      </c>
      <c r="D4" s="396" t="s">
        <v>200</v>
      </c>
      <c r="E4" s="396" t="s">
        <v>201</v>
      </c>
      <c r="F4" s="396" t="s">
        <v>203</v>
      </c>
      <c r="G4" s="396" t="s">
        <v>974</v>
      </c>
      <c r="H4" s="396" t="s">
        <v>978</v>
      </c>
      <c r="I4" s="396"/>
      <c r="J4" s="396"/>
      <c r="K4" s="396"/>
      <c r="L4" s="396"/>
      <c r="M4" s="396"/>
      <c r="N4" s="396"/>
    </row>
    <row r="5" ht="15.5">
      <c r="B5" s="529" t="s">
        <v>719</v>
      </c>
    </row>
    <row r="6" spans="2:8" ht="15.5">
      <c r="B6" s="327" t="s">
        <v>718</v>
      </c>
      <c r="C6" s="392" t="s">
        <v>1621</v>
      </c>
      <c r="D6" s="392" t="s">
        <v>1622</v>
      </c>
      <c r="E6" s="392"/>
      <c r="F6" s="710"/>
      <c r="G6" s="710"/>
      <c r="H6" s="381" t="s">
        <v>13</v>
      </c>
    </row>
    <row r="7" spans="1:9" ht="15.5">
      <c r="A7" s="381">
        <v>1</v>
      </c>
      <c r="B7" s="393">
        <v>923</v>
      </c>
      <c r="C7" s="393">
        <v>0</v>
      </c>
      <c r="D7" s="561">
        <v>609158.39999999991</v>
      </c>
      <c r="E7" s="710"/>
      <c r="F7" s="710"/>
      <c r="G7" s="710"/>
      <c r="H7" s="382">
        <f t="shared" si="0" ref="H7:H17">SUM(C7:G7)</f>
        <v>609158.39999999991</v>
      </c>
      <c r="I7" s="381"/>
    </row>
    <row r="8" spans="1:9" ht="15.5">
      <c r="A8" s="381">
        <f>A7+1</f>
        <v>2</v>
      </c>
      <c r="B8" s="393">
        <v>926</v>
      </c>
      <c r="C8" s="393">
        <v>0</v>
      </c>
      <c r="D8" s="561">
        <v>0</v>
      </c>
      <c r="E8" s="710"/>
      <c r="F8" s="710"/>
      <c r="G8" s="710"/>
      <c r="H8" s="382">
        <f t="shared" si="0"/>
        <v>0</v>
      </c>
      <c r="I8" s="381"/>
    </row>
    <row r="9" spans="1:9" ht="15.5">
      <c r="A9" s="381">
        <f t="shared" si="1" ref="A9:A17">A8+1</f>
        <v>3</v>
      </c>
      <c r="B9" s="393"/>
      <c r="C9" s="393"/>
      <c r="D9" s="393"/>
      <c r="E9" s="710"/>
      <c r="F9" s="710"/>
      <c r="G9" s="710"/>
      <c r="H9" s="382">
        <f t="shared" si="0"/>
        <v>0</v>
      </c>
      <c r="I9" s="381"/>
    </row>
    <row r="10" spans="1:9" ht="15.5">
      <c r="A10" s="381">
        <f t="shared" si="1"/>
        <v>4</v>
      </c>
      <c r="B10" s="393"/>
      <c r="C10" s="393"/>
      <c r="D10" s="393"/>
      <c r="E10" s="710"/>
      <c r="F10" s="710"/>
      <c r="G10" s="710"/>
      <c r="H10" s="382">
        <f t="shared" si="0"/>
        <v>0</v>
      </c>
      <c r="I10" s="381"/>
    </row>
    <row r="11" spans="1:9" ht="15.5">
      <c r="A11" s="381">
        <f t="shared" si="1"/>
        <v>5</v>
      </c>
      <c r="B11" s="393"/>
      <c r="C11" s="393"/>
      <c r="D11" s="393"/>
      <c r="E11" s="710"/>
      <c r="F11" s="710"/>
      <c r="G11" s="710"/>
      <c r="H11" s="382">
        <f t="shared" si="0"/>
        <v>0</v>
      </c>
      <c r="I11" s="381"/>
    </row>
    <row r="12" spans="1:9" ht="15.5">
      <c r="A12" s="381">
        <f t="shared" si="1"/>
        <v>6</v>
      </c>
      <c r="B12" s="393"/>
      <c r="C12" s="393"/>
      <c r="D12" s="393"/>
      <c r="E12" s="710"/>
      <c r="F12" s="710"/>
      <c r="G12" s="710"/>
      <c r="H12" s="382">
        <f t="shared" si="0"/>
        <v>0</v>
      </c>
      <c r="I12" s="381"/>
    </row>
    <row r="13" spans="1:9" ht="15.5">
      <c r="A13" s="381">
        <f t="shared" si="1"/>
        <v>7</v>
      </c>
      <c r="B13" s="393"/>
      <c r="C13" s="393"/>
      <c r="D13" s="393"/>
      <c r="E13" s="710"/>
      <c r="F13" s="710"/>
      <c r="G13" s="710"/>
      <c r="H13" s="382">
        <f t="shared" si="0"/>
        <v>0</v>
      </c>
      <c r="I13" s="381"/>
    </row>
    <row r="14" spans="1:9" ht="15.5">
      <c r="A14" s="381">
        <f t="shared" si="1"/>
        <v>8</v>
      </c>
      <c r="B14" s="393"/>
      <c r="C14" s="393"/>
      <c r="D14" s="393"/>
      <c r="E14" s="710"/>
      <c r="F14" s="710"/>
      <c r="G14" s="710"/>
      <c r="H14" s="382">
        <f t="shared" si="0"/>
        <v>0</v>
      </c>
      <c r="I14" s="381"/>
    </row>
    <row r="15" spans="1:9" ht="15.5">
      <c r="A15" s="381">
        <f t="shared" si="1"/>
        <v>9</v>
      </c>
      <c r="B15" s="393"/>
      <c r="C15" s="393"/>
      <c r="D15" s="393"/>
      <c r="E15" s="710"/>
      <c r="F15" s="710"/>
      <c r="G15" s="710"/>
      <c r="H15" s="382">
        <f t="shared" si="0"/>
        <v>0</v>
      </c>
      <c r="I15" s="381"/>
    </row>
    <row r="16" spans="1:9" ht="15.5">
      <c r="A16" s="381">
        <f t="shared" si="1"/>
        <v>10</v>
      </c>
      <c r="B16" s="393"/>
      <c r="C16" s="393"/>
      <c r="D16" s="393"/>
      <c r="E16" s="710"/>
      <c r="F16" s="710"/>
      <c r="G16" s="710"/>
      <c r="H16" s="382">
        <f t="shared" si="0"/>
        <v>0</v>
      </c>
      <c r="I16" s="381"/>
    </row>
    <row r="17" spans="1:9" ht="15.5">
      <c r="A17" s="381">
        <f t="shared" si="1"/>
        <v>11</v>
      </c>
      <c r="B17" s="327" t="s">
        <v>13</v>
      </c>
      <c r="C17" s="382">
        <f>SUM(C7:C16)</f>
        <v>0</v>
      </c>
      <c r="D17" s="382">
        <f t="shared" si="2" ref="D17">SUM(D7:D16)</f>
        <v>609158.39999999991</v>
      </c>
      <c r="E17" s="382"/>
      <c r="F17" s="382"/>
      <c r="G17" s="382"/>
      <c r="H17" s="382">
        <f t="shared" si="0"/>
        <v>609158.39999999991</v>
      </c>
      <c r="I17" s="381"/>
    </row>
    <row r="18" spans="1:9" ht="15.5">
      <c r="A18" s="396"/>
      <c r="B18" s="327"/>
      <c r="C18" s="382"/>
      <c r="D18" s="382"/>
      <c r="E18" s="382"/>
      <c r="F18" s="382"/>
      <c r="G18" s="382"/>
      <c r="H18" s="382"/>
      <c r="I18" s="381"/>
    </row>
    <row r="19" spans="1:9" ht="15.5">
      <c r="A19" s="711"/>
      <c r="B19" s="529" t="s">
        <v>1124</v>
      </c>
      <c r="I19" s="381"/>
    </row>
    <row r="20" spans="2:8" ht="15.5">
      <c r="B20" s="529" t="s">
        <v>775</v>
      </c>
      <c r="C20" s="327" t="str">
        <f>C6</f>
        <v>Constellation Merger</v>
      </c>
      <c r="D20" s="327" t="str">
        <f>D6</f>
        <v>PHI Merger</v>
      </c>
      <c r="E20" s="327"/>
      <c r="F20" s="327"/>
      <c r="G20" s="327"/>
      <c r="H20" s="381" t="s">
        <v>13</v>
      </c>
    </row>
    <row r="21" spans="1:10" ht="15.5">
      <c r="A21" s="381">
        <f>A17+1</f>
        <v>12</v>
      </c>
      <c r="B21" s="327" t="s">
        <v>195</v>
      </c>
      <c r="C21" s="407">
        <v>0</v>
      </c>
      <c r="D21" s="407">
        <v>3229861.3401600001</v>
      </c>
      <c r="E21" s="408"/>
      <c r="F21" s="408"/>
      <c r="G21" s="408"/>
      <c r="H21" s="382">
        <f t="shared" si="3" ref="H21:H33">SUM(C21:G21)</f>
        <v>3229861.3401600001</v>
      </c>
      <c r="J21" s="148"/>
    </row>
    <row r="22" spans="1:10" ht="15.5">
      <c r="A22" s="381">
        <f>A21+1</f>
        <v>13</v>
      </c>
      <c r="B22" s="327" t="s">
        <v>84</v>
      </c>
      <c r="C22" s="407">
        <v>0</v>
      </c>
      <c r="D22" s="407">
        <v>3229861.3401600001</v>
      </c>
      <c r="E22" s="408"/>
      <c r="F22" s="408"/>
      <c r="G22" s="408"/>
      <c r="H22" s="382">
        <f t="shared" si="3"/>
        <v>3229861.3401600001</v>
      </c>
      <c r="J22" s="148"/>
    </row>
    <row r="23" spans="1:10" ht="15.5">
      <c r="A23" s="381">
        <f t="shared" si="4" ref="A23:A34">A22+1</f>
        <v>14</v>
      </c>
      <c r="B23" s="327" t="s">
        <v>83</v>
      </c>
      <c r="C23" s="407">
        <v>0</v>
      </c>
      <c r="D23" s="407">
        <v>3229861.3401600001</v>
      </c>
      <c r="E23" s="408"/>
      <c r="F23" s="408"/>
      <c r="G23" s="408"/>
      <c r="H23" s="382">
        <f t="shared" si="3"/>
        <v>3229861.3401600001</v>
      </c>
      <c r="J23" s="148"/>
    </row>
    <row r="24" spans="1:10" ht="15.5">
      <c r="A24" s="381">
        <f t="shared" si="4"/>
        <v>15</v>
      </c>
      <c r="B24" s="327" t="s">
        <v>171</v>
      </c>
      <c r="C24" s="407">
        <v>0</v>
      </c>
      <c r="D24" s="407">
        <v>3229861.3401600001</v>
      </c>
      <c r="E24" s="408"/>
      <c r="F24" s="408"/>
      <c r="G24" s="408"/>
      <c r="H24" s="382">
        <f t="shared" si="3"/>
        <v>3229861.3401600001</v>
      </c>
      <c r="J24" s="148"/>
    </row>
    <row r="25" spans="1:10" ht="15.5">
      <c r="A25" s="381">
        <f t="shared" si="4"/>
        <v>16</v>
      </c>
      <c r="B25" s="327" t="s">
        <v>74</v>
      </c>
      <c r="C25" s="407">
        <v>0</v>
      </c>
      <c r="D25" s="407">
        <v>3229861.3401600001</v>
      </c>
      <c r="E25" s="408"/>
      <c r="F25" s="408"/>
      <c r="G25" s="408"/>
      <c r="H25" s="382">
        <f t="shared" si="3"/>
        <v>3229861.3401600001</v>
      </c>
      <c r="J25" s="148"/>
    </row>
    <row r="26" spans="1:10" ht="15.5">
      <c r="A26" s="381">
        <f t="shared" si="4"/>
        <v>17</v>
      </c>
      <c r="B26" s="327" t="s">
        <v>73</v>
      </c>
      <c r="C26" s="407">
        <v>0</v>
      </c>
      <c r="D26" s="407">
        <v>3229861.3401600001</v>
      </c>
      <c r="E26" s="408"/>
      <c r="F26" s="408"/>
      <c r="G26" s="408"/>
      <c r="H26" s="382">
        <f t="shared" si="3"/>
        <v>3229861.3401600001</v>
      </c>
      <c r="J26" s="148"/>
    </row>
    <row r="27" spans="1:10" ht="15.5">
      <c r="A27" s="381">
        <f t="shared" si="4"/>
        <v>18</v>
      </c>
      <c r="B27" s="327" t="s">
        <v>93</v>
      </c>
      <c r="C27" s="407">
        <v>0</v>
      </c>
      <c r="D27" s="407">
        <v>3229861.3401600001</v>
      </c>
      <c r="E27" s="408"/>
      <c r="F27" s="408"/>
      <c r="G27" s="408"/>
      <c r="H27" s="382">
        <f t="shared" si="3"/>
        <v>3229861.3401600001</v>
      </c>
      <c r="J27" s="148"/>
    </row>
    <row r="28" spans="1:10" ht="15.5">
      <c r="A28" s="381">
        <f t="shared" si="4"/>
        <v>19</v>
      </c>
      <c r="B28" s="327" t="s">
        <v>81</v>
      </c>
      <c r="C28" s="407">
        <v>0</v>
      </c>
      <c r="D28" s="407">
        <v>3229861.3401600001</v>
      </c>
      <c r="E28" s="408"/>
      <c r="F28" s="408"/>
      <c r="G28" s="408"/>
      <c r="H28" s="382">
        <f t="shared" si="3"/>
        <v>3229861.3401600001</v>
      </c>
      <c r="J28" s="148"/>
    </row>
    <row r="29" spans="1:10" ht="15.5">
      <c r="A29" s="381">
        <f t="shared" si="4"/>
        <v>20</v>
      </c>
      <c r="B29" s="327" t="s">
        <v>172</v>
      </c>
      <c r="C29" s="407">
        <v>0</v>
      </c>
      <c r="D29" s="407">
        <v>3229861.3401600001</v>
      </c>
      <c r="E29" s="408"/>
      <c r="F29" s="408"/>
      <c r="G29" s="408"/>
      <c r="H29" s="382">
        <f t="shared" si="3"/>
        <v>3229861.3401600001</v>
      </c>
      <c r="J29" s="148"/>
    </row>
    <row r="30" spans="1:10" ht="15.5">
      <c r="A30" s="381">
        <f t="shared" si="4"/>
        <v>21</v>
      </c>
      <c r="B30" s="327" t="s">
        <v>79</v>
      </c>
      <c r="C30" s="407">
        <v>0</v>
      </c>
      <c r="D30" s="407">
        <v>3229861.3401600001</v>
      </c>
      <c r="E30" s="408"/>
      <c r="F30" s="408"/>
      <c r="G30" s="408"/>
      <c r="H30" s="382">
        <f t="shared" si="3"/>
        <v>3229861.3401600001</v>
      </c>
      <c r="J30" s="148"/>
    </row>
    <row r="31" spans="1:10" ht="15.5">
      <c r="A31" s="381">
        <f t="shared" si="4"/>
        <v>22</v>
      </c>
      <c r="B31" s="327" t="s">
        <v>85</v>
      </c>
      <c r="C31" s="407">
        <v>0</v>
      </c>
      <c r="D31" s="407">
        <v>3229861.3401600001</v>
      </c>
      <c r="E31" s="408"/>
      <c r="F31" s="408"/>
      <c r="G31" s="408"/>
      <c r="H31" s="382">
        <f t="shared" si="3"/>
        <v>3229861.3401600001</v>
      </c>
      <c r="J31" s="148"/>
    </row>
    <row r="32" spans="1:10" ht="15.5">
      <c r="A32" s="381">
        <f t="shared" si="4"/>
        <v>23</v>
      </c>
      <c r="B32" s="327" t="s">
        <v>78</v>
      </c>
      <c r="C32" s="407">
        <v>0</v>
      </c>
      <c r="D32" s="407">
        <v>3229861.3401600001</v>
      </c>
      <c r="E32" s="408"/>
      <c r="F32" s="408"/>
      <c r="G32" s="408"/>
      <c r="H32" s="382">
        <f t="shared" si="3"/>
        <v>3229861.3401600001</v>
      </c>
      <c r="J32" s="148"/>
    </row>
    <row r="33" spans="1:10" ht="15.5">
      <c r="A33" s="381">
        <f t="shared" si="4"/>
        <v>24</v>
      </c>
      <c r="B33" s="327" t="s">
        <v>196</v>
      </c>
      <c r="C33" s="407">
        <v>0</v>
      </c>
      <c r="D33" s="407">
        <v>3229861.3401600001</v>
      </c>
      <c r="E33" s="408"/>
      <c r="F33" s="408"/>
      <c r="G33" s="408"/>
      <c r="H33" s="382">
        <f t="shared" si="3"/>
        <v>3229861.3401600001</v>
      </c>
      <c r="J33" s="148"/>
    </row>
    <row r="34" spans="1:10" ht="15.5">
      <c r="A34" s="381">
        <f t="shared" si="4"/>
        <v>25</v>
      </c>
      <c r="B34" s="327" t="s">
        <v>481</v>
      </c>
      <c r="C34" s="383">
        <f>AVERAGE(C21:C33)</f>
        <v>0</v>
      </c>
      <c r="D34" s="383">
        <f>AVERAGE(D21:D33)</f>
        <v>3229861.3401600001</v>
      </c>
      <c r="E34" s="383"/>
      <c r="F34" s="383"/>
      <c r="G34" s="383"/>
      <c r="H34" s="383">
        <f>AVERAGE(H21:H33)</f>
        <v>3229861.3401600001</v>
      </c>
      <c r="J34" s="148"/>
    </row>
    <row r="35" spans="1:10" ht="15.5">
      <c r="A35" s="381"/>
      <c r="B35" s="327"/>
      <c r="C35" s="383"/>
      <c r="D35" s="383"/>
      <c r="E35" s="383"/>
      <c r="F35" s="383"/>
      <c r="J35" s="148"/>
    </row>
    <row r="36" ht="15.5">
      <c r="J36" s="148"/>
    </row>
    <row r="37" spans="2:10" ht="15.5">
      <c r="B37" s="529" t="s">
        <v>208</v>
      </c>
      <c r="C37" s="327" t="str">
        <f>C20</f>
        <v>Constellation Merger</v>
      </c>
      <c r="D37" s="327" t="str">
        <f>D20</f>
        <v>PHI Merger</v>
      </c>
      <c r="E37" s="327"/>
      <c r="F37" s="327"/>
      <c r="G37" s="327"/>
      <c r="H37" s="381" t="s">
        <v>13</v>
      </c>
      <c r="J37" s="148"/>
    </row>
    <row r="38" spans="1:10" ht="15.5">
      <c r="A38" s="381">
        <f>A34+1</f>
        <v>26</v>
      </c>
      <c r="B38" s="327" t="s">
        <v>195</v>
      </c>
      <c r="C38" s="407">
        <v>0</v>
      </c>
      <c r="D38" s="407">
        <v>662090.37708800007</v>
      </c>
      <c r="E38" s="408"/>
      <c r="F38" s="408"/>
      <c r="G38" s="408"/>
      <c r="H38" s="382">
        <f t="shared" si="5" ref="H38:H50">SUM(C38:G38)</f>
        <v>662090.37708800007</v>
      </c>
      <c r="J38" s="148"/>
    </row>
    <row r="39" spans="1:10" ht="15.5">
      <c r="A39" s="381">
        <f>A38+1</f>
        <v>27</v>
      </c>
      <c r="B39" s="327" t="s">
        <v>84</v>
      </c>
      <c r="C39" s="407">
        <v>0</v>
      </c>
      <c r="D39" s="407">
        <v>724976.23313496308</v>
      </c>
      <c r="E39" s="408"/>
      <c r="F39" s="408"/>
      <c r="G39" s="408"/>
      <c r="H39" s="382">
        <f t="shared" si="5"/>
        <v>724976.23313496308</v>
      </c>
      <c r="J39" s="148"/>
    </row>
    <row r="40" spans="1:10" ht="15.5">
      <c r="A40" s="381">
        <f t="shared" si="6" ref="A40:A51">A39+1</f>
        <v>28</v>
      </c>
      <c r="B40" s="327" t="s">
        <v>83</v>
      </c>
      <c r="C40" s="407">
        <v>0</v>
      </c>
      <c r="D40" s="407">
        <v>787446.17934400495</v>
      </c>
      <c r="E40" s="408"/>
      <c r="F40" s="408"/>
      <c r="G40" s="408"/>
      <c r="H40" s="382">
        <f t="shared" si="5"/>
        <v>787446.17934400495</v>
      </c>
      <c r="J40" s="148"/>
    </row>
    <row r="41" spans="1:10" ht="15.5">
      <c r="A41" s="381">
        <f t="shared" si="6"/>
        <v>29</v>
      </c>
      <c r="B41" s="327" t="s">
        <v>171</v>
      </c>
      <c r="C41" s="407">
        <v>0</v>
      </c>
      <c r="D41" s="407">
        <v>849513.12995820714</v>
      </c>
      <c r="E41" s="408"/>
      <c r="F41" s="408"/>
      <c r="G41" s="408"/>
      <c r="H41" s="382">
        <f t="shared" si="5"/>
        <v>849513.12995820714</v>
      </c>
      <c r="J41" s="148"/>
    </row>
    <row r="42" spans="1:10" ht="15.5">
      <c r="A42" s="381">
        <f t="shared" si="6"/>
        <v>30</v>
      </c>
      <c r="B42" s="327" t="s">
        <v>74</v>
      </c>
      <c r="C42" s="407">
        <v>0</v>
      </c>
      <c r="D42" s="407">
        <v>911189.59822587017</v>
      </c>
      <c r="E42" s="408"/>
      <c r="F42" s="408"/>
      <c r="G42" s="408"/>
      <c r="H42" s="382">
        <f t="shared" si="5"/>
        <v>911189.59822587017</v>
      </c>
      <c r="J42" s="148"/>
    </row>
    <row r="43" spans="1:10" ht="15.5">
      <c r="A43" s="381">
        <f t="shared" si="6"/>
        <v>31</v>
      </c>
      <c r="B43" s="327" t="s">
        <v>73</v>
      </c>
      <c r="C43" s="407">
        <v>0</v>
      </c>
      <c r="D43" s="407">
        <v>972487.70885163557</v>
      </c>
      <c r="E43" s="408"/>
      <c r="F43" s="408"/>
      <c r="G43" s="408"/>
      <c r="H43" s="382">
        <f t="shared" si="5"/>
        <v>972487.70885163557</v>
      </c>
      <c r="J43" s="148"/>
    </row>
    <row r="44" spans="1:10" ht="15.5">
      <c r="A44" s="381">
        <f t="shared" si="6"/>
        <v>32</v>
      </c>
      <c r="B44" s="327" t="s">
        <v>93</v>
      </c>
      <c r="C44" s="407">
        <v>0</v>
      </c>
      <c r="D44" s="407">
        <v>1033419.2100609927</v>
      </c>
      <c r="E44" s="408"/>
      <c r="F44" s="408"/>
      <c r="G44" s="408"/>
      <c r="H44" s="382">
        <f t="shared" si="5"/>
        <v>1033419.2100609927</v>
      </c>
      <c r="J44" s="148"/>
    </row>
    <row r="45" spans="1:10" ht="15.5">
      <c r="A45" s="381">
        <f t="shared" si="6"/>
        <v>33</v>
      </c>
      <c r="B45" s="327" t="s">
        <v>81</v>
      </c>
      <c r="C45" s="407">
        <v>0</v>
      </c>
      <c r="D45" s="407">
        <v>1093995.4852901767</v>
      </c>
      <c r="E45" s="408"/>
      <c r="F45" s="408"/>
      <c r="G45" s="408"/>
      <c r="H45" s="382">
        <f t="shared" si="5"/>
        <v>1093995.4852901767</v>
      </c>
      <c r="J45" s="148"/>
    </row>
    <row r="46" spans="1:10" ht="15.5">
      <c r="A46" s="381">
        <f t="shared" si="6"/>
        <v>34</v>
      </c>
      <c r="B46" s="327" t="s">
        <v>172</v>
      </c>
      <c r="C46" s="407">
        <v>0</v>
      </c>
      <c r="D46" s="407">
        <v>1154227.564513087</v>
      </c>
      <c r="E46" s="408"/>
      <c r="F46" s="408"/>
      <c r="G46" s="408"/>
      <c r="H46" s="382">
        <f t="shared" si="5"/>
        <v>1154227.564513087</v>
      </c>
      <c r="J46" s="148"/>
    </row>
    <row r="47" spans="1:10" ht="15.5">
      <c r="A47" s="381">
        <f t="shared" si="6"/>
        <v>35</v>
      </c>
      <c r="B47" s="327" t="s">
        <v>79</v>
      </c>
      <c r="C47" s="407">
        <v>0</v>
      </c>
      <c r="D47" s="407">
        <v>1214126.1352164995</v>
      </c>
      <c r="E47" s="408"/>
      <c r="F47" s="408"/>
      <c r="G47" s="408"/>
      <c r="H47" s="382">
        <f t="shared" si="5"/>
        <v>1214126.1352164995</v>
      </c>
      <c r="J47" s="148"/>
    </row>
    <row r="48" spans="1:10" ht="15.5">
      <c r="A48" s="381">
        <f t="shared" si="6"/>
        <v>36</v>
      </c>
      <c r="B48" s="327" t="s">
        <v>85</v>
      </c>
      <c r="C48" s="407">
        <v>0</v>
      </c>
      <c r="D48" s="407">
        <v>1273701.5530344911</v>
      </c>
      <c r="E48" s="408"/>
      <c r="F48" s="408"/>
      <c r="G48" s="408"/>
      <c r="H48" s="382">
        <f t="shared" si="5"/>
        <v>1273701.5530344911</v>
      </c>
      <c r="J48" s="148"/>
    </row>
    <row r="49" spans="1:10" ht="15.5">
      <c r="A49" s="381">
        <f t="shared" si="6"/>
        <v>37</v>
      </c>
      <c r="B49" s="327" t="s">
        <v>78</v>
      </c>
      <c r="C49" s="407">
        <v>0</v>
      </c>
      <c r="D49" s="407">
        <v>1332963.8520526602</v>
      </c>
      <c r="E49" s="408"/>
      <c r="F49" s="408"/>
      <c r="G49" s="408"/>
      <c r="H49" s="382">
        <f t="shared" si="5"/>
        <v>1332963.8520526602</v>
      </c>
      <c r="J49" s="148"/>
    </row>
    <row r="50" spans="1:10" ht="15.5">
      <c r="A50" s="381">
        <f t="shared" si="6"/>
        <v>38</v>
      </c>
      <c r="B50" s="327" t="s">
        <v>196</v>
      </c>
      <c r="C50" s="407">
        <v>0</v>
      </c>
      <c r="D50" s="407">
        <v>1391922.7547923937</v>
      </c>
      <c r="E50" s="408"/>
      <c r="F50" s="408"/>
      <c r="G50" s="408"/>
      <c r="H50" s="382">
        <f t="shared" si="5"/>
        <v>1391922.7547923937</v>
      </c>
      <c r="J50" s="148"/>
    </row>
    <row r="51" spans="1:10" ht="15.5">
      <c r="A51" s="381">
        <f t="shared" si="6"/>
        <v>39</v>
      </c>
      <c r="B51" s="327" t="s">
        <v>481</v>
      </c>
      <c r="C51" s="383">
        <f>AVERAGE(C38:C50)</f>
        <v>0</v>
      </c>
      <c r="D51" s="383">
        <f>AVERAGE(D38:D50)</f>
        <v>1030927.6755048449</v>
      </c>
      <c r="E51" s="383"/>
      <c r="F51" s="383"/>
      <c r="G51" s="383"/>
      <c r="H51" s="383">
        <f>AVERAGE(H38:H50)</f>
        <v>1030927.6755048449</v>
      </c>
      <c r="J51" s="148"/>
    </row>
    <row r="52" spans="2:7" ht="17.5">
      <c r="B52" s="1085" t="str">
        <f>+'Attachment H-7'!D177</f>
        <v>PECO Energy Company</v>
      </c>
      <c r="C52" s="1085"/>
      <c r="D52" s="1085"/>
      <c r="E52" s="1085"/>
      <c r="F52" s="1085"/>
      <c r="G52" s="1085"/>
    </row>
    <row r="53" spans="1:8" ht="20">
      <c r="A53" s="706"/>
      <c r="B53" s="707"/>
      <c r="C53" s="708"/>
      <c r="D53" s="709"/>
      <c r="E53" s="352"/>
      <c r="F53" s="352"/>
      <c r="G53" s="352"/>
      <c r="H53" s="117" t="s">
        <v>154</v>
      </c>
    </row>
    <row r="54" spans="1:7" ht="15.5">
      <c r="A54" s="1086" t="str">
        <f>+A3</f>
        <v>Attachment 4E - Cost to Achieve Mergers (Note A)</v>
      </c>
      <c r="B54" s="1086"/>
      <c r="C54" s="1086"/>
      <c r="D54" s="1086"/>
      <c r="E54" s="1086"/>
      <c r="F54" s="1086"/>
      <c r="G54" s="352"/>
    </row>
    <row r="55" spans="2:8" ht="15.5">
      <c r="B55" s="396" t="s">
        <v>198</v>
      </c>
      <c r="C55" s="396" t="s">
        <v>199</v>
      </c>
      <c r="D55" s="396" t="s">
        <v>200</v>
      </c>
      <c r="E55" s="396" t="s">
        <v>201</v>
      </c>
      <c r="F55" s="396" t="s">
        <v>203</v>
      </c>
      <c r="G55" s="396" t="s">
        <v>974</v>
      </c>
      <c r="H55" s="396" t="s">
        <v>978</v>
      </c>
    </row>
    <row r="56" spans="1:8" ht="15.5">
      <c r="A56" s="352"/>
      <c r="B56" s="529" t="s">
        <v>979</v>
      </c>
      <c r="C56" s="327" t="str">
        <f>C37</f>
        <v>Constellation Merger</v>
      </c>
      <c r="D56" s="327" t="str">
        <f t="shared" si="7" ref="D56">D37</f>
        <v>PHI Merger</v>
      </c>
      <c r="E56" s="327"/>
      <c r="F56" s="327"/>
      <c r="G56" s="327"/>
      <c r="H56" s="381" t="s">
        <v>13</v>
      </c>
    </row>
    <row r="57" spans="1:8" ht="15.5">
      <c r="A57" s="381">
        <f>A51+1</f>
        <v>40</v>
      </c>
      <c r="B57" s="327" t="s">
        <v>195</v>
      </c>
      <c r="C57" s="383">
        <f t="shared" si="8" ref="C57:D69">C21-C38</f>
        <v>0</v>
      </c>
      <c r="D57" s="383">
        <f t="shared" si="8"/>
        <v>2567770.9630720001</v>
      </c>
      <c r="E57" s="383">
        <f t="shared" si="9" ref="E57:G57">E21-E38</f>
        <v>0</v>
      </c>
      <c r="F57" s="383">
        <f t="shared" si="9"/>
        <v>0</v>
      </c>
      <c r="G57" s="383">
        <f t="shared" si="9"/>
        <v>0</v>
      </c>
      <c r="H57" s="382">
        <f t="shared" si="10" ref="H57:H69">SUM(C57:G57)</f>
        <v>2567770.9630720001</v>
      </c>
    </row>
    <row r="58" spans="1:8" ht="15.5">
      <c r="A58" s="381">
        <f>A57+1</f>
        <v>41</v>
      </c>
      <c r="B58" s="327" t="s">
        <v>84</v>
      </c>
      <c r="C58" s="383">
        <f t="shared" si="8"/>
        <v>0</v>
      </c>
      <c r="D58" s="383">
        <f t="shared" si="8"/>
        <v>2504885.1070250371</v>
      </c>
      <c r="E58" s="383">
        <f t="shared" si="11" ref="E58:G58">E22-E39</f>
        <v>0</v>
      </c>
      <c r="F58" s="383">
        <f t="shared" si="11"/>
        <v>0</v>
      </c>
      <c r="G58" s="383">
        <f t="shared" si="11"/>
        <v>0</v>
      </c>
      <c r="H58" s="382">
        <f t="shared" si="10"/>
        <v>2504885.1070250371</v>
      </c>
    </row>
    <row r="59" spans="1:8" ht="15.5">
      <c r="A59" s="381">
        <f t="shared" si="12" ref="A59:A70">A58+1</f>
        <v>42</v>
      </c>
      <c r="B59" s="327" t="s">
        <v>83</v>
      </c>
      <c r="C59" s="383">
        <f t="shared" si="8"/>
        <v>0</v>
      </c>
      <c r="D59" s="383">
        <f t="shared" si="8"/>
        <v>2442415.1608159952</v>
      </c>
      <c r="E59" s="383">
        <f t="shared" si="13" ref="E59:G59">E23-E40</f>
        <v>0</v>
      </c>
      <c r="F59" s="383">
        <f t="shared" si="13"/>
        <v>0</v>
      </c>
      <c r="G59" s="383">
        <f t="shared" si="13"/>
        <v>0</v>
      </c>
      <c r="H59" s="382">
        <f t="shared" si="10"/>
        <v>2442415.1608159952</v>
      </c>
    </row>
    <row r="60" spans="1:8" ht="15.5">
      <c r="A60" s="381">
        <f t="shared" si="12"/>
        <v>43</v>
      </c>
      <c r="B60" s="327" t="s">
        <v>171</v>
      </c>
      <c r="C60" s="383">
        <f t="shared" si="8"/>
        <v>0</v>
      </c>
      <c r="D60" s="383">
        <f t="shared" si="8"/>
        <v>2380348.2102017929</v>
      </c>
      <c r="E60" s="383">
        <f t="shared" si="14" ref="E60:G60">E24-E41</f>
        <v>0</v>
      </c>
      <c r="F60" s="383">
        <f t="shared" si="14"/>
        <v>0</v>
      </c>
      <c r="G60" s="383">
        <f t="shared" si="14"/>
        <v>0</v>
      </c>
      <c r="H60" s="382">
        <f t="shared" si="10"/>
        <v>2380348.2102017929</v>
      </c>
    </row>
    <row r="61" spans="1:8" ht="15.5">
      <c r="A61" s="381">
        <f t="shared" si="12"/>
        <v>44</v>
      </c>
      <c r="B61" s="327" t="s">
        <v>74</v>
      </c>
      <c r="C61" s="383">
        <f t="shared" si="8"/>
        <v>0</v>
      </c>
      <c r="D61" s="383">
        <f t="shared" si="8"/>
        <v>2318671.74193413</v>
      </c>
      <c r="E61" s="383">
        <f t="shared" si="15" ref="E61:G61">E25-E42</f>
        <v>0</v>
      </c>
      <c r="F61" s="383">
        <f t="shared" si="15"/>
        <v>0</v>
      </c>
      <c r="G61" s="383">
        <f t="shared" si="15"/>
        <v>0</v>
      </c>
      <c r="H61" s="382">
        <f t="shared" si="10"/>
        <v>2318671.74193413</v>
      </c>
    </row>
    <row r="62" spans="1:8" ht="15.5">
      <c r="A62" s="381">
        <f t="shared" si="12"/>
        <v>45</v>
      </c>
      <c r="B62" s="327" t="s">
        <v>73</v>
      </c>
      <c r="C62" s="383">
        <f t="shared" si="8"/>
        <v>0</v>
      </c>
      <c r="D62" s="383">
        <f t="shared" si="8"/>
        <v>2257373.6313083647</v>
      </c>
      <c r="E62" s="383">
        <f t="shared" si="16" ref="E62:G62">E26-E43</f>
        <v>0</v>
      </c>
      <c r="F62" s="383">
        <f t="shared" si="16"/>
        <v>0</v>
      </c>
      <c r="G62" s="383">
        <f t="shared" si="16"/>
        <v>0</v>
      </c>
      <c r="H62" s="382">
        <f t="shared" si="10"/>
        <v>2257373.6313083647</v>
      </c>
    </row>
    <row r="63" spans="1:8" ht="15.5">
      <c r="A63" s="381">
        <f t="shared" si="12"/>
        <v>46</v>
      </c>
      <c r="B63" s="327" t="s">
        <v>93</v>
      </c>
      <c r="C63" s="383">
        <f t="shared" si="8"/>
        <v>0</v>
      </c>
      <c r="D63" s="383">
        <f t="shared" si="8"/>
        <v>2196442.1300990074</v>
      </c>
      <c r="E63" s="383">
        <f t="shared" si="17" ref="E63:G63">E27-E44</f>
        <v>0</v>
      </c>
      <c r="F63" s="383">
        <f t="shared" si="17"/>
        <v>0</v>
      </c>
      <c r="G63" s="383">
        <f t="shared" si="17"/>
        <v>0</v>
      </c>
      <c r="H63" s="382">
        <f t="shared" si="10"/>
        <v>2196442.1300990074</v>
      </c>
    </row>
    <row r="64" spans="1:8" ht="15.5">
      <c r="A64" s="381">
        <f t="shared" si="12"/>
        <v>47</v>
      </c>
      <c r="B64" s="327" t="s">
        <v>81</v>
      </c>
      <c r="C64" s="383">
        <f t="shared" si="8"/>
        <v>0</v>
      </c>
      <c r="D64" s="383">
        <f t="shared" si="8"/>
        <v>2135865.8548698234</v>
      </c>
      <c r="E64" s="383">
        <f t="shared" si="18" ref="E64:G64">E28-E45</f>
        <v>0</v>
      </c>
      <c r="F64" s="383">
        <f t="shared" si="18"/>
        <v>0</v>
      </c>
      <c r="G64" s="383">
        <f t="shared" si="18"/>
        <v>0</v>
      </c>
      <c r="H64" s="382">
        <f t="shared" si="10"/>
        <v>2135865.8548698234</v>
      </c>
    </row>
    <row r="65" spans="1:8" ht="15.5">
      <c r="A65" s="381">
        <f t="shared" si="12"/>
        <v>48</v>
      </c>
      <c r="B65" s="327" t="s">
        <v>172</v>
      </c>
      <c r="C65" s="383">
        <f t="shared" si="8"/>
        <v>0</v>
      </c>
      <c r="D65" s="383">
        <f t="shared" si="8"/>
        <v>2075633.7756469131</v>
      </c>
      <c r="E65" s="383">
        <f t="shared" si="19" ref="E65:G65">E29-E46</f>
        <v>0</v>
      </c>
      <c r="F65" s="383">
        <f t="shared" si="19"/>
        <v>0</v>
      </c>
      <c r="G65" s="383">
        <f t="shared" si="19"/>
        <v>0</v>
      </c>
      <c r="H65" s="382">
        <f t="shared" si="10"/>
        <v>2075633.7756469131</v>
      </c>
    </row>
    <row r="66" spans="1:8" ht="15.5">
      <c r="A66" s="381">
        <f t="shared" si="12"/>
        <v>49</v>
      </c>
      <c r="B66" s="327" t="s">
        <v>79</v>
      </c>
      <c r="C66" s="383">
        <f t="shared" si="8"/>
        <v>0</v>
      </c>
      <c r="D66" s="383">
        <f t="shared" si="8"/>
        <v>2015735.2049435007</v>
      </c>
      <c r="E66" s="383">
        <f t="shared" si="20" ref="E66:G66">E30-E47</f>
        <v>0</v>
      </c>
      <c r="F66" s="383">
        <f t="shared" si="20"/>
        <v>0</v>
      </c>
      <c r="G66" s="383">
        <f t="shared" si="20"/>
        <v>0</v>
      </c>
      <c r="H66" s="382">
        <f t="shared" si="10"/>
        <v>2015735.2049435007</v>
      </c>
    </row>
    <row r="67" spans="1:8" ht="15.5">
      <c r="A67" s="381">
        <f t="shared" si="12"/>
        <v>50</v>
      </c>
      <c r="B67" s="327" t="s">
        <v>85</v>
      </c>
      <c r="C67" s="383">
        <f t="shared" si="8"/>
        <v>0</v>
      </c>
      <c r="D67" s="383">
        <f t="shared" si="8"/>
        <v>1956159.787125509</v>
      </c>
      <c r="E67" s="383">
        <f t="shared" si="21" ref="E67:G67">E31-E48</f>
        <v>0</v>
      </c>
      <c r="F67" s="383">
        <f t="shared" si="21"/>
        <v>0</v>
      </c>
      <c r="G67" s="383">
        <f t="shared" si="21"/>
        <v>0</v>
      </c>
      <c r="H67" s="382">
        <f t="shared" si="10"/>
        <v>1956159.787125509</v>
      </c>
    </row>
    <row r="68" spans="1:8" ht="15.5">
      <c r="A68" s="381">
        <f t="shared" si="12"/>
        <v>51</v>
      </c>
      <c r="B68" s="327" t="s">
        <v>78</v>
      </c>
      <c r="C68" s="383">
        <f t="shared" si="8"/>
        <v>0</v>
      </c>
      <c r="D68" s="383">
        <f t="shared" si="8"/>
        <v>1896897.4881073399</v>
      </c>
      <c r="E68" s="383">
        <f t="shared" si="22" ref="E68:G68">E32-E49</f>
        <v>0</v>
      </c>
      <c r="F68" s="383">
        <f t="shared" si="22"/>
        <v>0</v>
      </c>
      <c r="G68" s="383">
        <f t="shared" si="22"/>
        <v>0</v>
      </c>
      <c r="H68" s="382">
        <f t="shared" si="10"/>
        <v>1896897.4881073399</v>
      </c>
    </row>
    <row r="69" spans="1:8" ht="15.5">
      <c r="A69" s="381">
        <f t="shared" si="12"/>
        <v>52</v>
      </c>
      <c r="B69" s="327" t="s">
        <v>196</v>
      </c>
      <c r="C69" s="383">
        <f t="shared" si="8"/>
        <v>0</v>
      </c>
      <c r="D69" s="383">
        <f t="shared" si="8"/>
        <v>1837938.5853676065</v>
      </c>
      <c r="E69" s="383">
        <f t="shared" si="23" ref="E69:G69">E33-E50</f>
        <v>0</v>
      </c>
      <c r="F69" s="383">
        <f t="shared" si="23"/>
        <v>0</v>
      </c>
      <c r="G69" s="383">
        <f t="shared" si="23"/>
        <v>0</v>
      </c>
      <c r="H69" s="382">
        <f t="shared" si="10"/>
        <v>1837938.5853676065</v>
      </c>
    </row>
    <row r="70" spans="1:8" ht="15.5">
      <c r="A70" s="381">
        <f t="shared" si="12"/>
        <v>53</v>
      </c>
      <c r="B70" s="327" t="s">
        <v>481</v>
      </c>
      <c r="C70" s="383">
        <f>C34-C51</f>
        <v>0</v>
      </c>
      <c r="D70" s="383">
        <f>AVERAGE(D57:D69)</f>
        <v>2198933.664655155</v>
      </c>
      <c r="E70" s="383">
        <f t="shared" si="24" ref="E70:G70">AVERAGE(E57:E69)</f>
        <v>0</v>
      </c>
      <c r="F70" s="383">
        <f t="shared" si="24"/>
        <v>0</v>
      </c>
      <c r="G70" s="383">
        <f t="shared" si="24"/>
        <v>0</v>
      </c>
      <c r="H70" s="383">
        <f>AVERAGE(H57:H69)</f>
        <v>2198933.664655155</v>
      </c>
    </row>
    <row r="71" ht="15.5">
      <c r="A71" s="352"/>
    </row>
    <row r="72" ht="15.5">
      <c r="A72" s="352"/>
    </row>
    <row r="73" spans="1:8" ht="15.5">
      <c r="A73" s="352"/>
      <c r="B73" s="529" t="s">
        <v>975</v>
      </c>
      <c r="C73" s="327" t="str">
        <f>C56</f>
        <v>Constellation Merger</v>
      </c>
      <c r="D73" s="327" t="str">
        <f>D56</f>
        <v>PHI Merger</v>
      </c>
      <c r="H73" s="381" t="s">
        <v>13</v>
      </c>
    </row>
    <row r="74" spans="1:8" ht="15.5">
      <c r="A74" s="381">
        <f>A70+1</f>
        <v>54</v>
      </c>
      <c r="B74" s="327" t="s">
        <v>84</v>
      </c>
      <c r="C74" s="383">
        <f>C39-C38</f>
        <v>0</v>
      </c>
      <c r="D74" s="383">
        <f>D39-D38</f>
        <v>62885.856046963017</v>
      </c>
      <c r="H74" s="382">
        <f t="shared" si="25" ref="H74:H86">SUM(C74:G74)</f>
        <v>62885.856046963017</v>
      </c>
    </row>
    <row r="75" spans="1:8" ht="15.5">
      <c r="A75" s="381">
        <f t="shared" si="26" ref="A75:A86">A74+1</f>
        <v>55</v>
      </c>
      <c r="B75" s="327" t="s">
        <v>83</v>
      </c>
      <c r="C75" s="383">
        <f>C40-C39</f>
        <v>0</v>
      </c>
      <c r="D75" s="383">
        <f>D40-D39</f>
        <v>62469.946209041867</v>
      </c>
      <c r="H75" s="382">
        <f t="shared" si="25"/>
        <v>62469.946209041867</v>
      </c>
    </row>
    <row r="76" spans="1:8" ht="15.5">
      <c r="A76" s="381">
        <f t="shared" si="26"/>
        <v>56</v>
      </c>
      <c r="B76" s="327" t="s">
        <v>171</v>
      </c>
      <c r="C76" s="383">
        <f>(C41*31/12-C40)*12/31</f>
        <v>0</v>
      </c>
      <c r="D76" s="383">
        <f t="shared" si="27" ref="D76:D85">D41-D40</f>
        <v>62066.950614202186</v>
      </c>
      <c r="H76" s="382">
        <f t="shared" si="25"/>
        <v>62066.950614202186</v>
      </c>
    </row>
    <row r="77" spans="1:8" ht="15.5">
      <c r="A77" s="381">
        <f t="shared" si="26"/>
        <v>57</v>
      </c>
      <c r="B77" s="327" t="s">
        <v>74</v>
      </c>
      <c r="C77" s="383">
        <f>C42-C41*0</f>
        <v>0</v>
      </c>
      <c r="D77" s="383">
        <f t="shared" si="27"/>
        <v>61676.468267663033</v>
      </c>
      <c r="H77" s="382">
        <f t="shared" si="25"/>
        <v>61676.468267663033</v>
      </c>
    </row>
    <row r="78" spans="1:8" ht="15.5">
      <c r="A78" s="381">
        <f t="shared" si="26"/>
        <v>58</v>
      </c>
      <c r="B78" s="327" t="s">
        <v>73</v>
      </c>
      <c r="C78" s="383">
        <f t="shared" si="28" ref="C78:C85">C43-C42</f>
        <v>0</v>
      </c>
      <c r="D78" s="383">
        <f t="shared" si="27"/>
        <v>61298.110625765403</v>
      </c>
      <c r="H78" s="382">
        <f t="shared" si="25"/>
        <v>61298.110625765403</v>
      </c>
    </row>
    <row r="79" spans="1:8" ht="15.5">
      <c r="A79" s="381">
        <f t="shared" si="26"/>
        <v>59</v>
      </c>
      <c r="B79" s="327" t="s">
        <v>93</v>
      </c>
      <c r="C79" s="383">
        <f t="shared" si="28"/>
        <v>0</v>
      </c>
      <c r="D79" s="383">
        <f t="shared" si="27"/>
        <v>60931.501209357171</v>
      </c>
      <c r="H79" s="382">
        <f t="shared" si="25"/>
        <v>60931.501209357171</v>
      </c>
    </row>
    <row r="80" spans="1:8" ht="15.5">
      <c r="A80" s="381">
        <f t="shared" si="26"/>
        <v>60</v>
      </c>
      <c r="B80" s="327" t="s">
        <v>81</v>
      </c>
      <c r="C80" s="383">
        <f t="shared" si="28"/>
        <v>0</v>
      </c>
      <c r="D80" s="383">
        <f t="shared" si="27"/>
        <v>60576.275229183957</v>
      </c>
      <c r="H80" s="382">
        <f t="shared" si="25"/>
        <v>60576.275229183957</v>
      </c>
    </row>
    <row r="81" spans="1:8" ht="15.5">
      <c r="A81" s="381">
        <f t="shared" si="26"/>
        <v>61</v>
      </c>
      <c r="B81" s="327" t="s">
        <v>172</v>
      </c>
      <c r="C81" s="383">
        <f t="shared" si="28"/>
        <v>0</v>
      </c>
      <c r="D81" s="383">
        <f t="shared" si="27"/>
        <v>60232.079222910339</v>
      </c>
      <c r="H81" s="382">
        <f t="shared" si="25"/>
        <v>60232.079222910339</v>
      </c>
    </row>
    <row r="82" spans="1:8" ht="15.5">
      <c r="A82" s="381">
        <f t="shared" si="26"/>
        <v>62</v>
      </c>
      <c r="B82" s="327" t="s">
        <v>79</v>
      </c>
      <c r="C82" s="383">
        <f t="shared" si="28"/>
        <v>0</v>
      </c>
      <c r="D82" s="383">
        <f t="shared" si="27"/>
        <v>59898.570703412406</v>
      </c>
      <c r="H82" s="382">
        <f t="shared" si="25"/>
        <v>59898.570703412406</v>
      </c>
    </row>
    <row r="83" spans="1:8" ht="15.5">
      <c r="A83" s="381">
        <f t="shared" si="26"/>
        <v>63</v>
      </c>
      <c r="B83" s="327" t="s">
        <v>85</v>
      </c>
      <c r="C83" s="383">
        <f t="shared" si="28"/>
        <v>0</v>
      </c>
      <c r="D83" s="383">
        <f t="shared" si="27"/>
        <v>59575.417817991693</v>
      </c>
      <c r="H83" s="382">
        <f t="shared" si="25"/>
        <v>59575.417817991693</v>
      </c>
    </row>
    <row r="84" spans="1:8" ht="15.5">
      <c r="A84" s="381">
        <f t="shared" si="26"/>
        <v>64</v>
      </c>
      <c r="B84" s="327" t="s">
        <v>78</v>
      </c>
      <c r="C84" s="383">
        <f t="shared" si="28"/>
        <v>0</v>
      </c>
      <c r="D84" s="383">
        <f t="shared" si="27"/>
        <v>59262.299018169055</v>
      </c>
      <c r="H84" s="382">
        <f t="shared" si="25"/>
        <v>59262.299018169055</v>
      </c>
    </row>
    <row r="85" spans="1:8" ht="15.5">
      <c r="A85" s="381">
        <f t="shared" si="26"/>
        <v>65</v>
      </c>
      <c r="B85" s="327" t="s">
        <v>196</v>
      </c>
      <c r="C85" s="383">
        <f t="shared" si="28"/>
        <v>0</v>
      </c>
      <c r="D85" s="383">
        <f t="shared" si="27"/>
        <v>58958.902739733458</v>
      </c>
      <c r="H85" s="382">
        <f t="shared" si="25"/>
        <v>58958.902739733458</v>
      </c>
    </row>
    <row r="86" spans="1:8" ht="15.5">
      <c r="A86" s="381">
        <f t="shared" si="26"/>
        <v>66</v>
      </c>
      <c r="B86" s="327" t="s">
        <v>13</v>
      </c>
      <c r="C86" s="383">
        <f>SUM(C74:C85)</f>
        <v>0</v>
      </c>
      <c r="D86" s="383">
        <f>SUM(D74:D85)</f>
        <v>729832.37770439358</v>
      </c>
      <c r="H86" s="382">
        <f t="shared" si="25"/>
        <v>729832.37770439358</v>
      </c>
    </row>
    <row r="87" ht="15.5">
      <c r="H87" s="383"/>
    </row>
    <row r="88" spans="1:8" ht="16" thickBot="1">
      <c r="A88" s="927" t="s">
        <v>1264</v>
      </c>
      <c r="H88" s="383"/>
    </row>
    <row r="89" ht="15.5">
      <c r="A89" s="117" t="s">
        <v>1234</v>
      </c>
    </row>
  </sheetData>
  <mergeCells count="4">
    <mergeCell ref="A1:F1"/>
    <mergeCell ref="A3:F3"/>
    <mergeCell ref="A54:F54"/>
    <mergeCell ref="B52:G52"/>
  </mergeCells>
  <pageMargins left="0.7" right="0.7" top="0.75" bottom="0.75" header="0.3" footer="0.3"/>
  <pageSetup fitToHeight="2" orientation="landscape" scale="55" r:id="rId1"/>
  <rowBreaks count="1" manualBreakCount="1">
    <brk id="51" max="25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view="pageBreakPreview" zoomScale="80" zoomScaleSheetLayoutView="80" workbookViewId="0" topLeftCell="A19">
      <selection pane="topLeft" activeCell="A1" sqref="A1"/>
    </sheetView>
  </sheetViews>
  <sheetFormatPr defaultColWidth="14" defaultRowHeight="13"/>
  <cols>
    <col min="1" max="1" width="5.78571428571429" style="227" bestFit="1" customWidth="1"/>
    <col min="2" max="2" width="23.7142857142857" style="109" customWidth="1"/>
    <col min="3" max="3" width="16.7857142857143" style="109" customWidth="1"/>
    <col min="4" max="4" width="16.2857142857143" style="109" customWidth="1"/>
    <col min="5" max="5" width="18.8571428571429" style="109" customWidth="1"/>
    <col min="6" max="6" width="15.4285714285714" style="109" customWidth="1"/>
    <col min="7" max="7" width="13.2142857142857" style="109" customWidth="1"/>
    <col min="8" max="8" width="12.4285714285714" style="109" bestFit="1" customWidth="1"/>
    <col min="9" max="9" width="17.7142857142857" style="109" bestFit="1" customWidth="1"/>
    <col min="10" max="10" width="15" style="109" customWidth="1"/>
    <col min="11" max="11" width="12.5" style="109" bestFit="1" customWidth="1"/>
    <col min="12" max="13" width="13.0714285714286" style="109" customWidth="1"/>
    <col min="14" max="14" width="14" style="109"/>
    <col min="15" max="15" width="10" style="109" bestFit="1" customWidth="1"/>
    <col min="16" max="16384" width="14" style="109"/>
  </cols>
  <sheetData>
    <row r="1" spans="7:13" ht="13">
      <c r="G1" s="427" t="s">
        <v>192</v>
      </c>
      <c r="M1" s="228" t="s">
        <v>422</v>
      </c>
    </row>
    <row r="2" ht="15" customHeight="1">
      <c r="G2" s="149" t="s">
        <v>1389</v>
      </c>
    </row>
    <row r="3" spans="4:14" ht="13">
      <c r="D3" s="9"/>
      <c r="E3" s="9"/>
      <c r="F3" s="9"/>
      <c r="G3" s="202" t="str">
        <f>+'Attachment H-7'!D5</f>
        <v>PECO Energy Company</v>
      </c>
      <c r="H3" s="9"/>
      <c r="J3" s="9"/>
      <c r="K3" s="9"/>
      <c r="L3" s="9"/>
      <c r="M3" s="9"/>
      <c r="N3" s="9"/>
    </row>
    <row r="4" ht="13">
      <c r="B4" s="8"/>
    </row>
    <row r="6" spans="1:15" s="230" customFormat="1" ht="69.75" customHeight="1">
      <c r="A6" s="229" t="s">
        <v>155</v>
      </c>
      <c r="B6" s="75" t="s">
        <v>167</v>
      </c>
      <c r="C6" s="75" t="s">
        <v>276</v>
      </c>
      <c r="D6" s="75" t="s">
        <v>245</v>
      </c>
      <c r="E6" s="75" t="s">
        <v>246</v>
      </c>
      <c r="F6" s="75" t="s">
        <v>682</v>
      </c>
      <c r="G6" s="75" t="s">
        <v>277</v>
      </c>
      <c r="H6" s="185" t="s">
        <v>322</v>
      </c>
      <c r="I6" s="75" t="s">
        <v>278</v>
      </c>
      <c r="J6" s="75" t="s">
        <v>761</v>
      </c>
      <c r="K6" s="984" t="s">
        <v>1523</v>
      </c>
      <c r="L6" s="984" t="s">
        <v>1524</v>
      </c>
      <c r="M6" s="984" t="s">
        <v>1562</v>
      </c>
      <c r="O6" s="157"/>
    </row>
    <row r="7" spans="1:15" s="230" customFormat="1" ht="13">
      <c r="A7" s="229"/>
      <c r="B7" s="75"/>
      <c r="C7" s="73" t="s">
        <v>198</v>
      </c>
      <c r="D7" s="231" t="s">
        <v>199</v>
      </c>
      <c r="E7" s="231" t="s">
        <v>200</v>
      </c>
      <c r="F7" s="232" t="s">
        <v>201</v>
      </c>
      <c r="G7" s="141" t="s">
        <v>203</v>
      </c>
      <c r="H7" s="149" t="s">
        <v>202</v>
      </c>
      <c r="I7" s="149" t="s">
        <v>204</v>
      </c>
      <c r="J7" s="141" t="s">
        <v>205</v>
      </c>
      <c r="K7" s="230" t="s">
        <v>206</v>
      </c>
      <c r="L7" s="230" t="s">
        <v>244</v>
      </c>
      <c r="M7" s="230" t="s">
        <v>248</v>
      </c>
      <c r="O7" s="157"/>
    </row>
    <row r="8" spans="1:15" ht="25.5" customHeight="1">
      <c r="A8" s="147"/>
      <c r="B8" s="184" t="s">
        <v>1390</v>
      </c>
      <c r="C8" s="73">
        <v>1</v>
      </c>
      <c r="D8" s="73">
        <v>2</v>
      </c>
      <c r="E8" s="73">
        <v>3</v>
      </c>
      <c r="F8" s="73"/>
      <c r="G8" s="73">
        <v>11</v>
      </c>
      <c r="H8" s="73">
        <v>12</v>
      </c>
      <c r="I8" s="73">
        <v>16</v>
      </c>
      <c r="J8" s="73"/>
      <c r="O8" s="158"/>
    </row>
    <row r="9" spans="1:15" s="233" customFormat="1" ht="54" customHeight="1">
      <c r="A9" s="147"/>
      <c r="B9" s="142" t="s">
        <v>398</v>
      </c>
      <c r="C9" s="149" t="s">
        <v>399</v>
      </c>
      <c r="D9" s="149" t="s">
        <v>400</v>
      </c>
      <c r="E9" s="149" t="s">
        <v>401</v>
      </c>
      <c r="F9" s="212" t="s">
        <v>683</v>
      </c>
      <c r="G9" s="212" t="s">
        <v>402</v>
      </c>
      <c r="H9" s="212" t="s">
        <v>403</v>
      </c>
      <c r="I9" s="212" t="s">
        <v>1520</v>
      </c>
      <c r="J9" s="212" t="s">
        <v>1587</v>
      </c>
      <c r="K9" s="212" t="s">
        <v>1522</v>
      </c>
      <c r="L9" s="212" t="s">
        <v>1564</v>
      </c>
      <c r="M9" s="212" t="s">
        <v>1563</v>
      </c>
      <c r="O9" s="159"/>
    </row>
    <row r="10" spans="1:15" s="233" customFormat="1" ht="26">
      <c r="A10" s="147"/>
      <c r="B10" s="142"/>
      <c r="F10" s="149"/>
      <c r="G10" s="212" t="s">
        <v>1575</v>
      </c>
      <c r="I10" s="149"/>
      <c r="J10" s="149"/>
      <c r="K10" s="149"/>
      <c r="L10" s="149"/>
      <c r="M10" s="149"/>
      <c r="O10" s="159"/>
    </row>
    <row r="11" spans="1:15" ht="13">
      <c r="A11" s="147"/>
      <c r="B11" s="234"/>
      <c r="C11" s="73"/>
      <c r="D11" s="73"/>
      <c r="E11" s="73"/>
      <c r="F11" s="73"/>
      <c r="G11" s="73"/>
      <c r="H11" s="73"/>
      <c r="I11" s="73"/>
      <c r="J11" s="73"/>
      <c r="O11" s="158"/>
    </row>
    <row r="12" spans="1:15" ht="13">
      <c r="A12" s="147" t="s">
        <v>242</v>
      </c>
      <c r="B12" s="237" t="s">
        <v>13</v>
      </c>
      <c r="C12" s="458">
        <v>188583461</v>
      </c>
      <c r="D12" s="458">
        <v>11664574</v>
      </c>
      <c r="E12" s="458">
        <v>0</v>
      </c>
      <c r="F12" s="458">
        <v>136634127</v>
      </c>
      <c r="G12" s="458">
        <v>0</v>
      </c>
      <c r="H12" s="553">
        <f>D12-G12</f>
        <v>11664574</v>
      </c>
      <c r="I12" s="553">
        <f>'8 - Depreciation Rates'!K23</f>
        <v>25205171.438255999</v>
      </c>
      <c r="J12" s="553">
        <f>'8 - Depreciation Rates'!K96</f>
        <v>25075521.479920328</v>
      </c>
      <c r="K12" s="553">
        <f>'8 - Depreciation Rates'!K52</f>
        <v>3401046.59947976</v>
      </c>
      <c r="L12" s="553">
        <f>'8 - Depreciation Rates'!K62</f>
        <v>2811568.6365681598</v>
      </c>
      <c r="M12" s="553">
        <f>'8 - Depreciation Rates'!K66</f>
        <v>12591807.710000001</v>
      </c>
      <c r="O12" s="160"/>
    </row>
    <row r="13" spans="1:15" ht="13">
      <c r="A13" s="147"/>
      <c r="B13" s="235"/>
      <c r="C13" s="235"/>
      <c r="D13" s="235"/>
      <c r="E13" s="235"/>
      <c r="F13" s="235"/>
      <c r="G13" s="235"/>
      <c r="H13" s="235"/>
      <c r="I13" s="235"/>
      <c r="J13" s="235"/>
      <c r="N13" s="235"/>
      <c r="O13" s="161"/>
    </row>
    <row r="14" spans="1:15" ht="13">
      <c r="A14" s="147"/>
      <c r="B14" s="235"/>
      <c r="C14" s="235"/>
      <c r="D14" s="235"/>
      <c r="E14" s="235"/>
      <c r="F14" s="235"/>
      <c r="G14" s="235"/>
      <c r="H14" s="235"/>
      <c r="I14" s="235"/>
      <c r="J14" s="235"/>
      <c r="N14" s="235"/>
      <c r="O14" s="161"/>
    </row>
    <row r="15" spans="1:15" ht="78">
      <c r="A15" s="147"/>
      <c r="C15" s="75" t="s">
        <v>661</v>
      </c>
      <c r="D15" s="230" t="s">
        <v>247</v>
      </c>
      <c r="E15" s="75" t="s">
        <v>1461</v>
      </c>
      <c r="F15" s="230" t="s">
        <v>1466</v>
      </c>
      <c r="G15" s="75" t="s">
        <v>1462</v>
      </c>
      <c r="H15" s="984" t="s">
        <v>1588</v>
      </c>
      <c r="I15" s="75" t="s">
        <v>1464</v>
      </c>
      <c r="J15" s="984" t="s">
        <v>1467</v>
      </c>
      <c r="K15" s="75" t="s">
        <v>1182</v>
      </c>
      <c r="L15" s="75" t="s">
        <v>1329</v>
      </c>
      <c r="M15" s="75" t="s">
        <v>1226</v>
      </c>
      <c r="N15" s="235"/>
      <c r="O15" s="162"/>
    </row>
    <row r="16" spans="1:15" ht="13">
      <c r="A16" s="147"/>
      <c r="C16" s="73" t="s">
        <v>198</v>
      </c>
      <c r="D16" s="231" t="s">
        <v>199</v>
      </c>
      <c r="E16" s="381" t="s">
        <v>1469</v>
      </c>
      <c r="F16" s="232" t="s">
        <v>1470</v>
      </c>
      <c r="G16" s="232" t="s">
        <v>203</v>
      </c>
      <c r="H16" s="232" t="s">
        <v>202</v>
      </c>
      <c r="I16" s="232" t="s">
        <v>204</v>
      </c>
      <c r="J16" s="141" t="s">
        <v>1471</v>
      </c>
      <c r="K16" s="141" t="s">
        <v>206</v>
      </c>
      <c r="L16" s="149" t="s">
        <v>244</v>
      </c>
      <c r="M16" s="149" t="s">
        <v>248</v>
      </c>
      <c r="N16" s="235"/>
      <c r="O16" s="162"/>
    </row>
    <row r="17" spans="1:15" ht="26">
      <c r="A17" s="147"/>
      <c r="B17" s="184" t="s">
        <v>1391</v>
      </c>
      <c r="C17" s="73">
        <v>17</v>
      </c>
      <c r="D17" s="147">
        <v>19</v>
      </c>
      <c r="E17" s="73">
        <v>23</v>
      </c>
      <c r="F17" s="73">
        <v>24</v>
      </c>
      <c r="G17" s="73">
        <v>26</v>
      </c>
      <c r="H17" s="73">
        <v>27</v>
      </c>
      <c r="I17" s="73">
        <v>28</v>
      </c>
      <c r="J17" s="73">
        <v>29</v>
      </c>
      <c r="K17" s="142">
        <v>38</v>
      </c>
      <c r="L17" s="73">
        <v>39</v>
      </c>
      <c r="M17" s="73">
        <v>40</v>
      </c>
      <c r="N17" s="235"/>
      <c r="O17" s="162"/>
    </row>
    <row r="18" spans="1:15" ht="25.15" customHeight="1">
      <c r="A18" s="147"/>
      <c r="B18" s="142" t="s">
        <v>398</v>
      </c>
      <c r="C18" s="212" t="s">
        <v>1521</v>
      </c>
      <c r="D18" s="149" t="s">
        <v>404</v>
      </c>
      <c r="E18" s="149" t="s">
        <v>1459</v>
      </c>
      <c r="F18" s="109" t="s">
        <v>1485</v>
      </c>
      <c r="G18" s="212" t="s">
        <v>1460</v>
      </c>
      <c r="H18" s="212" t="s">
        <v>1463</v>
      </c>
      <c r="I18" s="212" t="s">
        <v>1465</v>
      </c>
      <c r="J18" s="109" t="s">
        <v>1486</v>
      </c>
      <c r="K18" s="149" t="s">
        <v>1181</v>
      </c>
      <c r="L18" s="212" t="s">
        <v>1231</v>
      </c>
      <c r="M18" s="212" t="s">
        <v>1232</v>
      </c>
      <c r="N18" s="235"/>
      <c r="O18" s="162"/>
    </row>
    <row r="19" spans="1:14" s="233" customFormat="1" ht="13">
      <c r="A19" s="147"/>
      <c r="B19" s="142"/>
      <c r="N19" s="149"/>
    </row>
    <row r="20" spans="1:14" ht="13">
      <c r="A20" s="147"/>
      <c r="C20" s="73"/>
      <c r="E20" s="73"/>
      <c r="F20" s="73"/>
      <c r="G20" s="73"/>
      <c r="H20" s="73"/>
      <c r="I20" s="73"/>
      <c r="J20" s="73"/>
      <c r="K20" s="73"/>
      <c r="L20" s="73"/>
      <c r="M20" s="73"/>
      <c r="N20" s="235"/>
    </row>
    <row r="21" spans="1:14" ht="13">
      <c r="A21" s="147" t="s">
        <v>165</v>
      </c>
      <c r="B21" s="237" t="s">
        <v>13</v>
      </c>
      <c r="C21" s="553">
        <f>'8 - Depreciation Rates'!K38</f>
        <v>16933417.057963997</v>
      </c>
      <c r="D21" s="459">
        <v>0</v>
      </c>
      <c r="E21" s="553">
        <f>'5C - Other Taxes'!E20</f>
        <v>12636392</v>
      </c>
      <c r="F21" s="459">
        <f>'5C - Other Taxes'!E47</f>
        <v>0</v>
      </c>
      <c r="G21" s="553">
        <f>'5C - Other Taxes'!E12</f>
        <v>12111350</v>
      </c>
      <c r="H21" s="553">
        <f>'5C - Other Taxes'!E37</f>
        <v>131044354</v>
      </c>
      <c r="I21" s="553">
        <f>'5C - Other Taxes'!E28</f>
        <v>440813</v>
      </c>
      <c r="J21" s="459">
        <f>'5C - Other Taxes'!E52</f>
        <v>0</v>
      </c>
      <c r="K21" s="459">
        <v>3978.9374610137602</v>
      </c>
      <c r="L21" s="553">
        <f>'9 - EDIT'!P18+'9 - EDIT'!P20+'9 - EDIT'!P24</f>
        <v>3189177.4592907447</v>
      </c>
      <c r="M21" s="459">
        <v>296018.03437660693</v>
      </c>
      <c r="N21" s="235"/>
    </row>
    <row r="22" spans="1:14" ht="13">
      <c r="A22" s="147"/>
      <c r="B22" s="344"/>
      <c r="C22" s="112"/>
      <c r="D22" s="112"/>
      <c r="E22" s="112"/>
      <c r="F22" s="112"/>
      <c r="G22" s="112"/>
      <c r="H22" s="112"/>
      <c r="I22" s="112"/>
      <c r="J22" s="112"/>
      <c r="K22" s="112"/>
      <c r="L22" s="112"/>
      <c r="M22" s="112"/>
      <c r="N22" s="235"/>
    </row>
    <row r="23" spans="2:15" ht="13">
      <c r="B23" s="235"/>
      <c r="C23" s="235"/>
      <c r="D23" s="235"/>
      <c r="E23" s="235"/>
      <c r="F23" s="235"/>
      <c r="G23" s="73" t="s">
        <v>192</v>
      </c>
      <c r="H23" s="235"/>
      <c r="I23" s="235"/>
      <c r="J23" s="235"/>
      <c r="M23" s="228" t="s">
        <v>154</v>
      </c>
      <c r="N23" s="235"/>
      <c r="O23" s="238"/>
    </row>
    <row r="24" spans="2:15" ht="13">
      <c r="B24" s="235"/>
      <c r="C24" s="235"/>
      <c r="D24" s="235"/>
      <c r="E24" s="235"/>
      <c r="F24" s="235"/>
      <c r="G24" s="73" t="s">
        <v>1389</v>
      </c>
      <c r="H24" s="235"/>
      <c r="I24" s="235"/>
      <c r="J24" s="235"/>
      <c r="N24" s="235"/>
      <c r="O24" s="238"/>
    </row>
    <row r="25" spans="1:15" ht="15.5">
      <c r="A25" s="349"/>
      <c r="B25" s="350"/>
      <c r="C25" s="350"/>
      <c r="D25" s="350"/>
      <c r="E25" s="350"/>
      <c r="F25" s="350"/>
      <c r="G25" s="351" t="str">
        <f>+G3</f>
        <v>PECO Energy Company</v>
      </c>
      <c r="H25" s="350"/>
      <c r="I25" s="350"/>
      <c r="J25" s="350"/>
      <c r="K25" s="352"/>
      <c r="L25" s="352"/>
      <c r="M25" s="352"/>
      <c r="N25" s="235"/>
      <c r="O25" s="238"/>
    </row>
    <row r="26" spans="2:15" ht="13">
      <c r="B26" s="235"/>
      <c r="C26" s="235"/>
      <c r="D26" s="235"/>
      <c r="E26" s="235"/>
      <c r="F26" s="235"/>
      <c r="G26" s="235"/>
      <c r="H26" s="235"/>
      <c r="I26" s="235"/>
      <c r="J26" s="235"/>
      <c r="N26" s="235"/>
      <c r="O26" s="238"/>
    </row>
    <row r="27" spans="2:15" ht="13">
      <c r="B27" s="235"/>
      <c r="C27" s="235"/>
      <c r="D27" s="235"/>
      <c r="E27" s="235"/>
      <c r="F27" s="235"/>
      <c r="G27" s="235"/>
      <c r="H27" s="235"/>
      <c r="I27" s="235"/>
      <c r="J27" s="235"/>
      <c r="N27" s="235"/>
      <c r="O27" s="238"/>
    </row>
    <row r="28" spans="1:15" ht="13.5" thickBot="1">
      <c r="A28" s="146"/>
      <c r="B28" s="76"/>
      <c r="C28" s="8"/>
      <c r="D28" s="345"/>
      <c r="E28" s="345"/>
      <c r="F28" s="345"/>
      <c r="G28" s="345"/>
      <c r="H28" s="345"/>
      <c r="I28" s="345"/>
      <c r="J28" s="346" t="s">
        <v>44</v>
      </c>
      <c r="K28" s="239"/>
      <c r="L28" s="8"/>
      <c r="N28" s="240"/>
      <c r="O28" s="240"/>
    </row>
    <row r="29" spans="1:15" ht="13">
      <c r="A29" s="146">
        <f>+A21+1</f>
        <v>3</v>
      </c>
      <c r="B29" s="76"/>
      <c r="C29" s="8"/>
      <c r="D29" s="345" t="s">
        <v>1227</v>
      </c>
      <c r="E29" s="345"/>
      <c r="F29" s="345"/>
      <c r="G29" s="345"/>
      <c r="H29" s="345"/>
      <c r="I29" s="345"/>
      <c r="J29" s="90">
        <f>'11 - Cost of Capital'!G13</f>
        <v>129261613.14</v>
      </c>
      <c r="N29" s="235"/>
      <c r="O29" s="235"/>
    </row>
    <row r="30" spans="1:15" ht="13">
      <c r="A30" s="146"/>
      <c r="B30" s="76"/>
      <c r="C30" s="8"/>
      <c r="D30" s="345"/>
      <c r="E30" s="345"/>
      <c r="F30" s="345"/>
      <c r="G30" s="345"/>
      <c r="H30" s="345"/>
      <c r="I30" s="345"/>
      <c r="J30" s="90"/>
      <c r="N30" s="235"/>
      <c r="O30" s="235"/>
    </row>
    <row r="31" spans="1:15" ht="13">
      <c r="A31" s="146">
        <f>+A29+1</f>
        <v>4</v>
      </c>
      <c r="B31" s="76"/>
      <c r="C31" s="8"/>
      <c r="D31" s="345" t="s">
        <v>300</v>
      </c>
      <c r="E31" s="345"/>
      <c r="F31" s="345"/>
      <c r="G31" s="345"/>
      <c r="H31" s="345"/>
      <c r="I31" s="345"/>
      <c r="J31" s="371">
        <v>0</v>
      </c>
      <c r="N31" s="235"/>
      <c r="O31" s="235"/>
    </row>
    <row r="32" spans="1:10" ht="13">
      <c r="A32" s="146"/>
      <c r="B32" s="76"/>
      <c r="C32" s="8"/>
      <c r="D32" s="345"/>
      <c r="E32" s="345"/>
      <c r="F32" s="345"/>
      <c r="G32" s="345"/>
      <c r="H32" s="345"/>
      <c r="I32" s="345"/>
      <c r="J32" s="90"/>
    </row>
    <row r="33" spans="1:10" ht="13">
      <c r="A33" s="146">
        <f>+A31+1</f>
        <v>5</v>
      </c>
      <c r="B33" s="76"/>
      <c r="C33" s="8"/>
      <c r="D33" s="345" t="s">
        <v>1317</v>
      </c>
      <c r="E33" s="347"/>
      <c r="F33" s="345"/>
      <c r="G33" s="345"/>
      <c r="H33" s="345"/>
      <c r="I33" s="345"/>
      <c r="J33" s="90">
        <f>'11 - Cost of Capital'!P42</f>
        <v>3615441080.3561544</v>
      </c>
    </row>
    <row r="34" spans="1:10" ht="13">
      <c r="A34" s="146">
        <f>+A33+1</f>
        <v>6</v>
      </c>
      <c r="B34" s="76"/>
      <c r="C34" s="8"/>
      <c r="D34" s="345" t="s">
        <v>1318</v>
      </c>
      <c r="E34" s="345"/>
      <c r="F34" s="345"/>
      <c r="G34" s="345"/>
      <c r="H34" s="345"/>
      <c r="I34" s="345"/>
      <c r="J34" s="90">
        <f>'11 - Cost of Capital'!P43</f>
        <v>0</v>
      </c>
    </row>
    <row r="35" spans="1:10" ht="13">
      <c r="A35" s="146">
        <f>+A34+1</f>
        <v>7</v>
      </c>
      <c r="B35" s="76"/>
      <c r="C35" s="8"/>
      <c r="D35" s="345" t="s">
        <v>1319</v>
      </c>
      <c r="E35" s="345"/>
      <c r="F35" s="345"/>
      <c r="G35" s="345"/>
      <c r="H35" s="345"/>
      <c r="I35" s="345"/>
      <c r="J35" s="90">
        <f>IF('11 - Cost of Capital'!P38&lt;0,0,-'11 - Cost of Capital'!P38)</f>
        <v>0</v>
      </c>
    </row>
    <row r="36" spans="1:10" ht="13.5" thickBot="1">
      <c r="A36" s="146">
        <f>+A35+1</f>
        <v>8</v>
      </c>
      <c r="B36" s="76"/>
      <c r="C36" s="8"/>
      <c r="D36" s="345" t="s">
        <v>1320</v>
      </c>
      <c r="E36" s="345"/>
      <c r="F36" s="345"/>
      <c r="G36" s="345"/>
      <c r="H36" s="345"/>
      <c r="I36" s="345"/>
      <c r="J36" s="93">
        <f>-'11 - Cost of Capital'!P41</f>
        <v>-1691501.0792307693</v>
      </c>
    </row>
    <row r="37" spans="1:10" ht="13">
      <c r="A37" s="146">
        <f>+A36+1</f>
        <v>9</v>
      </c>
      <c r="B37" s="76"/>
      <c r="C37" s="8"/>
      <c r="D37" s="345" t="s">
        <v>301</v>
      </c>
      <c r="E37" s="347" t="s">
        <v>1161</v>
      </c>
      <c r="F37" s="347"/>
      <c r="G37" s="347"/>
      <c r="H37" s="348"/>
      <c r="I37" s="347"/>
      <c r="J37" s="90">
        <f>+J33-J34+J35+J36</f>
        <v>3613749579.2769237</v>
      </c>
    </row>
    <row r="38" spans="1:10" ht="13">
      <c r="A38" s="146"/>
      <c r="B38" s="76"/>
      <c r="C38" s="8"/>
      <c r="J38" s="90"/>
    </row>
    <row r="39" spans="1:12" ht="13">
      <c r="A39" s="146"/>
      <c r="B39" s="76"/>
      <c r="C39" s="8"/>
      <c r="F39" s="8"/>
      <c r="G39" s="8"/>
      <c r="H39" s="8"/>
      <c r="I39" s="8"/>
      <c r="J39" s="8"/>
      <c r="K39" s="239"/>
      <c r="L39" s="8"/>
    </row>
    <row r="40" spans="1:12" ht="13">
      <c r="A40" s="146"/>
      <c r="B40" s="9"/>
      <c r="C40" s="8"/>
      <c r="F40" s="8"/>
      <c r="G40" s="8"/>
      <c r="H40" s="8"/>
      <c r="I40" s="98" t="s">
        <v>52</v>
      </c>
      <c r="J40" s="8"/>
      <c r="K40" s="8"/>
      <c r="L40" s="8"/>
    </row>
    <row r="41" spans="1:12" ht="13.5" thickBot="1">
      <c r="A41" s="146"/>
      <c r="B41" s="9"/>
      <c r="C41" s="8"/>
      <c r="F41" s="241" t="s">
        <v>44</v>
      </c>
      <c r="G41" s="241" t="s">
        <v>53</v>
      </c>
      <c r="H41" s="8"/>
      <c r="I41" s="603"/>
      <c r="J41" s="8"/>
      <c r="K41" s="241" t="s">
        <v>54</v>
      </c>
      <c r="L41" s="8"/>
    </row>
    <row r="42" spans="1:12" ht="13">
      <c r="A42" s="146">
        <f>+A37+1</f>
        <v>10</v>
      </c>
      <c r="B42" s="76" t="s">
        <v>1323</v>
      </c>
      <c r="C42" s="7" t="s">
        <v>1236</v>
      </c>
      <c r="F42" s="103">
        <f>'11 - Cost of Capital'!P22</f>
        <v>3126726301.3076925</v>
      </c>
      <c r="G42" s="525">
        <f>1-G44-G43</f>
        <v>0.46387322745475124</v>
      </c>
      <c r="H42" s="78"/>
      <c r="I42" s="525">
        <f>+J29/F42</f>
        <v>0.04134087882458367</v>
      </c>
      <c r="J42" s="78"/>
      <c r="K42" s="525">
        <f>G42*I42</f>
        <v>0.019176926886175411</v>
      </c>
      <c r="L42" s="242" t="s">
        <v>55</v>
      </c>
    </row>
    <row r="43" spans="1:12" ht="13">
      <c r="A43" s="146">
        <f>+A42+1</f>
        <v>11</v>
      </c>
      <c r="B43" s="76" t="s">
        <v>1321</v>
      </c>
      <c r="C43" s="7" t="s">
        <v>1235</v>
      </c>
      <c r="F43" s="103">
        <f>J34</f>
        <v>0</v>
      </c>
      <c r="G43" s="78">
        <f>IF(F$45=0,0,F43/F$45)</f>
        <v>0</v>
      </c>
      <c r="H43" s="78"/>
      <c r="I43" s="78">
        <v>0</v>
      </c>
      <c r="J43" s="78"/>
      <c r="K43" s="525">
        <f>G43*I43</f>
        <v>0</v>
      </c>
      <c r="L43" s="8"/>
    </row>
    <row r="44" spans="1:12" ht="13.5" thickBot="1">
      <c r="A44" s="146">
        <f>+A43+1</f>
        <v>12</v>
      </c>
      <c r="B44" s="76" t="s">
        <v>1322</v>
      </c>
      <c r="C44" s="7" t="s">
        <v>1237</v>
      </c>
      <c r="F44" s="164">
        <f>+J37</f>
        <v>3613749579.2769237</v>
      </c>
      <c r="G44" s="525">
        <f>IF(F$45=0,0,IF(F44/F$45&gt;0.5575,0.5575,F44/F$45))</f>
        <v>0.53612677254524876</v>
      </c>
      <c r="H44" s="203"/>
      <c r="I44" s="525">
        <f>0.5%+9.85%</f>
        <v>0.1035</v>
      </c>
      <c r="J44" s="78"/>
      <c r="K44" s="243">
        <f>G44*I44</f>
        <v>0.055489120958433245</v>
      </c>
      <c r="L44" s="8"/>
    </row>
    <row r="45" spans="1:12" ht="13">
      <c r="A45" s="146">
        <f>+A44+1</f>
        <v>13</v>
      </c>
      <c r="B45" s="9" t="s">
        <v>227</v>
      </c>
      <c r="C45" s="7" t="s">
        <v>1162</v>
      </c>
      <c r="F45" s="103">
        <f>SUM(F42:F44)</f>
        <v>6740475880.5846157</v>
      </c>
      <c r="G45" s="78" t="s">
        <v>2</v>
      </c>
      <c r="H45" s="8"/>
      <c r="I45" s="78"/>
      <c r="J45" s="78"/>
      <c r="K45" s="525">
        <f>SUM(K42:K44)</f>
        <v>0.07466604784460866</v>
      </c>
      <c r="L45" s="242" t="s">
        <v>56</v>
      </c>
    </row>
    <row r="46" spans="1:7" ht="13">
      <c r="A46" s="146"/>
      <c r="G46" s="78"/>
    </row>
    <row r="47" ht="13.5" thickBot="1">
      <c r="A47" s="941" t="s">
        <v>182</v>
      </c>
    </row>
    <row r="48" spans="1:2" ht="13">
      <c r="A48" s="147" t="s">
        <v>58</v>
      </c>
      <c r="B48" s="109" t="s">
        <v>1270</v>
      </c>
    </row>
    <row r="49" spans="1:2" ht="13">
      <c r="A49" s="147" t="s">
        <v>59</v>
      </c>
      <c r="B49" s="109" t="s">
        <v>420</v>
      </c>
    </row>
    <row r="50" spans="1:2" ht="13">
      <c r="A50" s="147" t="s">
        <v>60</v>
      </c>
      <c r="B50" s="109" t="s">
        <v>768</v>
      </c>
    </row>
    <row r="51" spans="1:2" ht="13">
      <c r="A51" s="147"/>
      <c r="B51" s="109" t="s">
        <v>1191</v>
      </c>
    </row>
    <row r="52" spans="1:11" ht="13">
      <c r="A52" s="147"/>
      <c r="B52" s="1044" t="s">
        <v>1397</v>
      </c>
      <c r="C52" s="1044"/>
      <c r="D52" s="1044"/>
      <c r="E52" s="1044"/>
      <c r="F52" s="1044"/>
      <c r="G52" s="1044"/>
      <c r="H52" s="1044"/>
      <c r="I52" s="1044"/>
      <c r="J52" s="1044"/>
      <c r="K52" s="1044"/>
    </row>
    <row r="53" spans="1:2" ht="13">
      <c r="A53" s="147" t="s">
        <v>61</v>
      </c>
      <c r="B53" s="345" t="s">
        <v>700</v>
      </c>
    </row>
    <row r="54" spans="1:13" ht="41.5" customHeight="1">
      <c r="A54" s="567" t="s">
        <v>62</v>
      </c>
      <c r="B54" s="1051" t="s">
        <v>1160</v>
      </c>
      <c r="C54" s="1051"/>
      <c r="D54" s="1051"/>
      <c r="E54" s="1051"/>
      <c r="F54" s="1051"/>
      <c r="G54" s="1051"/>
      <c r="H54" s="1051"/>
      <c r="I54" s="1051"/>
      <c r="J54" s="1051"/>
      <c r="K54" s="1051"/>
      <c r="L54" s="1051"/>
      <c r="M54" s="1051"/>
    </row>
    <row r="55" spans="1:2" ht="13">
      <c r="A55" s="147" t="s">
        <v>63</v>
      </c>
      <c r="B55" s="985" t="s">
        <v>1472</v>
      </c>
    </row>
    <row r="56" spans="1:2" ht="13">
      <c r="A56" s="147" t="s">
        <v>64</v>
      </c>
      <c r="B56" s="109" t="s">
        <v>1228</v>
      </c>
    </row>
  </sheetData>
  <customSheetViews>
    <customSheetView guid="{f04a2b9a-c6fe-4feb-ad1e-2cf9ac309be4}" fitToPage="1" topLeftCell="A1">
      <selection pane="topLeft" activeCell="G20" sqref="G20"/>
      <pageMargins left="0.7" right="0.7" top="0.75" bottom="0.75" header="0.3" footer="0.3"/>
      <pageSetup orientation="landscape" scale="10" r:id="rId2"/>
    </customSheetView>
  </customSheetViews>
  <mergeCells count="2">
    <mergeCell ref="B52:K52"/>
    <mergeCell ref="B54:M54"/>
  </mergeCells>
  <pageMargins left="0.25" right="0.25" top="0.75" bottom="0.75" header="0.3" footer="0.3"/>
  <pageSetup fitToHeight="0" orientation="landscape" scale="57" r:id="rId1"/>
  <rowBreaks count="1" manualBreakCount="1">
    <brk id="22" max="12"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2"/>
  <sheetViews>
    <sheetView view="pageBreakPreview" zoomScale="70" zoomScaleNormal="90" zoomScaleSheetLayoutView="70" workbookViewId="0" topLeftCell="A1">
      <selection pane="topLeft" activeCell="A1" sqref="A1"/>
    </sheetView>
  </sheetViews>
  <sheetFormatPr defaultColWidth="7.07421875" defaultRowHeight="14"/>
  <cols>
    <col min="1" max="1" width="5.78571428571429" style="548" customWidth="1"/>
    <col min="2" max="2" width="65.8571428571429" style="430" customWidth="1"/>
    <col min="3" max="3" width="14.0714285714286" style="430" customWidth="1"/>
    <col min="4" max="4" width="12" style="539" bestFit="1" customWidth="1"/>
    <col min="5" max="5" width="14.7857142857143" style="430" bestFit="1" customWidth="1"/>
    <col min="6" max="6" width="14" style="430" customWidth="1"/>
    <col min="7" max="7" width="10.7142857142857" style="430" bestFit="1" customWidth="1"/>
    <col min="8" max="8" width="12" style="430" customWidth="1"/>
    <col min="9" max="16384" width="7.07142857142857" style="430"/>
  </cols>
  <sheetData>
    <row r="1" spans="1:8" ht="14">
      <c r="A1" s="1082" t="s">
        <v>681</v>
      </c>
      <c r="B1" s="1082"/>
      <c r="C1" s="1082"/>
      <c r="D1" s="1082"/>
      <c r="H1" s="430" t="s">
        <v>422</v>
      </c>
    </row>
    <row r="2" spans="1:5" ht="14">
      <c r="A2" s="1087" t="s">
        <v>650</v>
      </c>
      <c r="B2" s="1088"/>
      <c r="C2" s="1088"/>
      <c r="D2" s="1088"/>
      <c r="E2" s="464"/>
    </row>
    <row r="3" spans="1:5" ht="14">
      <c r="A3" s="1087"/>
      <c r="B3" s="1088"/>
      <c r="C3" s="1088"/>
      <c r="D3" s="1088"/>
      <c r="E3" s="464"/>
    </row>
    <row r="4" spans="2:3" ht="14">
      <c r="B4" s="465"/>
      <c r="C4" s="612"/>
    </row>
    <row r="5" spans="2:7" ht="14">
      <c r="B5" s="400" t="s">
        <v>618</v>
      </c>
      <c r="C5" s="534"/>
      <c r="G5" s="466"/>
    </row>
    <row r="6" spans="1:7" ht="14">
      <c r="A6" s="548">
        <v>1</v>
      </c>
      <c r="B6" s="467" t="s">
        <v>842</v>
      </c>
      <c r="C6" s="538"/>
      <c r="D6" s="489">
        <f>E60</f>
        <v>7551396</v>
      </c>
      <c r="G6" s="539"/>
    </row>
    <row r="7" spans="1:7" ht="14">
      <c r="A7" s="548">
        <f>A6+1</f>
        <v>2</v>
      </c>
      <c r="B7" s="467" t="s">
        <v>843</v>
      </c>
      <c r="C7" s="538"/>
      <c r="D7" s="489">
        <f>E59+F66</f>
        <v>771146.45742275822</v>
      </c>
      <c r="G7" s="539"/>
    </row>
    <row r="8" spans="1:7" ht="14">
      <c r="A8" s="548">
        <f>A7+1</f>
        <v>3</v>
      </c>
      <c r="B8" s="538" t="s">
        <v>624</v>
      </c>
      <c r="C8" s="534" t="s">
        <v>1163</v>
      </c>
      <c r="D8" s="469">
        <f>SUM(D6:D7)</f>
        <v>8322542.4574227585</v>
      </c>
      <c r="G8" s="539"/>
    </row>
    <row r="9" spans="2:7" ht="14">
      <c r="B9" s="538"/>
      <c r="C9" s="538"/>
      <c r="D9" s="469"/>
      <c r="G9" s="470"/>
    </row>
    <row r="10" spans="2:7" ht="14">
      <c r="B10" s="400" t="s">
        <v>771</v>
      </c>
      <c r="C10" s="538"/>
      <c r="F10" s="429"/>
      <c r="G10" s="471"/>
    </row>
    <row r="11" spans="2:7" ht="14">
      <c r="B11" s="472"/>
      <c r="C11" s="473"/>
      <c r="D11" s="474"/>
      <c r="G11" s="471"/>
    </row>
    <row r="12" spans="1:7" ht="14">
      <c r="A12" s="548">
        <f>+A8+1</f>
        <v>4</v>
      </c>
      <c r="B12" s="467" t="s">
        <v>619</v>
      </c>
      <c r="C12" s="535"/>
      <c r="D12" s="456">
        <f>E83</f>
        <v>5108495</v>
      </c>
      <c r="G12" s="471"/>
    </row>
    <row r="13" spans="1:7" ht="28">
      <c r="A13" s="548">
        <f t="shared" si="0" ref="A13:A20">+A12+1</f>
        <v>5</v>
      </c>
      <c r="B13" s="535" t="s">
        <v>981</v>
      </c>
      <c r="C13" s="535"/>
      <c r="D13" s="456">
        <f>E85</f>
        <v>927381</v>
      </c>
      <c r="G13" s="471"/>
    </row>
    <row r="14" spans="1:7" ht="14">
      <c r="A14" s="548">
        <f t="shared" si="0"/>
        <v>6</v>
      </c>
      <c r="B14" s="535" t="s">
        <v>713</v>
      </c>
      <c r="C14" s="535"/>
      <c r="D14" s="468">
        <v>0</v>
      </c>
      <c r="G14" s="470"/>
    </row>
    <row r="15" spans="1:7" ht="14">
      <c r="A15" s="548">
        <f t="shared" si="0"/>
        <v>7</v>
      </c>
      <c r="B15" s="538" t="s">
        <v>844</v>
      </c>
      <c r="C15" s="535"/>
      <c r="D15" s="490">
        <f>H79</f>
        <v>304133.23851238267</v>
      </c>
      <c r="G15" s="471"/>
    </row>
    <row r="16" spans="1:7" ht="14">
      <c r="A16" s="548">
        <f t="shared" si="0"/>
        <v>8</v>
      </c>
      <c r="B16" s="538" t="s">
        <v>620</v>
      </c>
      <c r="C16" s="475"/>
      <c r="D16" s="468">
        <v>0</v>
      </c>
      <c r="G16" s="539"/>
    </row>
    <row r="17" spans="1:4" ht="14">
      <c r="A17" s="548">
        <f t="shared" si="0"/>
        <v>9</v>
      </c>
      <c r="B17" s="538" t="s">
        <v>621</v>
      </c>
      <c r="C17" s="535"/>
      <c r="D17" s="468">
        <v>0</v>
      </c>
    </row>
    <row r="18" spans="1:4" ht="14">
      <c r="A18" s="548">
        <f t="shared" si="0"/>
        <v>10</v>
      </c>
      <c r="B18" s="538" t="s">
        <v>625</v>
      </c>
      <c r="C18" s="538"/>
      <c r="D18" s="468">
        <v>0</v>
      </c>
    </row>
    <row r="19" spans="1:4" ht="14">
      <c r="A19" s="548">
        <f t="shared" si="0"/>
        <v>11</v>
      </c>
      <c r="B19" s="538" t="s">
        <v>622</v>
      </c>
      <c r="C19" s="534"/>
      <c r="D19" s="468">
        <v>0</v>
      </c>
    </row>
    <row r="20" spans="1:4" ht="14">
      <c r="A20" s="548">
        <f t="shared" si="0"/>
        <v>12</v>
      </c>
      <c r="B20" s="538" t="s">
        <v>626</v>
      </c>
      <c r="C20" s="534"/>
      <c r="D20" s="468">
        <v>0</v>
      </c>
    </row>
    <row r="21" spans="2:4" ht="14">
      <c r="B21" s="538"/>
      <c r="C21" s="534"/>
      <c r="D21" s="530"/>
    </row>
    <row r="22" spans="1:4" ht="14">
      <c r="A22" s="548">
        <f>+A20+1</f>
        <v>13</v>
      </c>
      <c r="B22" s="538" t="s">
        <v>623</v>
      </c>
      <c r="C22" s="534" t="s">
        <v>1177</v>
      </c>
      <c r="D22" s="539">
        <f>SUM(D12:D20)+D8</f>
        <v>14662551.695935141</v>
      </c>
    </row>
    <row r="23" spans="1:4" ht="14">
      <c r="A23" s="548">
        <f t="shared" si="1" ref="A23:A24">+A22+1</f>
        <v>14</v>
      </c>
      <c r="B23" s="538" t="s">
        <v>627</v>
      </c>
      <c r="C23" s="534"/>
      <c r="D23" s="539">
        <f>+D38</f>
        <v>-5003794.0284025231</v>
      </c>
    </row>
    <row r="24" spans="1:4" ht="14">
      <c r="A24" s="548">
        <f t="shared" si="1"/>
        <v>15</v>
      </c>
      <c r="B24" s="538" t="s">
        <v>628</v>
      </c>
      <c r="C24" s="534"/>
      <c r="D24" s="539">
        <f>+D22+D23</f>
        <v>9658757.6675326191</v>
      </c>
    </row>
    <row r="25" spans="2:3" ht="14">
      <c r="B25" s="538"/>
      <c r="C25" s="534"/>
    </row>
    <row r="26" spans="2:5" ht="50.25" customHeight="1">
      <c r="B26" s="476" t="s">
        <v>629</v>
      </c>
      <c r="C26" s="534"/>
      <c r="D26" s="530"/>
      <c r="E26" s="477"/>
    </row>
    <row r="27" spans="1:4" ht="82.9" customHeight="1">
      <c r="A27" s="549" t="s">
        <v>792</v>
      </c>
      <c r="B27" s="478" t="s">
        <v>1178</v>
      </c>
      <c r="C27" s="534"/>
      <c r="D27" s="468">
        <v>0</v>
      </c>
    </row>
    <row r="28" spans="1:5" ht="21" customHeight="1">
      <c r="A28" s="549"/>
      <c r="B28" s="538"/>
      <c r="C28" s="534"/>
      <c r="E28" s="477"/>
    </row>
    <row r="29" spans="1:3" ht="56">
      <c r="A29" s="549" t="s">
        <v>793</v>
      </c>
      <c r="B29" s="478" t="s">
        <v>630</v>
      </c>
      <c r="C29" s="534"/>
    </row>
    <row r="30" spans="1:5" ht="14.25" customHeight="1">
      <c r="A30" s="549"/>
      <c r="B30" s="538"/>
      <c r="C30" s="534"/>
      <c r="E30" s="477"/>
    </row>
    <row r="31" spans="1:3" ht="207.75" customHeight="1">
      <c r="A31" s="549" t="s">
        <v>794</v>
      </c>
      <c r="B31" s="479" t="s">
        <v>819</v>
      </c>
      <c r="C31" s="479"/>
    </row>
    <row r="32" spans="1:4" ht="14">
      <c r="A32" s="549" t="s">
        <v>631</v>
      </c>
      <c r="B32" s="479" t="s">
        <v>632</v>
      </c>
      <c r="C32" s="479"/>
      <c r="D32" s="474">
        <f>+D6+D18+D20</f>
        <v>7551396</v>
      </c>
    </row>
    <row r="33" spans="1:5" ht="14">
      <c r="A33" s="549" t="s">
        <v>633</v>
      </c>
      <c r="B33" s="479" t="s">
        <v>634</v>
      </c>
      <c r="C33" s="480"/>
      <c r="D33" s="474">
        <f>F54+(D32-F54)*'Attachment H-7'!D152</f>
        <v>2617741.9953742502</v>
      </c>
      <c r="E33" s="464"/>
    </row>
    <row r="34" spans="1:5" ht="14">
      <c r="A34" s="549" t="s">
        <v>635</v>
      </c>
      <c r="B34" s="479" t="s">
        <v>636</v>
      </c>
      <c r="C34" s="479"/>
      <c r="D34" s="474">
        <f>+D32-D33</f>
        <v>4933654.0046257498</v>
      </c>
      <c r="E34" s="530"/>
    </row>
    <row r="35" spans="1:4" ht="14">
      <c r="A35" s="549" t="s">
        <v>637</v>
      </c>
      <c r="B35" s="479" t="s">
        <v>638</v>
      </c>
      <c r="C35" s="479"/>
      <c r="D35" s="474">
        <f>+D34/2</f>
        <v>2466827.0023128749</v>
      </c>
    </row>
    <row r="36" spans="1:4" ht="42">
      <c r="A36" s="549" t="s">
        <v>639</v>
      </c>
      <c r="B36" s="479" t="s">
        <v>640</v>
      </c>
      <c r="C36" s="479"/>
      <c r="D36" s="474">
        <f>H54</f>
        <v>80774.969284601859</v>
      </c>
    </row>
    <row r="37" spans="1:4" ht="14">
      <c r="A37" s="549" t="s">
        <v>641</v>
      </c>
      <c r="B37" s="538" t="s">
        <v>642</v>
      </c>
      <c r="C37" s="534"/>
      <c r="D37" s="539">
        <f>+D35+D36</f>
        <v>2547601.9715974769</v>
      </c>
    </row>
    <row r="38" spans="1:4" ht="14">
      <c r="A38" s="549" t="s">
        <v>643</v>
      </c>
      <c r="B38" s="538" t="s">
        <v>644</v>
      </c>
      <c r="C38" s="534"/>
      <c r="D38" s="539">
        <f>+D37-D32</f>
        <v>-5003794.0284025231</v>
      </c>
    </row>
    <row r="39" spans="1:4" ht="78.65" customHeight="1">
      <c r="A39" s="549">
        <v>18</v>
      </c>
      <c r="B39" s="478" t="s">
        <v>1164</v>
      </c>
      <c r="C39" s="534"/>
      <c r="D39" s="468">
        <v>0</v>
      </c>
    </row>
    <row r="40" spans="2:3" ht="14">
      <c r="B40" s="534"/>
      <c r="C40" s="534"/>
    </row>
    <row r="41" spans="1:4" ht="14">
      <c r="A41" s="548">
        <v>19</v>
      </c>
      <c r="B41" s="534" t="s">
        <v>369</v>
      </c>
      <c r="C41" s="534"/>
      <c r="D41" s="468">
        <v>0</v>
      </c>
    </row>
    <row r="42" spans="2:4" ht="14">
      <c r="B42" s="534"/>
      <c r="C42" s="534"/>
      <c r="D42" s="530"/>
    </row>
    <row r="43" spans="1:4" ht="14">
      <c r="A43" s="548">
        <v>20</v>
      </c>
      <c r="B43" s="534" t="s">
        <v>645</v>
      </c>
      <c r="C43" s="534"/>
      <c r="D43" s="481">
        <f>+D22+D27+D39+D41</f>
        <v>14662551.695935141</v>
      </c>
    </row>
    <row r="44" spans="1:4" ht="14">
      <c r="A44" s="548">
        <v>21</v>
      </c>
      <c r="B44" s="534" t="s">
        <v>369</v>
      </c>
      <c r="C44" s="534"/>
      <c r="D44" s="481"/>
    </row>
    <row r="46" spans="1:8" ht="14">
      <c r="A46" s="547"/>
      <c r="D46" s="431"/>
      <c r="H46" s="430" t="s">
        <v>154</v>
      </c>
    </row>
    <row r="47" spans="1:5" ht="14">
      <c r="A47" s="1087" t="s">
        <v>650</v>
      </c>
      <c r="B47" s="1088"/>
      <c r="C47" s="1088"/>
      <c r="D47" s="1088"/>
      <c r="E47" s="464"/>
    </row>
    <row r="49" ht="14">
      <c r="B49" s="479" t="s">
        <v>634</v>
      </c>
    </row>
    <row r="50" spans="2:8" ht="60" customHeight="1">
      <c r="B50" s="430" t="s">
        <v>646</v>
      </c>
      <c r="C50" s="485" t="s">
        <v>820</v>
      </c>
      <c r="D50" s="539" t="s">
        <v>847</v>
      </c>
      <c r="E50" s="485" t="s">
        <v>980</v>
      </c>
      <c r="F50" s="485" t="s">
        <v>846</v>
      </c>
      <c r="G50" s="485" t="s">
        <v>848</v>
      </c>
      <c r="H50" s="485" t="s">
        <v>849</v>
      </c>
    </row>
    <row r="51" spans="1:8" ht="14">
      <c r="A51" s="548" t="s">
        <v>647</v>
      </c>
      <c r="B51" s="536" t="s">
        <v>688</v>
      </c>
      <c r="C51" s="536">
        <v>920000</v>
      </c>
      <c r="D51" s="540">
        <v>678532</v>
      </c>
      <c r="E51" s="537">
        <v>0.75</v>
      </c>
      <c r="F51" s="484">
        <f>D51*E51</f>
        <v>508899</v>
      </c>
      <c r="G51" s="486">
        <f>'Attachment H-7'!I197</f>
        <v>0.09880621410235467</v>
      </c>
      <c r="H51" s="484">
        <f>D51*G51</f>
        <v>67043.178067298912</v>
      </c>
    </row>
    <row r="52" spans="1:8" ht="14">
      <c r="A52" s="548" t="s">
        <v>648</v>
      </c>
      <c r="B52" s="482" t="s">
        <v>693</v>
      </c>
      <c r="C52" s="536">
        <v>926000</v>
      </c>
      <c r="D52" s="540">
        <v>138977</v>
      </c>
      <c r="E52" s="537">
        <v>0.75</v>
      </c>
      <c r="F52" s="484">
        <f>D52*E52</f>
        <v>104232.75</v>
      </c>
      <c r="G52" s="486">
        <f>G51</f>
        <v>0.09880621410235467</v>
      </c>
      <c r="H52" s="484">
        <f>D52*G52</f>
        <v>13731.791217302945</v>
      </c>
    </row>
    <row r="53" ht="14">
      <c r="A53" s="548" t="s">
        <v>296</v>
      </c>
    </row>
    <row r="54" spans="1:8" ht="14">
      <c r="A54" s="548">
        <v>23</v>
      </c>
      <c r="B54" s="430" t="s">
        <v>649</v>
      </c>
      <c r="D54" s="487">
        <f>SUM(D51:D53)</f>
        <v>817509</v>
      </c>
      <c r="E54" s="488"/>
      <c r="F54" s="487">
        <f>SUM(F51:F53)</f>
        <v>613131.75</v>
      </c>
      <c r="G54" s="488"/>
      <c r="H54" s="487">
        <f>SUM(H51:H53)</f>
        <v>80774.969284601859</v>
      </c>
    </row>
    <row r="57" spans="2:8" ht="28.15" customHeight="1">
      <c r="B57" s="491" t="s">
        <v>850</v>
      </c>
      <c r="C57" s="492" t="s">
        <v>845</v>
      </c>
      <c r="D57" s="492" t="s">
        <v>854</v>
      </c>
      <c r="E57" s="492" t="s">
        <v>855</v>
      </c>
      <c r="F57" s="492" t="s">
        <v>856</v>
      </c>
      <c r="G57" s="492" t="s">
        <v>857</v>
      </c>
      <c r="H57" s="493" t="s">
        <v>13</v>
      </c>
    </row>
    <row r="58" spans="1:8" ht="14">
      <c r="A58" s="548" t="s">
        <v>867</v>
      </c>
      <c r="B58" s="491" t="s">
        <v>858</v>
      </c>
      <c r="C58" s="494">
        <v>12723689</v>
      </c>
      <c r="D58" s="495">
        <f>C58</f>
        <v>12723689</v>
      </c>
      <c r="E58" s="496"/>
      <c r="F58" s="496"/>
      <c r="G58" s="496"/>
      <c r="H58" s="497"/>
    </row>
    <row r="59" spans="1:8" ht="14">
      <c r="A59" s="548" t="s">
        <v>868</v>
      </c>
      <c r="B59" s="491" t="s">
        <v>859</v>
      </c>
      <c r="C59" s="498">
        <v>264492</v>
      </c>
      <c r="D59" s="499"/>
      <c r="E59" s="500">
        <f>C59</f>
        <v>264492</v>
      </c>
      <c r="F59" s="491"/>
      <c r="G59" s="491"/>
      <c r="H59" s="501"/>
    </row>
    <row r="60" spans="1:8" ht="14">
      <c r="A60" s="548" t="s">
        <v>869</v>
      </c>
      <c r="B60" s="491" t="s">
        <v>1256</v>
      </c>
      <c r="C60" s="498">
        <v>7551396</v>
      </c>
      <c r="D60" s="499"/>
      <c r="E60" s="500">
        <f>C60</f>
        <v>7551396</v>
      </c>
      <c r="F60" s="491"/>
      <c r="G60" s="491"/>
      <c r="H60" s="501"/>
    </row>
    <row r="61" spans="1:8" ht="14">
      <c r="A61" s="548" t="s">
        <v>870</v>
      </c>
      <c r="B61" s="491" t="s">
        <v>1257</v>
      </c>
      <c r="C61" s="498">
        <v>3410228</v>
      </c>
      <c r="D61" s="499">
        <f>C61</f>
        <v>3410228</v>
      </c>
      <c r="E61" s="491"/>
      <c r="F61" s="500"/>
      <c r="G61" s="491"/>
      <c r="H61" s="501"/>
    </row>
    <row r="62" spans="1:8" ht="14">
      <c r="A62" s="548" t="s">
        <v>1255</v>
      </c>
      <c r="B62" s="491" t="s">
        <v>860</v>
      </c>
      <c r="C62" s="498">
        <v>2660969</v>
      </c>
      <c r="D62" s="499"/>
      <c r="E62" s="491"/>
      <c r="F62" s="500">
        <f>C62</f>
        <v>2660969</v>
      </c>
      <c r="G62" s="491"/>
      <c r="H62" s="501"/>
    </row>
    <row r="63" spans="1:8" ht="14">
      <c r="A63" s="548" t="s">
        <v>296</v>
      </c>
      <c r="B63" s="491"/>
      <c r="C63" s="498"/>
      <c r="D63" s="499"/>
      <c r="E63" s="491"/>
      <c r="F63" s="500"/>
      <c r="G63" s="491"/>
      <c r="H63" s="501"/>
    </row>
    <row r="64" spans="2:8" ht="14">
      <c r="B64" s="502" t="s">
        <v>871</v>
      </c>
      <c r="C64" s="496">
        <f>SUM(C58:C63)</f>
        <v>26610774</v>
      </c>
      <c r="D64" s="496">
        <f t="shared" si="2" ref="D64:G64">SUM(D58:D63)</f>
        <v>16133917</v>
      </c>
      <c r="E64" s="496">
        <f t="shared" si="2"/>
        <v>7815888</v>
      </c>
      <c r="F64" s="496">
        <f t="shared" si="2"/>
        <v>2660969</v>
      </c>
      <c r="G64" s="496">
        <f t="shared" si="2"/>
        <v>0</v>
      </c>
      <c r="H64" s="497"/>
    </row>
    <row r="65" spans="2:8" ht="14">
      <c r="B65" s="503" t="s">
        <v>861</v>
      </c>
      <c r="C65" s="491"/>
      <c r="D65" s="520">
        <v>0</v>
      </c>
      <c r="E65" s="520">
        <v>1</v>
      </c>
      <c r="F65" s="504">
        <f>'Attachment H-7'!G53</f>
        <v>0.19040223971897385</v>
      </c>
      <c r="G65" s="504">
        <f>'Attachment H-7'!I197</f>
        <v>0.09880621410235467</v>
      </c>
      <c r="H65" s="491"/>
    </row>
    <row r="66" spans="2:8" ht="14">
      <c r="B66" s="503" t="s">
        <v>862</v>
      </c>
      <c r="C66" s="491"/>
      <c r="D66" s="495">
        <f>D64*D65</f>
        <v>0</v>
      </c>
      <c r="E66" s="495">
        <f t="shared" si="3" ref="E66:G66">E64*E65</f>
        <v>7815888</v>
      </c>
      <c r="F66" s="495">
        <f t="shared" si="3"/>
        <v>506654.45742275816</v>
      </c>
      <c r="G66" s="495">
        <f t="shared" si="3"/>
        <v>0</v>
      </c>
      <c r="H66" s="497">
        <f t="shared" si="4" ref="H66">SUM(D66:G66)</f>
        <v>8322542.4574227585</v>
      </c>
    </row>
    <row r="67" ht="14">
      <c r="E67" s="483"/>
    </row>
    <row r="68" spans="2:8" ht="14">
      <c r="B68" s="491" t="s">
        <v>863</v>
      </c>
      <c r="C68" s="492" t="s">
        <v>845</v>
      </c>
      <c r="D68" s="492" t="s">
        <v>854</v>
      </c>
      <c r="E68" s="492" t="s">
        <v>855</v>
      </c>
      <c r="F68" s="492" t="s">
        <v>856</v>
      </c>
      <c r="G68" s="492" t="s">
        <v>857</v>
      </c>
      <c r="H68" s="493" t="s">
        <v>13</v>
      </c>
    </row>
    <row r="69" spans="1:8" ht="14">
      <c r="A69" s="548" t="s">
        <v>583</v>
      </c>
      <c r="B69" s="491" t="s">
        <v>864</v>
      </c>
      <c r="C69" s="494">
        <v>-3859745</v>
      </c>
      <c r="D69" s="495">
        <f>C69</f>
        <v>-3859745</v>
      </c>
      <c r="E69" s="496"/>
      <c r="F69" s="496"/>
      <c r="G69" s="496"/>
      <c r="H69" s="497"/>
    </row>
    <row r="70" spans="1:8" ht="14">
      <c r="A70" s="548" t="s">
        <v>584</v>
      </c>
      <c r="B70" s="491" t="s">
        <v>1258</v>
      </c>
      <c r="C70" s="498">
        <v>7314198</v>
      </c>
      <c r="D70" s="495">
        <f>C70</f>
        <v>7314198</v>
      </c>
      <c r="E70" s="500"/>
      <c r="F70" s="491"/>
      <c r="G70" s="491"/>
      <c r="H70" s="501"/>
    </row>
    <row r="71" spans="1:8" ht="14">
      <c r="A71" s="548" t="s">
        <v>585</v>
      </c>
      <c r="B71" s="491" t="s">
        <v>865</v>
      </c>
      <c r="C71" s="498">
        <v>6138390</v>
      </c>
      <c r="D71" s="495">
        <f>C71</f>
        <v>6138390</v>
      </c>
      <c r="E71" s="491"/>
      <c r="F71" s="491"/>
      <c r="G71" s="500"/>
      <c r="H71" s="501"/>
    </row>
    <row r="72" spans="1:8" ht="14">
      <c r="A72" s="548" t="s">
        <v>586</v>
      </c>
      <c r="B72" s="491" t="s">
        <v>1595</v>
      </c>
      <c r="C72" s="498">
        <v>179940.89999999999</v>
      </c>
      <c r="D72" s="501"/>
      <c r="E72" s="501">
        <f>C72</f>
        <v>179940.90</v>
      </c>
      <c r="F72" s="501"/>
      <c r="G72" s="501"/>
      <c r="H72" s="501"/>
    </row>
    <row r="73" spans="1:8" ht="14">
      <c r="A73" s="548" t="s">
        <v>587</v>
      </c>
      <c r="B73" s="491" t="s">
        <v>1596</v>
      </c>
      <c r="C73" s="498">
        <v>3022.1599999999999</v>
      </c>
      <c r="D73" s="501"/>
      <c r="E73" s="501"/>
      <c r="F73" s="501"/>
      <c r="G73" s="501">
        <f>C73</f>
        <v>3022.16</v>
      </c>
      <c r="H73" s="501"/>
    </row>
    <row r="74" spans="1:8" ht="14">
      <c r="A74" s="548" t="s">
        <v>588</v>
      </c>
      <c r="B74" s="491" t="s">
        <v>1597</v>
      </c>
      <c r="C74" s="498">
        <v>2377640.9900000002</v>
      </c>
      <c r="D74" s="501">
        <f>C74</f>
        <v>2377640.9900000002</v>
      </c>
      <c r="E74" s="501"/>
      <c r="F74" s="501"/>
      <c r="G74" s="501"/>
      <c r="H74" s="501"/>
    </row>
    <row r="75" spans="1:8" ht="14">
      <c r="A75" s="548" t="s">
        <v>589</v>
      </c>
      <c r="B75" s="491" t="s">
        <v>854</v>
      </c>
      <c r="C75" s="498">
        <v>798949.75</v>
      </c>
      <c r="D75" s="594">
        <v>108246</v>
      </c>
      <c r="E75" s="594">
        <v>0</v>
      </c>
      <c r="F75" s="594">
        <v>607536</v>
      </c>
      <c r="G75" s="594">
        <v>83168</v>
      </c>
      <c r="H75" s="501"/>
    </row>
    <row r="76" spans="1:8" ht="14">
      <c r="A76" s="548" t="s">
        <v>296</v>
      </c>
      <c r="B76" s="491"/>
      <c r="C76" s="498"/>
      <c r="D76" s="499"/>
      <c r="E76" s="491"/>
      <c r="F76" s="500"/>
      <c r="G76" s="500"/>
      <c r="H76" s="501"/>
    </row>
    <row r="77" spans="2:8" ht="14">
      <c r="B77" s="502" t="s">
        <v>872</v>
      </c>
      <c r="C77" s="496">
        <f>SUM(C69:C76)</f>
        <v>12952396.800000001</v>
      </c>
      <c r="D77" s="496">
        <f t="shared" si="5" ref="D77:G77">SUM(D69:D76)</f>
        <v>12078729.99</v>
      </c>
      <c r="E77" s="496">
        <f t="shared" si="5"/>
        <v>179940.90</v>
      </c>
      <c r="F77" s="496">
        <f t="shared" si="5"/>
        <v>607536</v>
      </c>
      <c r="G77" s="496">
        <f t="shared" si="5"/>
        <v>86190.16</v>
      </c>
      <c r="H77" s="497"/>
    </row>
    <row r="78" spans="2:8" ht="14">
      <c r="B78" s="503" t="s">
        <v>861</v>
      </c>
      <c r="C78" s="491"/>
      <c r="D78" s="520">
        <v>0</v>
      </c>
      <c r="E78" s="520">
        <v>1</v>
      </c>
      <c r="F78" s="504">
        <f>'Attachment H-7'!G53</f>
        <v>0.19040223971897385</v>
      </c>
      <c r="G78" s="504">
        <f>'Attachment H-7'!I197</f>
        <v>0.09880621410235467</v>
      </c>
      <c r="H78" s="491"/>
    </row>
    <row r="79" spans="2:8" ht="14">
      <c r="B79" s="503" t="s">
        <v>862</v>
      </c>
      <c r="C79" s="491"/>
      <c r="D79" s="495">
        <f>D77*D78</f>
        <v>0</v>
      </c>
      <c r="E79" s="495">
        <f t="shared" si="6" ref="E79">E77*E78</f>
        <v>179940.90</v>
      </c>
      <c r="F79" s="495">
        <f t="shared" si="7" ref="F79">F77*F78</f>
        <v>115676.21510990649</v>
      </c>
      <c r="G79" s="495">
        <f t="shared" si="8" ref="G79">G77*G78</f>
        <v>8516.1234024762052</v>
      </c>
      <c r="H79" s="497">
        <f>SUM(D79:G79)</f>
        <v>304133.23851238267</v>
      </c>
    </row>
    <row r="81" spans="2:8" ht="14">
      <c r="B81" s="491" t="s">
        <v>866</v>
      </c>
      <c r="C81" s="492" t="s">
        <v>845</v>
      </c>
      <c r="D81" s="492" t="s">
        <v>854</v>
      </c>
      <c r="E81" s="492" t="s">
        <v>855</v>
      </c>
      <c r="F81" s="492" t="s">
        <v>856</v>
      </c>
      <c r="G81" s="492" t="s">
        <v>857</v>
      </c>
      <c r="H81" s="493" t="s">
        <v>13</v>
      </c>
    </row>
    <row r="82" spans="1:8" ht="14">
      <c r="A82" s="548" t="s">
        <v>874</v>
      </c>
      <c r="B82" s="491" t="s">
        <v>851</v>
      </c>
      <c r="C82" s="494">
        <v>150520913</v>
      </c>
      <c r="D82" s="495">
        <f>C82</f>
        <v>150520913</v>
      </c>
      <c r="E82" s="496"/>
      <c r="F82" s="496"/>
      <c r="G82" s="496"/>
      <c r="H82" s="497"/>
    </row>
    <row r="83" spans="1:8" ht="14">
      <c r="A83" s="548" t="s">
        <v>875</v>
      </c>
      <c r="B83" s="491" t="s">
        <v>852</v>
      </c>
      <c r="C83" s="498">
        <v>5108495</v>
      </c>
      <c r="D83" s="495"/>
      <c r="E83" s="495">
        <f>C83</f>
        <v>5108495</v>
      </c>
      <c r="F83" s="491"/>
      <c r="G83" s="491"/>
      <c r="H83" s="501"/>
    </row>
    <row r="84" spans="1:8" ht="14">
      <c r="A84" s="548" t="s">
        <v>876</v>
      </c>
      <c r="B84" s="491" t="s">
        <v>1259</v>
      </c>
      <c r="C84" s="498">
        <v>31755664</v>
      </c>
      <c r="D84" s="495">
        <f>C84</f>
        <v>31755664</v>
      </c>
      <c r="E84" s="495"/>
      <c r="F84" s="491"/>
      <c r="G84" s="491"/>
      <c r="H84" s="501"/>
    </row>
    <row r="85" spans="1:8" ht="14">
      <c r="A85" s="548" t="s">
        <v>877</v>
      </c>
      <c r="B85" s="491" t="s">
        <v>853</v>
      </c>
      <c r="C85" s="498">
        <v>927381</v>
      </c>
      <c r="D85" s="499"/>
      <c r="E85" s="500">
        <f>C85</f>
        <v>927381</v>
      </c>
      <c r="F85" s="491"/>
      <c r="G85" s="491"/>
      <c r="H85" s="501"/>
    </row>
    <row r="86" spans="1:8" ht="14">
      <c r="A86" s="548" t="s">
        <v>1260</v>
      </c>
      <c r="B86" s="491" t="s">
        <v>854</v>
      </c>
      <c r="C86" s="498">
        <v>2620527</v>
      </c>
      <c r="D86" s="499">
        <f>C86</f>
        <v>2620527</v>
      </c>
      <c r="E86" s="491"/>
      <c r="F86" s="500"/>
      <c r="G86" s="500"/>
      <c r="H86" s="501"/>
    </row>
    <row r="87" spans="1:8" ht="14">
      <c r="A87" s="548" t="s">
        <v>296</v>
      </c>
      <c r="B87" s="491"/>
      <c r="C87" s="498"/>
      <c r="D87" s="499"/>
      <c r="E87" s="491"/>
      <c r="F87" s="500"/>
      <c r="G87" s="500"/>
      <c r="H87" s="501"/>
    </row>
    <row r="88" spans="2:8" ht="14">
      <c r="B88" s="502" t="s">
        <v>873</v>
      </c>
      <c r="C88" s="496">
        <f>SUM(C82:C87)</f>
        <v>190932980</v>
      </c>
      <c r="D88" s="496">
        <f t="shared" si="9" ref="D88:G88">SUM(D82:D87)</f>
        <v>184897104</v>
      </c>
      <c r="E88" s="496">
        <f t="shared" si="9"/>
        <v>6035876</v>
      </c>
      <c r="F88" s="496">
        <f t="shared" si="9"/>
        <v>0</v>
      </c>
      <c r="G88" s="496">
        <f t="shared" si="9"/>
        <v>0</v>
      </c>
      <c r="H88" s="497"/>
    </row>
    <row r="89" spans="2:8" ht="14">
      <c r="B89" s="503" t="s">
        <v>861</v>
      </c>
      <c r="C89" s="491"/>
      <c r="D89" s="520">
        <v>0</v>
      </c>
      <c r="E89" s="520">
        <v>1</v>
      </c>
      <c r="F89" s="504">
        <f>'Attachment H-7'!G53</f>
        <v>0.19040223971897385</v>
      </c>
      <c r="G89" s="504">
        <f>'Attachment H-7'!I197</f>
        <v>0.09880621410235467</v>
      </c>
      <c r="H89" s="491"/>
    </row>
    <row r="90" spans="2:8" ht="14">
      <c r="B90" s="503" t="s">
        <v>862</v>
      </c>
      <c r="C90" s="491"/>
      <c r="D90" s="495">
        <f>D88*D89</f>
        <v>0</v>
      </c>
      <c r="E90" s="495">
        <f t="shared" si="10" ref="E90">E88*E89</f>
        <v>6035876</v>
      </c>
      <c r="F90" s="495">
        <f t="shared" si="11" ref="F90">F88*F89</f>
        <v>0</v>
      </c>
      <c r="G90" s="495">
        <f t="shared" si="12" ref="G90">G88*G89</f>
        <v>0</v>
      </c>
      <c r="H90" s="497">
        <f>SUM(D90:G90)</f>
        <v>6035876</v>
      </c>
    </row>
    <row r="92" ht="14">
      <c r="B92" s="430" t="s">
        <v>1135</v>
      </c>
    </row>
  </sheetData>
  <mergeCells count="4">
    <mergeCell ref="A1:D1"/>
    <mergeCell ref="A3:D3"/>
    <mergeCell ref="A47:D47"/>
    <mergeCell ref="A2:D2"/>
  </mergeCells>
  <printOptions horizontalCentered="1"/>
  <pageMargins left="0.5" right="0.5" top="1" bottom="1" header="0.5" footer="0.5"/>
  <pageSetup fitToHeight="2" orientation="landscape" scale="42" r:id="rId1"/>
  <headerFooter alignWithMargins="0"/>
  <rowBreaks count="1" manualBreakCount="1">
    <brk id="44" max="7"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1"/>
  <sheetViews>
    <sheetView view="pageBreakPreview" zoomScale="90" zoomScaleSheetLayoutView="90" workbookViewId="0" topLeftCell="A1"/>
  </sheetViews>
  <sheetFormatPr defaultColWidth="8.84375" defaultRowHeight="14"/>
  <cols>
    <col min="1" max="1" width="4.07142857142857" style="538" customWidth="1"/>
    <col min="2" max="2" width="36.2142857142857" style="538" customWidth="1"/>
    <col min="3" max="3" width="1.71428571428571" style="538" customWidth="1"/>
    <col min="4" max="4" width="5.28571428571429" style="538" bestFit="1" customWidth="1"/>
    <col min="5" max="5" width="17" style="538" bestFit="1" customWidth="1"/>
    <col min="6" max="6" width="2.21428571428571" style="538" customWidth="1"/>
    <col min="7" max="7" width="14.7857142857143" style="538" bestFit="1" customWidth="1"/>
    <col min="8" max="8" width="17.5" style="538" bestFit="1" customWidth="1"/>
    <col min="9" max="9" width="14" style="538" bestFit="1" customWidth="1"/>
    <col min="10" max="10" width="14.7857142857143" style="538" bestFit="1" customWidth="1"/>
    <col min="11" max="11" width="4.28571428571429" style="538" customWidth="1"/>
    <col min="12" max="16384" width="8.85714285714286" style="538"/>
  </cols>
  <sheetData>
    <row r="1" spans="2:7" ht="14">
      <c r="B1" s="1082" t="str">
        <f>+'Attachment H-7'!D177</f>
        <v>PECO Energy Company</v>
      </c>
      <c r="C1" s="1082"/>
      <c r="D1" s="1082"/>
      <c r="E1" s="1082"/>
      <c r="F1" s="1082"/>
      <c r="G1" s="1082"/>
    </row>
    <row r="2" spans="2:7" ht="14">
      <c r="B2" s="1087" t="s">
        <v>651</v>
      </c>
      <c r="C2" s="1087"/>
      <c r="D2" s="1087"/>
      <c r="E2" s="1087"/>
      <c r="F2" s="1087"/>
      <c r="G2" s="1087"/>
    </row>
    <row r="4" spans="2:7" ht="14">
      <c r="B4" s="400"/>
      <c r="C4" s="400"/>
      <c r="D4" s="400"/>
      <c r="E4" s="400"/>
      <c r="F4" s="400"/>
      <c r="G4" s="400"/>
    </row>
    <row r="5" ht="14">
      <c r="B5" s="400"/>
    </row>
    <row r="6" spans="5:10" ht="14">
      <c r="E6" s="432" t="s">
        <v>198</v>
      </c>
      <c r="G6" s="432" t="s">
        <v>199</v>
      </c>
      <c r="H6" s="432" t="s">
        <v>200</v>
      </c>
      <c r="I6" s="433" t="s">
        <v>201</v>
      </c>
      <c r="J6" s="432" t="s">
        <v>203</v>
      </c>
    </row>
    <row r="7" ht="14">
      <c r="E7" s="533" t="s">
        <v>801</v>
      </c>
    </row>
    <row r="8" spans="2:10" ht="14">
      <c r="B8" s="534"/>
      <c r="C8" s="534"/>
      <c r="D8" s="534"/>
      <c r="E8" s="434"/>
      <c r="F8" s="435"/>
      <c r="G8" s="435"/>
      <c r="H8" s="435"/>
      <c r="I8" s="435"/>
      <c r="J8" s="435"/>
    </row>
    <row r="9" spans="2:10" ht="14">
      <c r="B9" s="436"/>
      <c r="C9" s="437"/>
      <c r="D9" s="438"/>
      <c r="E9" s="439" t="s">
        <v>13</v>
      </c>
      <c r="F9" s="439"/>
      <c r="G9" s="439" t="s">
        <v>685</v>
      </c>
      <c r="H9" s="439" t="s">
        <v>686</v>
      </c>
      <c r="I9" s="439" t="s">
        <v>687</v>
      </c>
      <c r="J9" s="439" t="s">
        <v>1165</v>
      </c>
    </row>
    <row r="10" spans="1:10" ht="14">
      <c r="A10" s="402">
        <v>1</v>
      </c>
      <c r="B10" s="440" t="s">
        <v>688</v>
      </c>
      <c r="C10" s="534"/>
      <c r="D10" s="441">
        <v>920</v>
      </c>
      <c r="E10" s="442">
        <v>27642490</v>
      </c>
      <c r="F10" s="443"/>
      <c r="G10" s="442">
        <v>27642490</v>
      </c>
      <c r="H10" s="523"/>
      <c r="I10" s="445"/>
      <c r="J10" s="444">
        <v>0</v>
      </c>
    </row>
    <row r="11" spans="1:10" ht="14">
      <c r="A11" s="402">
        <f>A10+1</f>
        <v>2</v>
      </c>
      <c r="B11" s="440" t="s">
        <v>689</v>
      </c>
      <c r="C11" s="534"/>
      <c r="D11" s="441">
        <v>921</v>
      </c>
      <c r="E11" s="445">
        <v>12903052</v>
      </c>
      <c r="F11" s="446"/>
      <c r="G11" s="442">
        <v>11302195.859999999</v>
      </c>
      <c r="H11" s="524"/>
      <c r="I11" s="445">
        <v>1600856.1400000006</v>
      </c>
      <c r="J11" s="447">
        <v>0</v>
      </c>
    </row>
    <row r="12" spans="1:10" ht="14">
      <c r="A12" s="402">
        <f t="shared" si="0" ref="A12:A24">A11+1</f>
        <v>3</v>
      </c>
      <c r="B12" s="440" t="s">
        <v>690</v>
      </c>
      <c r="C12" s="534"/>
      <c r="D12" s="441">
        <v>922</v>
      </c>
      <c r="E12" s="445">
        <v>0</v>
      </c>
      <c r="F12" s="446"/>
      <c r="G12" s="442">
        <v>0</v>
      </c>
      <c r="H12" s="524"/>
      <c r="I12" s="445"/>
      <c r="J12" s="447">
        <v>0</v>
      </c>
    </row>
    <row r="13" spans="1:10" ht="14">
      <c r="A13" s="402">
        <f t="shared" si="0"/>
        <v>4</v>
      </c>
      <c r="B13" s="440" t="s">
        <v>1203</v>
      </c>
      <c r="C13" s="534"/>
      <c r="D13" s="441">
        <v>923</v>
      </c>
      <c r="E13" s="445">
        <v>90787879</v>
      </c>
      <c r="F13" s="446"/>
      <c r="G13" s="442">
        <v>76332080.359999999</v>
      </c>
      <c r="H13" s="524"/>
      <c r="I13" s="445">
        <v>14455798.640000003</v>
      </c>
      <c r="J13" s="447">
        <v>0</v>
      </c>
    </row>
    <row r="14" spans="1:10" ht="14">
      <c r="A14" s="402">
        <f t="shared" si="0"/>
        <v>5</v>
      </c>
      <c r="B14" s="440" t="s">
        <v>691</v>
      </c>
      <c r="C14" s="534"/>
      <c r="D14" s="441">
        <v>924</v>
      </c>
      <c r="E14" s="445">
        <v>432444</v>
      </c>
      <c r="F14" s="446"/>
      <c r="G14" s="524"/>
      <c r="H14" s="445">
        <f>E14</f>
        <v>432444</v>
      </c>
      <c r="I14" s="445"/>
      <c r="J14" s="447">
        <v>0</v>
      </c>
    </row>
    <row r="15" spans="1:10" ht="14">
      <c r="A15" s="402">
        <f t="shared" si="0"/>
        <v>6</v>
      </c>
      <c r="B15" s="440" t="s">
        <v>692</v>
      </c>
      <c r="C15" s="534"/>
      <c r="D15" s="441">
        <v>925</v>
      </c>
      <c r="E15" s="445">
        <v>14565488</v>
      </c>
      <c r="F15" s="446"/>
      <c r="G15" s="442">
        <v>14565488</v>
      </c>
      <c r="H15" s="524"/>
      <c r="I15" s="445"/>
      <c r="J15" s="447">
        <v>0</v>
      </c>
    </row>
    <row r="16" spans="1:10" ht="14">
      <c r="A16" s="402">
        <f t="shared" si="0"/>
        <v>7</v>
      </c>
      <c r="B16" s="440" t="s">
        <v>693</v>
      </c>
      <c r="C16" s="534"/>
      <c r="D16" s="448">
        <v>926</v>
      </c>
      <c r="E16" s="445">
        <v>30527267</v>
      </c>
      <c r="F16" s="446"/>
      <c r="G16" s="442">
        <v>30527267</v>
      </c>
      <c r="H16" s="524"/>
      <c r="I16" s="445"/>
      <c r="J16" s="447">
        <v>0</v>
      </c>
    </row>
    <row r="17" spans="1:10" ht="14">
      <c r="A17" s="402">
        <f t="shared" si="0"/>
        <v>8</v>
      </c>
      <c r="B17" s="440" t="s">
        <v>694</v>
      </c>
      <c r="C17" s="534"/>
      <c r="D17" s="441">
        <v>927</v>
      </c>
      <c r="E17" s="445">
        <v>0</v>
      </c>
      <c r="F17" s="446"/>
      <c r="G17" s="442">
        <v>0</v>
      </c>
      <c r="H17" s="524"/>
      <c r="I17" s="445"/>
      <c r="J17" s="447">
        <v>0</v>
      </c>
    </row>
    <row r="18" spans="1:10" ht="14">
      <c r="A18" s="402">
        <f t="shared" si="0"/>
        <v>9</v>
      </c>
      <c r="B18" s="440" t="s">
        <v>766</v>
      </c>
      <c r="C18" s="534"/>
      <c r="D18" s="441">
        <v>928</v>
      </c>
      <c r="E18" s="445">
        <v>9438542</v>
      </c>
      <c r="F18" s="446"/>
      <c r="G18" s="445">
        <v>0</v>
      </c>
      <c r="H18" s="524"/>
      <c r="I18" s="445">
        <v>8262295</v>
      </c>
      <c r="J18" s="447">
        <v>1176247</v>
      </c>
    </row>
    <row r="19" spans="1:10" ht="14">
      <c r="A19" s="402">
        <f t="shared" si="0"/>
        <v>10</v>
      </c>
      <c r="B19" s="440" t="s">
        <v>695</v>
      </c>
      <c r="C19" s="534"/>
      <c r="D19" s="441">
        <v>929</v>
      </c>
      <c r="E19" s="445">
        <v>-2308136</v>
      </c>
      <c r="F19" s="446"/>
      <c r="G19" s="442">
        <v>-2308136</v>
      </c>
      <c r="H19" s="524"/>
      <c r="I19" s="445"/>
      <c r="J19" s="447">
        <v>0</v>
      </c>
    </row>
    <row r="20" spans="1:10" ht="14">
      <c r="A20" s="402">
        <f t="shared" si="0"/>
        <v>11</v>
      </c>
      <c r="B20" s="440" t="s">
        <v>1166</v>
      </c>
      <c r="C20" s="534"/>
      <c r="D20" s="441">
        <v>930.10</v>
      </c>
      <c r="E20" s="445">
        <v>2188999</v>
      </c>
      <c r="F20" s="446"/>
      <c r="G20" s="445"/>
      <c r="H20" s="524"/>
      <c r="I20" s="445">
        <v>2188999</v>
      </c>
      <c r="J20" s="447">
        <v>0</v>
      </c>
    </row>
    <row r="21" spans="1:10" ht="14">
      <c r="A21" s="402">
        <f t="shared" si="0"/>
        <v>12</v>
      </c>
      <c r="B21" s="440" t="s">
        <v>1168</v>
      </c>
      <c r="C21" s="534"/>
      <c r="D21" s="441">
        <v>930.20</v>
      </c>
      <c r="E21" s="445">
        <v>3736404</v>
      </c>
      <c r="F21" s="446"/>
      <c r="G21" s="445">
        <v>3016328.81</v>
      </c>
      <c r="H21" s="524"/>
      <c r="I21" s="445">
        <v>720075.19</v>
      </c>
      <c r="J21" s="447">
        <v>0</v>
      </c>
    </row>
    <row r="22" spans="1:10" ht="14">
      <c r="A22" s="402">
        <f t="shared" si="0"/>
        <v>13</v>
      </c>
      <c r="B22" s="440" t="s">
        <v>696</v>
      </c>
      <c r="C22" s="534"/>
      <c r="D22" s="441">
        <v>931</v>
      </c>
      <c r="E22" s="445">
        <v>0</v>
      </c>
      <c r="F22" s="446"/>
      <c r="G22" s="445">
        <v>0</v>
      </c>
      <c r="H22" s="524"/>
      <c r="I22" s="445"/>
      <c r="J22" s="447">
        <v>0</v>
      </c>
    </row>
    <row r="23" spans="1:11" ht="14">
      <c r="A23" s="402">
        <f t="shared" si="0"/>
        <v>14</v>
      </c>
      <c r="B23" s="449" t="s">
        <v>697</v>
      </c>
      <c r="C23" s="534"/>
      <c r="D23" s="438">
        <v>935</v>
      </c>
      <c r="E23" s="450">
        <v>5741301</v>
      </c>
      <c r="F23" s="446"/>
      <c r="G23" s="442">
        <v>5741301</v>
      </c>
      <c r="H23" s="523"/>
      <c r="I23" s="445"/>
      <c r="J23" s="451">
        <v>0</v>
      </c>
      <c r="K23" s="539"/>
    </row>
    <row r="24" spans="1:10" ht="14">
      <c r="A24" s="402">
        <f t="shared" si="0"/>
        <v>15</v>
      </c>
      <c r="B24" s="452" t="s">
        <v>1167</v>
      </c>
      <c r="C24" s="534"/>
      <c r="D24" s="612"/>
      <c r="E24" s="453">
        <f>SUM(E10:E23)</f>
        <v>195655730</v>
      </c>
      <c r="F24" s="454"/>
      <c r="G24" s="453">
        <f>SUM(G10:G23)</f>
        <v>166819015.03</v>
      </c>
      <c r="H24" s="453">
        <f t="shared" si="1" ref="H24:J24">SUM(H10:H23)</f>
        <v>432444</v>
      </c>
      <c r="I24" s="453">
        <f t="shared" si="1"/>
        <v>27228023.970000003</v>
      </c>
      <c r="J24" s="453">
        <f t="shared" si="1"/>
        <v>1176247</v>
      </c>
    </row>
    <row r="25" spans="1:10" ht="14">
      <c r="A25" s="402"/>
      <c r="B25" s="534"/>
      <c r="C25" s="534"/>
      <c r="D25" s="534"/>
      <c r="E25" s="534"/>
      <c r="F25" s="534"/>
      <c r="G25" s="534"/>
      <c r="H25" s="534"/>
      <c r="I25" s="534"/>
      <c r="J25" s="534"/>
    </row>
    <row r="26" spans="1:10" ht="14">
      <c r="A26" s="402">
        <f>A24+1</f>
        <v>16</v>
      </c>
      <c r="B26" s="534"/>
      <c r="C26" s="534"/>
      <c r="D26" s="534"/>
      <c r="E26" s="410" t="s">
        <v>698</v>
      </c>
      <c r="F26" s="534"/>
      <c r="G26" s="455">
        <f>'Attachment H-7'!I197</f>
        <v>0.09880621410235467</v>
      </c>
      <c r="H26" s="455">
        <f>'Attachment H-7'!G53</f>
        <v>0.19040223971897385</v>
      </c>
      <c r="I26" s="455">
        <v>0</v>
      </c>
      <c r="J26" s="455">
        <v>1</v>
      </c>
    </row>
    <row r="27" spans="1:10" ht="15.5">
      <c r="A27" s="402">
        <f t="shared" si="2" ref="A27:A28">A26+1</f>
        <v>17</v>
      </c>
      <c r="B27" s="534"/>
      <c r="C27" s="534"/>
      <c r="D27" s="534"/>
      <c r="E27" s="410" t="s">
        <v>1169</v>
      </c>
      <c r="F27" s="534"/>
      <c r="G27" s="565">
        <f>G24*G26</f>
        <v>16482755.315398103</v>
      </c>
      <c r="H27" s="565">
        <f t="shared" si="3" ref="H27">H24*H26</f>
        <v>82338.306153031925</v>
      </c>
      <c r="I27" s="565">
        <f t="shared" si="4" ref="I27:J27">I24*I26</f>
        <v>0</v>
      </c>
      <c r="J27" s="565">
        <f t="shared" si="4"/>
        <v>1176247</v>
      </c>
    </row>
    <row r="28" spans="1:11" ht="15.5">
      <c r="A28" s="402">
        <f t="shared" si="2"/>
        <v>18</v>
      </c>
      <c r="I28" s="410" t="s">
        <v>1170</v>
      </c>
      <c r="J28" s="564">
        <f>SUM(G27:J27)</f>
        <v>17741340.621551134</v>
      </c>
      <c r="K28" s="566"/>
    </row>
    <row r="29" ht="14.5" thickBot="1">
      <c r="A29" s="933" t="s">
        <v>182</v>
      </c>
    </row>
    <row r="30" ht="15.5">
      <c r="A30" s="538" t="s">
        <v>1171</v>
      </c>
    </row>
    <row r="31" ht="15.5">
      <c r="A31" s="538" t="s">
        <v>1172</v>
      </c>
    </row>
  </sheetData>
  <mergeCells count="2">
    <mergeCell ref="B1:G1"/>
    <mergeCell ref="B2:G2"/>
  </mergeCells>
  <pageMargins left="0.7" right="0.7" top="0.75" bottom="0.75" header="0.3" footer="0.3"/>
  <pageSetup orientation="landscape" scale="1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pageSetUpPr fitToPage="1"/>
  </sheetPr>
  <dimension ref="A1:H64"/>
  <sheetViews>
    <sheetView zoomScale="70" zoomScaleNormal="70" workbookViewId="0" topLeftCell="A1">
      <selection pane="topLeft" activeCell="A1" sqref="A1"/>
    </sheetView>
  </sheetViews>
  <sheetFormatPr defaultColWidth="8.84375" defaultRowHeight="14"/>
  <cols>
    <col min="1" max="1" width="4.71428571428571" style="958" customWidth="1"/>
    <col min="2" max="2" width="3.71428571428571" style="958" customWidth="1"/>
    <col min="3" max="3" width="74.7142857142857" style="958" customWidth="1"/>
    <col min="4" max="4" width="11.2142857142857" style="958" customWidth="1"/>
    <col min="5" max="5" width="11.7857142857143" style="964" customWidth="1"/>
    <col min="6" max="6" width="11.8571428571429" style="958" customWidth="1"/>
    <col min="7" max="7" width="12" style="958" customWidth="1"/>
    <col min="8" max="16384" width="8.85714285714286" style="958"/>
  </cols>
  <sheetData>
    <row r="1" spans="1:8" ht="14">
      <c r="A1" s="1089" t="str">
        <f>'Attachment H-7'!D5</f>
        <v>PECO Energy Company</v>
      </c>
      <c r="B1" s="1089"/>
      <c r="C1" s="1089"/>
      <c r="D1" s="1089"/>
      <c r="E1" s="1089"/>
      <c r="F1" s="1089"/>
      <c r="G1" s="1089"/>
      <c r="H1" s="1089"/>
    </row>
    <row r="2" spans="1:8" ht="14">
      <c r="A2" s="1090" t="s">
        <v>1421</v>
      </c>
      <c r="B2" s="1090"/>
      <c r="C2" s="1090"/>
      <c r="D2" s="1090"/>
      <c r="E2" s="1090"/>
      <c r="F2" s="1090"/>
      <c r="G2" s="1090"/>
      <c r="H2" s="1090"/>
    </row>
    <row r="4" spans="4:5" ht="14">
      <c r="D4" s="534"/>
      <c r="E4" s="957" t="s">
        <v>1422</v>
      </c>
    </row>
    <row r="5" spans="1:5" ht="14">
      <c r="A5" s="959" t="s">
        <v>1447</v>
      </c>
      <c r="B5" s="959"/>
      <c r="D5" s="534"/>
      <c r="E5" s="957" t="s">
        <v>1423</v>
      </c>
    </row>
    <row r="6" spans="1:5" ht="14">
      <c r="A6" s="959"/>
      <c r="B6" s="959"/>
      <c r="D6" s="534"/>
      <c r="E6" s="957"/>
    </row>
    <row r="7" spans="1:5" ht="14">
      <c r="A7" s="960"/>
      <c r="B7" s="959" t="s">
        <v>1454</v>
      </c>
      <c r="D7" s="534"/>
      <c r="E7" s="961"/>
    </row>
    <row r="8" spans="1:5" ht="14">
      <c r="A8" s="962" t="s">
        <v>508</v>
      </c>
      <c r="C8" s="965" t="s">
        <v>1608</v>
      </c>
      <c r="D8" s="534"/>
      <c r="E8" s="963">
        <v>6629663</v>
      </c>
    </row>
    <row r="9" spans="1:5" ht="14">
      <c r="A9" s="962" t="s">
        <v>509</v>
      </c>
      <c r="B9" s="964"/>
      <c r="C9" s="965" t="s">
        <v>1424</v>
      </c>
      <c r="D9" s="534"/>
      <c r="E9" s="963">
        <v>5481687</v>
      </c>
    </row>
    <row r="10" spans="1:5" ht="14">
      <c r="A10" s="962" t="s">
        <v>510</v>
      </c>
      <c r="C10" s="965"/>
      <c r="D10" s="534"/>
      <c r="E10" s="963"/>
    </row>
    <row r="11" spans="1:5" ht="14">
      <c r="A11" s="962" t="s">
        <v>296</v>
      </c>
      <c r="C11" s="965"/>
      <c r="D11" s="534"/>
      <c r="E11" s="967"/>
    </row>
    <row r="12" spans="1:5" ht="14">
      <c r="A12" s="962">
        <v>1</v>
      </c>
      <c r="B12" s="959" t="s">
        <v>1441</v>
      </c>
      <c r="D12" s="534"/>
      <c r="E12" s="968">
        <f>SUM(E8:E11)</f>
        <v>12111350</v>
      </c>
    </row>
    <row r="13" spans="1:5" ht="14">
      <c r="A13" s="960"/>
      <c r="D13" s="534"/>
      <c r="E13" s="969"/>
    </row>
    <row r="14" spans="1:5" ht="14">
      <c r="A14" s="960"/>
      <c r="D14" s="534"/>
      <c r="E14" s="969"/>
    </row>
    <row r="15" spans="1:5" ht="14">
      <c r="A15" s="960"/>
      <c r="B15" s="959" t="s">
        <v>1456</v>
      </c>
      <c r="D15" s="534"/>
      <c r="E15" s="970"/>
    </row>
    <row r="16" spans="1:5" ht="14">
      <c r="A16" s="962" t="s">
        <v>1267</v>
      </c>
      <c r="C16" s="966" t="s">
        <v>1425</v>
      </c>
      <c r="D16" s="534"/>
      <c r="E16" s="963">
        <v>63037</v>
      </c>
    </row>
    <row r="17" spans="1:5" ht="14">
      <c r="A17" s="962" t="s">
        <v>1443</v>
      </c>
      <c r="C17" s="966" t="s">
        <v>1426</v>
      </c>
      <c r="D17" s="534"/>
      <c r="E17" s="963">
        <v>12168172</v>
      </c>
    </row>
    <row r="18" spans="1:5" ht="14">
      <c r="A18" s="962" t="s">
        <v>1444</v>
      </c>
      <c r="C18" s="966" t="s">
        <v>1427</v>
      </c>
      <c r="D18" s="534"/>
      <c r="E18" s="963">
        <v>405183</v>
      </c>
    </row>
    <row r="19" spans="1:5" ht="14">
      <c r="A19" s="962" t="s">
        <v>296</v>
      </c>
      <c r="C19" s="965"/>
      <c r="D19" s="534"/>
      <c r="E19" s="967"/>
    </row>
    <row r="20" spans="1:5" ht="14">
      <c r="A20" s="962">
        <v>2</v>
      </c>
      <c r="B20" s="959" t="s">
        <v>1442</v>
      </c>
      <c r="D20" s="534"/>
      <c r="E20" s="971">
        <f>SUM(E16:E19)</f>
        <v>12636392</v>
      </c>
    </row>
    <row r="21" spans="1:4" ht="14">
      <c r="A21" s="960"/>
      <c r="B21" s="959"/>
      <c r="C21" s="969"/>
      <c r="D21" s="534"/>
    </row>
    <row r="22" spans="1:4" ht="14">
      <c r="A22" s="960"/>
      <c r="B22" s="959"/>
      <c r="C22" s="969"/>
      <c r="D22" s="534"/>
    </row>
    <row r="23" spans="1:5" ht="14">
      <c r="A23" s="960"/>
      <c r="B23" s="959" t="s">
        <v>1455</v>
      </c>
      <c r="D23" s="534"/>
      <c r="E23" s="961"/>
    </row>
    <row r="24" spans="1:5" ht="14">
      <c r="A24" s="962" t="s">
        <v>387</v>
      </c>
      <c r="C24" s="966" t="s">
        <v>1428</v>
      </c>
      <c r="D24" s="534"/>
      <c r="E24" s="963">
        <v>436519</v>
      </c>
    </row>
    <row r="25" spans="1:5" ht="14">
      <c r="A25" s="962" t="s">
        <v>388</v>
      </c>
      <c r="C25" s="966" t="s">
        <v>1429</v>
      </c>
      <c r="D25" s="534"/>
      <c r="E25" s="963">
        <v>4294</v>
      </c>
    </row>
    <row r="26" spans="1:5" ht="14">
      <c r="A26" s="962" t="s">
        <v>389</v>
      </c>
      <c r="C26" s="966"/>
      <c r="D26" s="534"/>
      <c r="E26" s="963"/>
    </row>
    <row r="27" spans="1:5" ht="14">
      <c r="A27" s="962" t="s">
        <v>296</v>
      </c>
      <c r="C27" s="965"/>
      <c r="D27" s="534"/>
      <c r="E27" s="967"/>
    </row>
    <row r="28" spans="1:5" ht="14">
      <c r="A28" s="962">
        <v>3</v>
      </c>
      <c r="B28" s="959" t="s">
        <v>1445</v>
      </c>
      <c r="D28" s="534"/>
      <c r="E28" s="971">
        <f>SUM(E24:E27)</f>
        <v>440813</v>
      </c>
    </row>
    <row r="29" spans="1:4" ht="14">
      <c r="A29" s="962"/>
      <c r="D29" s="534"/>
    </row>
    <row r="30" spans="1:5" ht="14">
      <c r="A30" s="962">
        <v>4</v>
      </c>
      <c r="B30" s="959" t="s">
        <v>1446</v>
      </c>
      <c r="D30" s="534"/>
      <c r="E30" s="972">
        <f>E12+E20+E28</f>
        <v>25188555</v>
      </c>
    </row>
    <row r="31" spans="1:4" ht="14">
      <c r="A31" s="962"/>
      <c r="C31" s="973"/>
      <c r="D31" s="534"/>
    </row>
    <row r="32" spans="1:4" ht="14">
      <c r="A32" s="962"/>
      <c r="B32" s="959" t="s">
        <v>1488</v>
      </c>
      <c r="D32" s="534"/>
    </row>
    <row r="33" spans="1:5" ht="14">
      <c r="A33" s="962" t="s">
        <v>1448</v>
      </c>
      <c r="C33" s="966" t="s">
        <v>1430</v>
      </c>
      <c r="D33" s="534"/>
      <c r="E33" s="963">
        <v>96280</v>
      </c>
    </row>
    <row r="34" spans="1:5" ht="14">
      <c r="A34" s="962" t="s">
        <v>1449</v>
      </c>
      <c r="C34" s="966" t="s">
        <v>1609</v>
      </c>
      <c r="D34" s="534"/>
      <c r="E34" s="963">
        <v>130847137</v>
      </c>
    </row>
    <row r="35" spans="1:5" ht="14">
      <c r="A35" s="962" t="s">
        <v>1450</v>
      </c>
      <c r="C35" s="966" t="s">
        <v>1431</v>
      </c>
      <c r="D35" s="534"/>
      <c r="E35" s="963">
        <v>100937</v>
      </c>
    </row>
    <row r="36" spans="1:5" ht="14">
      <c r="A36" s="962" t="s">
        <v>296</v>
      </c>
      <c r="C36" s="965"/>
      <c r="D36" s="534"/>
      <c r="E36" s="963"/>
    </row>
    <row r="37" spans="1:5" ht="14">
      <c r="A37" s="962">
        <v>5</v>
      </c>
      <c r="B37" s="959" t="s">
        <v>1480</v>
      </c>
      <c r="C37" s="452"/>
      <c r="D37" s="534"/>
      <c r="E37" s="971">
        <f>SUM(E33:E36)</f>
        <v>131044354</v>
      </c>
    </row>
    <row r="38" spans="1:5" ht="14">
      <c r="A38" s="962"/>
      <c r="C38" s="534"/>
      <c r="D38" s="534"/>
      <c r="E38" s="971"/>
    </row>
    <row r="39" spans="1:5" ht="14">
      <c r="A39" s="962">
        <v>6</v>
      </c>
      <c r="B39" s="452" t="s">
        <v>1451</v>
      </c>
      <c r="C39" s="974"/>
      <c r="D39" s="534"/>
      <c r="E39" s="971">
        <f>E37+E30</f>
        <v>156232909</v>
      </c>
    </row>
    <row r="40" spans="1:7" ht="14">
      <c r="A40" s="962">
        <f>A39+1</f>
        <v>7</v>
      </c>
      <c r="B40" s="452" t="s">
        <v>1453</v>
      </c>
      <c r="C40" s="974"/>
      <c r="D40" s="975"/>
      <c r="E40" s="976">
        <v>156232911</v>
      </c>
      <c r="F40" s="977"/>
      <c r="G40" s="977"/>
    </row>
    <row r="41" spans="1:7" ht="14">
      <c r="A41" s="962">
        <f>A40+1</f>
        <v>8</v>
      </c>
      <c r="B41" s="534"/>
      <c r="C41" s="978" t="s">
        <v>1452</v>
      </c>
      <c r="D41" s="978"/>
      <c r="E41" s="404">
        <f>+E39-E40</f>
        <v>-2</v>
      </c>
      <c r="F41" s="979"/>
      <c r="G41" s="977"/>
    </row>
    <row r="42" spans="1:7" ht="14">
      <c r="A42" s="962"/>
      <c r="B42" s="534"/>
      <c r="C42" s="978"/>
      <c r="D42" s="978"/>
      <c r="E42" s="404"/>
      <c r="F42" s="979"/>
      <c r="G42" s="977"/>
    </row>
    <row r="43" spans="1:7" ht="14">
      <c r="A43" s="962"/>
      <c r="B43" s="452" t="s">
        <v>1487</v>
      </c>
      <c r="C43" s="978"/>
      <c r="D43" s="978"/>
      <c r="E43" s="404"/>
      <c r="F43" s="979"/>
      <c r="G43" s="977"/>
    </row>
    <row r="44" spans="1:7" ht="14">
      <c r="A44" s="962" t="s">
        <v>1457</v>
      </c>
      <c r="B44" s="534"/>
      <c r="C44" s="982"/>
      <c r="D44" s="978"/>
      <c r="E44" s="983"/>
      <c r="F44" s="979"/>
      <c r="G44" s="977"/>
    </row>
    <row r="45" spans="1:7" ht="14">
      <c r="A45" s="962" t="s">
        <v>1458</v>
      </c>
      <c r="B45" s="534"/>
      <c r="C45" s="982"/>
      <c r="D45" s="978"/>
      <c r="E45" s="983"/>
      <c r="F45" s="979"/>
      <c r="G45" s="977"/>
    </row>
    <row r="46" spans="1:7" ht="14">
      <c r="A46" s="962" t="s">
        <v>296</v>
      </c>
      <c r="B46" s="534"/>
      <c r="C46" s="982"/>
      <c r="D46" s="978"/>
      <c r="E46" s="983"/>
      <c r="F46" s="979"/>
      <c r="G46" s="977"/>
    </row>
    <row r="47" spans="1:7" ht="14">
      <c r="A47" s="962">
        <v>9</v>
      </c>
      <c r="B47" s="534"/>
      <c r="C47" s="978" t="s">
        <v>1483</v>
      </c>
      <c r="D47" s="978"/>
      <c r="E47" s="404">
        <f>SUM(E44:E46)</f>
        <v>0</v>
      </c>
      <c r="F47" s="979"/>
      <c r="G47" s="977"/>
    </row>
    <row r="48" spans="1:7" ht="14">
      <c r="A48" s="962"/>
      <c r="B48" s="534"/>
      <c r="C48" s="978"/>
      <c r="D48" s="978"/>
      <c r="E48" s="404"/>
      <c r="F48" s="979"/>
      <c r="G48" s="977"/>
    </row>
    <row r="49" spans="1:7" ht="14">
      <c r="A49" s="962" t="s">
        <v>1481</v>
      </c>
      <c r="B49" s="534"/>
      <c r="C49" s="982"/>
      <c r="D49" s="978"/>
      <c r="E49" s="983"/>
      <c r="F49" s="979"/>
      <c r="G49" s="977"/>
    </row>
    <row r="50" spans="1:7" ht="14">
      <c r="A50" s="962" t="s">
        <v>1482</v>
      </c>
      <c r="B50" s="534"/>
      <c r="C50" s="982"/>
      <c r="D50" s="978"/>
      <c r="E50" s="983"/>
      <c r="F50" s="979"/>
      <c r="G50" s="977"/>
    </row>
    <row r="51" spans="1:7" ht="14">
      <c r="A51" s="962" t="s">
        <v>296</v>
      </c>
      <c r="B51" s="534"/>
      <c r="C51" s="982"/>
      <c r="D51" s="978"/>
      <c r="E51" s="983"/>
      <c r="F51" s="979"/>
      <c r="G51" s="977"/>
    </row>
    <row r="52" spans="1:7" ht="14">
      <c r="A52" s="962">
        <v>10</v>
      </c>
      <c r="B52" s="534"/>
      <c r="C52" s="978" t="s">
        <v>1484</v>
      </c>
      <c r="D52" s="978"/>
      <c r="E52" s="404">
        <f>SUM(E49:E51)</f>
        <v>0</v>
      </c>
      <c r="F52" s="979"/>
      <c r="G52" s="977"/>
    </row>
    <row r="53" spans="1:7" ht="14">
      <c r="A53" s="962"/>
      <c r="B53" s="534"/>
      <c r="C53" s="978"/>
      <c r="D53" s="978"/>
      <c r="E53" s="404"/>
      <c r="F53" s="979"/>
      <c r="G53" s="977"/>
    </row>
    <row r="54" spans="1:7" ht="14">
      <c r="A54" s="962"/>
      <c r="B54" s="534"/>
      <c r="C54" s="978"/>
      <c r="D54" s="978"/>
      <c r="E54" s="404"/>
      <c r="F54" s="979"/>
      <c r="G54" s="977"/>
    </row>
    <row r="55" spans="2:7" ht="14">
      <c r="B55" s="980" t="s">
        <v>1432</v>
      </c>
      <c r="C55" s="534"/>
      <c r="D55" s="534"/>
      <c r="E55" s="981"/>
      <c r="F55" s="534"/>
      <c r="G55" s="534"/>
    </row>
    <row r="56" spans="2:7" ht="14">
      <c r="B56" s="534" t="s">
        <v>58</v>
      </c>
      <c r="C56" s="978" t="s">
        <v>1433</v>
      </c>
      <c r="D56" s="534"/>
      <c r="E56" s="981"/>
      <c r="F56" s="534"/>
      <c r="G56" s="534"/>
    </row>
    <row r="57" spans="2:7" ht="14">
      <c r="B57" s="534"/>
      <c r="C57" s="978" t="s">
        <v>1434</v>
      </c>
      <c r="D57" s="534"/>
      <c r="E57" s="981"/>
      <c r="F57" s="534"/>
      <c r="G57" s="534"/>
    </row>
    <row r="58" spans="2:7" ht="14">
      <c r="B58" s="534" t="s">
        <v>59</v>
      </c>
      <c r="C58" s="978" t="s">
        <v>1435</v>
      </c>
      <c r="D58" s="534"/>
      <c r="E58" s="981"/>
      <c r="F58" s="534"/>
      <c r="G58" s="534"/>
    </row>
    <row r="59" spans="2:7" ht="14">
      <c r="B59" s="534"/>
      <c r="C59" s="978" t="s">
        <v>1434</v>
      </c>
      <c r="D59" s="534"/>
      <c r="E59" s="981"/>
      <c r="F59" s="534"/>
      <c r="G59" s="534"/>
    </row>
    <row r="60" spans="2:7" ht="14">
      <c r="B60" s="534" t="s">
        <v>60</v>
      </c>
      <c r="C60" s="978" t="s">
        <v>1436</v>
      </c>
      <c r="D60" s="534"/>
      <c r="E60" s="981"/>
      <c r="F60" s="534"/>
      <c r="G60" s="534"/>
    </row>
    <row r="61" spans="2:7" ht="14">
      <c r="B61" s="534" t="s">
        <v>61</v>
      </c>
      <c r="C61" s="978" t="s">
        <v>1437</v>
      </c>
      <c r="D61" s="534"/>
      <c r="E61" s="981"/>
      <c r="F61" s="534"/>
      <c r="G61" s="534"/>
    </row>
    <row r="62" spans="2:7" ht="14">
      <c r="B62" s="534"/>
      <c r="C62" s="978" t="s">
        <v>1438</v>
      </c>
      <c r="D62" s="534"/>
      <c r="E62" s="981"/>
      <c r="F62" s="534"/>
      <c r="G62" s="534"/>
    </row>
    <row r="63" spans="2:3" ht="14">
      <c r="B63" s="534"/>
      <c r="C63" s="978" t="s">
        <v>1439</v>
      </c>
    </row>
    <row r="64" spans="2:3" ht="14">
      <c r="B64" s="534" t="s">
        <v>62</v>
      </c>
      <c r="C64" s="978" t="s">
        <v>1440</v>
      </c>
    </row>
  </sheetData>
  <mergeCells count="2">
    <mergeCell ref="A1:H1"/>
    <mergeCell ref="A2:H2"/>
  </mergeCells>
  <pageMargins left="0.7" right="0.7" top="0.75" bottom="0.75" header="0.3" footer="0.3"/>
  <pageSetup orientation="portrait" scale="1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75"/>
  <sheetViews>
    <sheetView view="pageBreakPreview" zoomScale="90" zoomScaleSheetLayoutView="90" workbookViewId="0" topLeftCell="A29">
      <selection pane="topLeft" activeCell="A1" sqref="A1"/>
    </sheetView>
  </sheetViews>
  <sheetFormatPr defaultColWidth="8.84375" defaultRowHeight="13"/>
  <cols>
    <col min="1" max="1" width="4" style="109" customWidth="1"/>
    <col min="2" max="2" width="23.7857142857143" style="109" customWidth="1"/>
    <col min="3" max="3" width="18.8571428571429" style="109" customWidth="1"/>
    <col min="4" max="4" width="11.2142857142857" style="109" customWidth="1"/>
    <col min="5" max="5" width="9.42857142857143" style="109" customWidth="1"/>
    <col min="6" max="6" width="7.78571428571429" style="109" customWidth="1"/>
    <col min="7" max="7" width="10.4285714285714" style="109" customWidth="1"/>
    <col min="8" max="16" width="7.78571428571429" style="109" customWidth="1"/>
    <col min="17" max="17" width="10.7142857142857" style="109" bestFit="1" customWidth="1"/>
    <col min="18" max="16384" width="8.85714285714286" style="109"/>
  </cols>
  <sheetData>
    <row r="1" spans="5:9" ht="13">
      <c r="E1" s="427" t="s">
        <v>193</v>
      </c>
      <c r="I1" s="228" t="s">
        <v>419</v>
      </c>
    </row>
    <row r="2" ht="13">
      <c r="E2" s="149" t="s">
        <v>405</v>
      </c>
    </row>
    <row r="3" ht="13">
      <c r="E3" s="202" t="str">
        <f>+'Attachment H-7'!D5</f>
        <v>PECO Energy Company</v>
      </c>
    </row>
    <row r="4" ht="13">
      <c r="I4" s="202"/>
    </row>
    <row r="5" spans="6:9" ht="13">
      <c r="F5" s="162"/>
      <c r="G5" s="162"/>
      <c r="H5" s="162"/>
      <c r="I5" s="202"/>
    </row>
    <row r="6" spans="5:8" ht="15.5">
      <c r="E6" s="682"/>
      <c r="F6" s="683"/>
      <c r="G6" s="684"/>
      <c r="H6" s="683"/>
    </row>
    <row r="7" spans="1:27" ht="46.5" customHeight="1">
      <c r="A7" s="685"/>
      <c r="B7" s="686"/>
      <c r="C7" s="687" t="s">
        <v>669</v>
      </c>
      <c r="D7" s="687"/>
      <c r="E7" s="688" t="s">
        <v>970</v>
      </c>
      <c r="F7" s="689"/>
      <c r="G7" s="689"/>
      <c r="H7" s="689"/>
      <c r="S7" s="162"/>
      <c r="T7" s="162"/>
      <c r="U7" s="162"/>
      <c r="V7" s="162"/>
      <c r="W7" s="162"/>
      <c r="X7" s="162"/>
      <c r="Y7" s="162"/>
      <c r="Z7" s="162"/>
      <c r="AA7" s="162"/>
    </row>
    <row r="8" spans="1:27" ht="15.5">
      <c r="A8" s="685">
        <v>1</v>
      </c>
      <c r="B8" s="690"/>
      <c r="C8" s="109" t="s">
        <v>84</v>
      </c>
      <c r="D8" s="691"/>
      <c r="E8" s="1030">
        <v>0.0035999999999999999</v>
      </c>
      <c r="F8" s="692"/>
      <c r="G8" s="693"/>
      <c r="H8" s="693"/>
      <c r="S8" s="694"/>
      <c r="T8" s="694"/>
      <c r="U8" s="694"/>
      <c r="V8" s="695"/>
      <c r="W8" s="683"/>
      <c r="X8" s="684"/>
      <c r="Y8" s="683"/>
      <c r="Z8" s="694"/>
      <c r="AA8" s="162"/>
    </row>
    <row r="9" spans="1:27" ht="15.5">
      <c r="A9" s="685">
        <v>2</v>
      </c>
      <c r="B9" s="690"/>
      <c r="C9" s="109" t="s">
        <v>83</v>
      </c>
      <c r="D9" s="691"/>
      <c r="E9" s="1030">
        <v>0.0033</v>
      </c>
      <c r="F9" s="692"/>
      <c r="G9" s="693"/>
      <c r="H9" s="693"/>
      <c r="S9" s="694"/>
      <c r="T9" s="696"/>
      <c r="U9" s="696"/>
      <c r="V9" s="689"/>
      <c r="W9" s="689"/>
      <c r="X9" s="689"/>
      <c r="Y9" s="689"/>
      <c r="Z9" s="689"/>
      <c r="AA9" s="162"/>
    </row>
    <row r="10" spans="1:27" ht="15.5">
      <c r="A10" s="685">
        <v>3</v>
      </c>
      <c r="B10" s="690"/>
      <c r="C10" s="109" t="s">
        <v>82</v>
      </c>
      <c r="D10" s="691"/>
      <c r="E10" s="1030">
        <v>0.0035999999999999999</v>
      </c>
      <c r="F10" s="692"/>
      <c r="G10" s="693"/>
      <c r="H10" s="693"/>
      <c r="S10" s="694"/>
      <c r="T10" s="696"/>
      <c r="U10" s="696"/>
      <c r="V10" s="692"/>
      <c r="W10" s="692"/>
      <c r="X10" s="697"/>
      <c r="Y10" s="697"/>
      <c r="Z10" s="697"/>
      <c r="AA10" s="162"/>
    </row>
    <row r="11" spans="1:27" ht="15.5">
      <c r="A11" s="685">
        <v>4</v>
      </c>
      <c r="B11" s="690"/>
      <c r="C11" s="109" t="s">
        <v>74</v>
      </c>
      <c r="D11" s="691"/>
      <c r="E11" s="1030">
        <v>0.0037000000000000002</v>
      </c>
      <c r="F11" s="692"/>
      <c r="G11" s="693"/>
      <c r="H11" s="693"/>
      <c r="S11" s="694"/>
      <c r="T11" s="696"/>
      <c r="U11" s="696"/>
      <c r="V11" s="692"/>
      <c r="W11" s="692"/>
      <c r="X11" s="697"/>
      <c r="Y11" s="697"/>
      <c r="Z11" s="697"/>
      <c r="AA11" s="162"/>
    </row>
    <row r="12" spans="1:27" ht="15.75" customHeight="1">
      <c r="A12" s="685">
        <v>5</v>
      </c>
      <c r="B12" s="690"/>
      <c r="C12" s="109" t="s">
        <v>73</v>
      </c>
      <c r="D12" s="691"/>
      <c r="E12" s="1030">
        <v>0.0038</v>
      </c>
      <c r="F12" s="692"/>
      <c r="G12" s="693"/>
      <c r="H12" s="693"/>
      <c r="S12" s="694"/>
      <c r="T12" s="696"/>
      <c r="U12" s="696"/>
      <c r="V12" s="692"/>
      <c r="W12" s="692"/>
      <c r="X12" s="697"/>
      <c r="Y12" s="697"/>
      <c r="Z12" s="697"/>
      <c r="AA12" s="162"/>
    </row>
    <row r="13" spans="1:27" ht="15.5">
      <c r="A13" s="685">
        <v>6</v>
      </c>
      <c r="B13" s="690"/>
      <c r="C13" s="109" t="s">
        <v>93</v>
      </c>
      <c r="D13" s="691"/>
      <c r="E13" s="1030">
        <v>0.0037000000000000002</v>
      </c>
      <c r="F13" s="692"/>
      <c r="G13" s="693"/>
      <c r="H13" s="693"/>
      <c r="S13" s="694"/>
      <c r="T13" s="696"/>
      <c r="U13" s="696"/>
      <c r="V13" s="692"/>
      <c r="W13" s="692"/>
      <c r="X13" s="697"/>
      <c r="Y13" s="697"/>
      <c r="Z13" s="697"/>
      <c r="AA13" s="162"/>
    </row>
    <row r="14" spans="1:27" ht="15.5">
      <c r="A14" s="685">
        <v>7</v>
      </c>
      <c r="B14" s="690"/>
      <c r="C14" s="109" t="s">
        <v>81</v>
      </c>
      <c r="D14" s="691"/>
      <c r="E14" s="1030">
        <v>0.0040000000000000001</v>
      </c>
      <c r="F14" s="692"/>
      <c r="G14" s="693"/>
      <c r="H14" s="693"/>
      <c r="S14" s="694"/>
      <c r="T14" s="694"/>
      <c r="U14" s="694"/>
      <c r="V14" s="694"/>
      <c r="W14" s="694"/>
      <c r="X14" s="694"/>
      <c r="Y14" s="694"/>
      <c r="Z14" s="694"/>
      <c r="AA14" s="162"/>
    </row>
    <row r="15" spans="1:27" ht="15.5">
      <c r="A15" s="685">
        <v>8</v>
      </c>
      <c r="B15" s="690"/>
      <c r="C15" s="109" t="s">
        <v>80</v>
      </c>
      <c r="D15" s="691"/>
      <c r="E15" s="1030">
        <v>0.0040000000000000001</v>
      </c>
      <c r="F15" s="692"/>
      <c r="G15" s="693"/>
      <c r="H15" s="693"/>
      <c r="S15" s="694"/>
      <c r="T15" s="694"/>
      <c r="U15" s="694"/>
      <c r="V15" s="694"/>
      <c r="W15" s="694"/>
      <c r="X15" s="694"/>
      <c r="Y15" s="694"/>
      <c r="Z15" s="694"/>
      <c r="AA15" s="162"/>
    </row>
    <row r="16" spans="1:27" ht="15.5">
      <c r="A16" s="685">
        <v>9</v>
      </c>
      <c r="B16" s="690"/>
      <c r="C16" s="109" t="s">
        <v>79</v>
      </c>
      <c r="D16" s="691"/>
      <c r="E16" s="1030">
        <v>0.0038999999999999998</v>
      </c>
      <c r="F16" s="692"/>
      <c r="G16" s="693"/>
      <c r="H16" s="693"/>
      <c r="S16" s="694"/>
      <c r="T16" s="694"/>
      <c r="U16" s="694"/>
      <c r="V16" s="694"/>
      <c r="W16" s="694"/>
      <c r="X16" s="694"/>
      <c r="Y16" s="694"/>
      <c r="Z16" s="694"/>
      <c r="AA16" s="162"/>
    </row>
    <row r="17" spans="1:27" ht="15.5">
      <c r="A17" s="685">
        <v>10</v>
      </c>
      <c r="B17" s="690"/>
      <c r="C17" s="109" t="s">
        <v>85</v>
      </c>
      <c r="D17" s="691"/>
      <c r="E17" s="1030">
        <v>0.0041999999999999997</v>
      </c>
      <c r="F17" s="692"/>
      <c r="G17" s="693"/>
      <c r="H17" s="693"/>
      <c r="S17" s="694"/>
      <c r="T17" s="694"/>
      <c r="U17" s="694"/>
      <c r="V17" s="694"/>
      <c r="W17" s="694"/>
      <c r="X17" s="694"/>
      <c r="Y17" s="694"/>
      <c r="Z17" s="694"/>
      <c r="AA17" s="162"/>
    </row>
    <row r="18" spans="1:27" ht="15.5">
      <c r="A18" s="685">
        <v>11</v>
      </c>
      <c r="B18" s="690"/>
      <c r="C18" s="109" t="s">
        <v>78</v>
      </c>
      <c r="D18" s="691"/>
      <c r="E18" s="1030">
        <v>0.0041000000000000003</v>
      </c>
      <c r="F18" s="692"/>
      <c r="G18" s="693"/>
      <c r="H18" s="693"/>
      <c r="S18" s="694"/>
      <c r="T18" s="694"/>
      <c r="U18" s="694"/>
      <c r="V18" s="694"/>
      <c r="W18" s="694"/>
      <c r="X18" s="694"/>
      <c r="Y18" s="694"/>
      <c r="Z18" s="694"/>
      <c r="AA18" s="162"/>
    </row>
    <row r="19" spans="1:27" ht="15.5">
      <c r="A19" s="685">
        <v>12</v>
      </c>
      <c r="B19" s="690"/>
      <c r="C19" s="109" t="s">
        <v>77</v>
      </c>
      <c r="D19" s="691"/>
      <c r="E19" s="1030">
        <v>0.0041999999999999997</v>
      </c>
      <c r="F19" s="692"/>
      <c r="G19" s="693"/>
      <c r="H19" s="693"/>
      <c r="S19" s="694"/>
      <c r="T19" s="694"/>
      <c r="U19" s="694"/>
      <c r="V19" s="694"/>
      <c r="W19" s="694"/>
      <c r="X19" s="694"/>
      <c r="Y19" s="694"/>
      <c r="Z19" s="694"/>
      <c r="AA19" s="162"/>
    </row>
    <row r="20" spans="1:27" ht="15.5">
      <c r="A20" s="685">
        <v>13</v>
      </c>
      <c r="B20" s="690"/>
      <c r="C20" s="109" t="s">
        <v>84</v>
      </c>
      <c r="D20" s="691"/>
      <c r="E20" s="1030">
        <v>0.0044000000000000003</v>
      </c>
      <c r="F20" s="692"/>
      <c r="G20" s="693"/>
      <c r="H20" s="693"/>
      <c r="S20" s="694"/>
      <c r="T20" s="694"/>
      <c r="U20" s="694"/>
      <c r="V20" s="694"/>
      <c r="W20" s="694"/>
      <c r="X20" s="694"/>
      <c r="Y20" s="694"/>
      <c r="Z20" s="694"/>
      <c r="AA20" s="162"/>
    </row>
    <row r="21" spans="1:27" ht="15.5">
      <c r="A21" s="685">
        <v>14</v>
      </c>
      <c r="B21" s="690"/>
      <c r="C21" s="109" t="s">
        <v>83</v>
      </c>
      <c r="D21" s="691"/>
      <c r="E21" s="1030">
        <v>0.0040000000000000001</v>
      </c>
      <c r="F21" s="692"/>
      <c r="G21" s="693"/>
      <c r="H21" s="693"/>
      <c r="S21" s="694"/>
      <c r="T21" s="694"/>
      <c r="U21" s="694"/>
      <c r="V21" s="694"/>
      <c r="W21" s="694"/>
      <c r="X21" s="694"/>
      <c r="Y21" s="694"/>
      <c r="Z21" s="694"/>
      <c r="AA21" s="162"/>
    </row>
    <row r="22" spans="1:27" ht="15.5">
      <c r="A22" s="685">
        <v>15</v>
      </c>
      <c r="B22" s="690"/>
      <c r="C22" s="109" t="s">
        <v>82</v>
      </c>
      <c r="D22" s="691"/>
      <c r="E22" s="1030">
        <v>0.0044000000000000003</v>
      </c>
      <c r="F22" s="692"/>
      <c r="G22" s="693"/>
      <c r="H22" s="693"/>
      <c r="S22" s="694"/>
      <c r="T22" s="694"/>
      <c r="U22" s="694"/>
      <c r="V22" s="694"/>
      <c r="W22" s="694"/>
      <c r="X22" s="694"/>
      <c r="Y22" s="694"/>
      <c r="Z22" s="694"/>
      <c r="AA22" s="162"/>
    </row>
    <row r="23" spans="1:27" ht="15.5">
      <c r="A23" s="685">
        <v>16</v>
      </c>
      <c r="B23" s="690"/>
      <c r="C23" s="109" t="s">
        <v>74</v>
      </c>
      <c r="D23" s="691"/>
      <c r="E23" s="1030">
        <v>0.0044999999999999997</v>
      </c>
      <c r="F23" s="692"/>
      <c r="G23" s="693"/>
      <c r="H23" s="693"/>
      <c r="S23" s="694"/>
      <c r="T23" s="694"/>
      <c r="U23" s="694"/>
      <c r="V23" s="694"/>
      <c r="W23" s="694"/>
      <c r="X23" s="694"/>
      <c r="Y23" s="694"/>
      <c r="Z23" s="694"/>
      <c r="AA23" s="162"/>
    </row>
    <row r="24" spans="1:27" ht="15.5">
      <c r="A24" s="685">
        <v>17</v>
      </c>
      <c r="B24" s="690"/>
      <c r="C24" s="109" t="s">
        <v>73</v>
      </c>
      <c r="D24" s="691"/>
      <c r="E24" s="1030">
        <v>0.0045999999999999999</v>
      </c>
      <c r="F24" s="692"/>
      <c r="G24" s="693"/>
      <c r="H24" s="693"/>
      <c r="S24" s="694"/>
      <c r="T24" s="694"/>
      <c r="U24" s="694"/>
      <c r="V24" s="694"/>
      <c r="W24" s="694"/>
      <c r="X24" s="694"/>
      <c r="Y24" s="694"/>
      <c r="Z24" s="694"/>
      <c r="AA24" s="162"/>
    </row>
    <row r="25" spans="1:27" ht="15.5">
      <c r="A25" s="685"/>
      <c r="B25" s="690"/>
      <c r="C25" s="698"/>
      <c r="D25" s="699"/>
      <c r="E25" s="699"/>
      <c r="F25" s="699"/>
      <c r="G25" s="699"/>
      <c r="H25" s="699"/>
      <c r="S25" s="694"/>
      <c r="T25" s="694"/>
      <c r="U25" s="694"/>
      <c r="V25" s="700"/>
      <c r="W25" s="697"/>
      <c r="X25" s="694"/>
      <c r="Y25" s="694"/>
      <c r="Z25" s="694"/>
      <c r="AA25" s="162"/>
    </row>
    <row r="26" spans="1:27" ht="15.5">
      <c r="A26" s="685">
        <v>18</v>
      </c>
      <c r="B26" s="701" t="s">
        <v>670</v>
      </c>
      <c r="C26" s="702"/>
      <c r="D26" s="699"/>
      <c r="E26" s="641">
        <f>AVERAGE(E8:E24)</f>
        <v>0.0040000000000000001</v>
      </c>
      <c r="F26" s="699"/>
      <c r="G26" s="699"/>
      <c r="H26" s="699"/>
      <c r="S26" s="694"/>
      <c r="T26" s="694"/>
      <c r="U26" s="694"/>
      <c r="V26" s="700"/>
      <c r="W26" s="697"/>
      <c r="X26" s="694"/>
      <c r="Y26" s="694"/>
      <c r="Z26" s="694"/>
      <c r="AA26" s="162"/>
    </row>
    <row r="27" spans="1:27" ht="15.5">
      <c r="A27" s="690"/>
      <c r="B27" s="690"/>
      <c r="C27" s="702"/>
      <c r="D27" s="699"/>
      <c r="E27" s="699"/>
      <c r="F27" s="691"/>
      <c r="G27" s="691"/>
      <c r="H27" s="691"/>
      <c r="S27" s="694"/>
      <c r="T27" s="694"/>
      <c r="U27" s="694"/>
      <c r="V27" s="694"/>
      <c r="W27" s="694"/>
      <c r="X27" s="694"/>
      <c r="Y27" s="694"/>
      <c r="Z27" s="694"/>
      <c r="AA27" s="162"/>
    </row>
    <row r="28" spans="1:27" ht="16" thickBot="1">
      <c r="A28" s="934" t="s">
        <v>324</v>
      </c>
      <c r="B28" s="690"/>
      <c r="C28" s="690"/>
      <c r="D28" s="690"/>
      <c r="E28" s="690"/>
      <c r="F28" s="690"/>
      <c r="G28" s="690"/>
      <c r="H28" s="690"/>
      <c r="S28" s="694"/>
      <c r="T28" s="694"/>
      <c r="U28" s="694"/>
      <c r="V28" s="694"/>
      <c r="W28" s="694"/>
      <c r="X28" s="694"/>
      <c r="Y28" s="694"/>
      <c r="Z28" s="694"/>
      <c r="AA28" s="162"/>
    </row>
    <row r="29" spans="1:27" ht="15.5">
      <c r="A29" s="935" t="s">
        <v>58</v>
      </c>
      <c r="B29" s="703" t="s">
        <v>1282</v>
      </c>
      <c r="C29" s="690"/>
      <c r="D29" s="690"/>
      <c r="E29" s="690"/>
      <c r="F29" s="690"/>
      <c r="G29" s="690"/>
      <c r="H29" s="690"/>
      <c r="S29" s="696"/>
      <c r="T29" s="162"/>
      <c r="U29" s="694"/>
      <c r="V29" s="694"/>
      <c r="W29" s="694"/>
      <c r="X29" s="694"/>
      <c r="Y29" s="694"/>
      <c r="Z29" s="694"/>
      <c r="AA29" s="162"/>
    </row>
    <row r="30" spans="1:26" ht="15.5">
      <c r="A30" s="690"/>
      <c r="B30" s="703"/>
      <c r="C30" s="690"/>
      <c r="D30" s="690"/>
      <c r="E30" s="690"/>
      <c r="F30" s="690"/>
      <c r="G30" s="690"/>
      <c r="H30" s="690"/>
      <c r="S30" s="703"/>
      <c r="U30" s="703"/>
      <c r="V30" s="703"/>
      <c r="W30" s="703"/>
      <c r="X30" s="703"/>
      <c r="Y30" s="703"/>
      <c r="Z30" s="703"/>
    </row>
    <row r="31" spans="1:26" ht="15.5">
      <c r="A31" s="690"/>
      <c r="B31" s="703"/>
      <c r="C31" s="690"/>
      <c r="D31" s="690"/>
      <c r="E31" s="690"/>
      <c r="F31" s="690"/>
      <c r="G31" s="690"/>
      <c r="H31" s="690"/>
      <c r="S31" s="703"/>
      <c r="T31" s="703"/>
      <c r="U31" s="703"/>
      <c r="V31" s="703"/>
      <c r="W31" s="703"/>
      <c r="X31" s="703"/>
      <c r="Y31" s="703"/>
      <c r="Z31" s="703"/>
    </row>
    <row r="32" spans="1:8" ht="15.5">
      <c r="A32" s="690"/>
      <c r="B32" s="690"/>
      <c r="C32" s="690"/>
      <c r="D32" s="690"/>
      <c r="E32" s="690"/>
      <c r="F32" s="690"/>
      <c r="G32" s="690"/>
      <c r="H32" s="690"/>
    </row>
    <row r="33" spans="1:11" ht="13">
      <c r="A33" s="190"/>
      <c r="B33" s="110"/>
      <c r="C33" s="110"/>
      <c r="D33" s="1091"/>
      <c r="E33" s="1091"/>
      <c r="F33" s="111"/>
      <c r="G33" s="111"/>
      <c r="H33" s="613"/>
      <c r="I33" s="111"/>
      <c r="J33" s="111"/>
      <c r="K33" s="111"/>
    </row>
    <row r="34" spans="1:12" ht="13">
      <c r="A34" s="190">
        <v>19</v>
      </c>
      <c r="B34" s="110" t="s">
        <v>75</v>
      </c>
      <c r="C34" s="616"/>
      <c r="D34" s="1091"/>
      <c r="E34" s="1091"/>
      <c r="F34" s="1091"/>
      <c r="G34" s="1091"/>
      <c r="H34" s="613"/>
      <c r="I34" s="1091"/>
      <c r="J34" s="1091"/>
      <c r="K34" s="1091"/>
      <c r="L34" s="1091"/>
    </row>
    <row r="35" spans="1:12" ht="13">
      <c r="A35" s="190">
        <v>20</v>
      </c>
      <c r="B35" s="110"/>
      <c r="C35" s="110"/>
      <c r="D35" s="111"/>
      <c r="E35" s="111"/>
      <c r="F35" s="112"/>
      <c r="G35" s="111"/>
      <c r="H35" s="111"/>
      <c r="I35" s="111"/>
      <c r="J35" s="111"/>
      <c r="K35" s="111"/>
      <c r="L35" s="111"/>
    </row>
    <row r="36" spans="1:17" ht="13">
      <c r="A36" s="196"/>
      <c r="B36" s="608" t="s">
        <v>58</v>
      </c>
      <c r="C36" s="218" t="s">
        <v>59</v>
      </c>
      <c r="D36" s="218" t="s">
        <v>60</v>
      </c>
      <c r="E36" s="218" t="s">
        <v>61</v>
      </c>
      <c r="F36" s="218" t="s">
        <v>62</v>
      </c>
      <c r="G36" s="609" t="s">
        <v>63</v>
      </c>
      <c r="H36" s="613"/>
      <c r="I36" s="613"/>
      <c r="J36" s="613"/>
      <c r="K36" s="613"/>
      <c r="L36" s="613"/>
      <c r="M36" s="613"/>
      <c r="N36" s="613"/>
      <c r="O36" s="613"/>
      <c r="P36" s="613"/>
      <c r="Q36" s="613"/>
    </row>
    <row r="37" spans="1:17" ht="13">
      <c r="A37" s="190"/>
      <c r="B37" s="223"/>
      <c r="C37" s="613"/>
      <c r="D37" s="613"/>
      <c r="E37" s="613"/>
      <c r="F37" s="613"/>
      <c r="G37" s="704"/>
      <c r="H37" s="613"/>
      <c r="I37" s="111"/>
      <c r="J37" s="613"/>
      <c r="K37" s="111"/>
      <c r="L37" s="111"/>
      <c r="M37" s="162"/>
      <c r="N37" s="162"/>
      <c r="O37" s="162"/>
      <c r="P37" s="162"/>
      <c r="Q37" s="162"/>
    </row>
    <row r="38" spans="1:17" ht="13">
      <c r="A38" s="190"/>
      <c r="B38" s="312"/>
      <c r="C38" s="613"/>
      <c r="D38" s="613"/>
      <c r="E38" s="613"/>
      <c r="F38" s="613"/>
      <c r="G38" s="211"/>
      <c r="H38" s="613"/>
      <c r="I38" s="613"/>
      <c r="J38" s="613"/>
      <c r="K38" s="613"/>
      <c r="L38" s="613"/>
      <c r="M38" s="613"/>
      <c r="N38" s="613"/>
      <c r="O38" s="613"/>
      <c r="P38" s="613"/>
      <c r="Q38" s="613"/>
    </row>
    <row r="39" spans="1:17" ht="39">
      <c r="A39" s="190"/>
      <c r="B39" s="67" t="s">
        <v>426</v>
      </c>
      <c r="C39" s="224" t="s">
        <v>446</v>
      </c>
      <c r="D39" s="216" t="s">
        <v>11</v>
      </c>
      <c r="E39" s="613" t="s">
        <v>674</v>
      </c>
      <c r="F39" s="224" t="s">
        <v>351</v>
      </c>
      <c r="G39" s="705" t="s">
        <v>297</v>
      </c>
      <c r="H39" s="162"/>
      <c r="I39" s="162"/>
      <c r="J39" s="162"/>
      <c r="K39" s="162"/>
      <c r="L39" s="162"/>
      <c r="M39" s="162"/>
      <c r="N39" s="162"/>
      <c r="O39" s="162"/>
      <c r="P39" s="613"/>
      <c r="Q39" s="613"/>
    </row>
    <row r="40" spans="1:17" ht="30" customHeight="1">
      <c r="A40" s="190"/>
      <c r="B40" s="312"/>
      <c r="C40" s="613"/>
      <c r="D40" s="216" t="s">
        <v>773</v>
      </c>
      <c r="E40" s="613"/>
      <c r="F40" s="216" t="s">
        <v>675</v>
      </c>
      <c r="G40" s="337" t="s">
        <v>676</v>
      </c>
      <c r="H40" s="613"/>
      <c r="I40" s="613"/>
      <c r="J40" s="613"/>
      <c r="K40" s="613"/>
      <c r="L40" s="613"/>
      <c r="M40" s="613"/>
      <c r="N40" s="613"/>
      <c r="O40" s="613"/>
      <c r="P40" s="613"/>
      <c r="Q40" s="613"/>
    </row>
    <row r="41" spans="1:17" ht="13">
      <c r="A41" s="190">
        <v>21</v>
      </c>
      <c r="B41" s="223" t="str">
        <f>+'1-Project Rev Req'!C66</f>
        <v>Zonal </v>
      </c>
      <c r="C41" s="111" t="str">
        <f>+'1-Project Rev Req'!D66</f>
        <v>Zonal</v>
      </c>
      <c r="D41" s="173">
        <f>+'3-Project True-up'!H18+'3-Project True-up'!I18</f>
        <v>-808076.83247938752</v>
      </c>
      <c r="E41" s="173">
        <v>17</v>
      </c>
      <c r="F41" s="200">
        <f>+E26</f>
        <v>0.0040000000000000001</v>
      </c>
      <c r="G41" s="1042">
        <f>+D41*E41*F41</f>
        <v>-54949.22460859835</v>
      </c>
      <c r="H41" s="200"/>
      <c r="I41" s="38"/>
      <c r="J41" s="38"/>
      <c r="K41" s="38"/>
      <c r="L41" s="38"/>
      <c r="M41" s="162"/>
      <c r="N41" s="162"/>
      <c r="O41" s="162"/>
      <c r="P41" s="162"/>
      <c r="Q41" s="162"/>
    </row>
    <row r="42" spans="1:17" ht="13">
      <c r="A42" s="190" t="s">
        <v>671</v>
      </c>
      <c r="B42" s="375" t="s">
        <v>1238</v>
      </c>
      <c r="C42" s="376" t="s">
        <v>720</v>
      </c>
      <c r="D42" s="173">
        <f>+'3-Project True-up'!H19+'3-Project True-up'!I19</f>
        <v>1769359.2090553888</v>
      </c>
      <c r="E42" s="173">
        <v>17</v>
      </c>
      <c r="F42" s="200">
        <f>+F41</f>
        <v>0.0040000000000000001</v>
      </c>
      <c r="G42" s="1042">
        <f t="shared" si="0" ref="G42:G69">+D42*E42*F42</f>
        <v>120316.42621576645</v>
      </c>
      <c r="H42" s="200"/>
      <c r="I42" s="111"/>
      <c r="J42" s="200"/>
      <c r="K42" s="38"/>
      <c r="L42" s="38"/>
      <c r="M42" s="162"/>
      <c r="N42" s="162"/>
      <c r="O42" s="162"/>
      <c r="P42" s="15"/>
      <c r="Q42" s="215"/>
    </row>
    <row r="43" spans="1:17" ht="13">
      <c r="A43" s="190" t="s">
        <v>672</v>
      </c>
      <c r="B43" s="375" t="s">
        <v>1238</v>
      </c>
      <c r="C43" s="376" t="s">
        <v>720</v>
      </c>
      <c r="D43" s="173">
        <f>+'3-Project True-up'!H20+'3-Project True-up'!I20</f>
        <v>-1452237.4741626796</v>
      </c>
      <c r="E43" s="173">
        <v>17</v>
      </c>
      <c r="F43" s="200">
        <f t="shared" si="1" ref="F43:F69">+F42</f>
        <v>0.0040000000000000001</v>
      </c>
      <c r="G43" s="1042">
        <f t="shared" si="0"/>
        <v>-98752.148243062213</v>
      </c>
      <c r="H43" s="200"/>
      <c r="I43" s="111"/>
      <c r="J43" s="200"/>
      <c r="K43" s="38"/>
      <c r="L43" s="38"/>
      <c r="M43" s="162"/>
      <c r="N43" s="162"/>
      <c r="O43" s="162"/>
      <c r="P43" s="15"/>
      <c r="Q43" s="215"/>
    </row>
    <row r="44" spans="1:17" ht="13">
      <c r="A44" s="190" t="s">
        <v>673</v>
      </c>
      <c r="B44" s="375" t="s">
        <v>803</v>
      </c>
      <c r="C44" s="376" t="s">
        <v>722</v>
      </c>
      <c r="D44" s="173">
        <f>+'3-Project True-up'!H21+'3-Project True-up'!I21</f>
        <v>29438.232555620489</v>
      </c>
      <c r="E44" s="173">
        <v>17</v>
      </c>
      <c r="F44" s="200">
        <f t="shared" si="1"/>
        <v>0.0040000000000000001</v>
      </c>
      <c r="G44" s="1042">
        <f t="shared" si="0"/>
        <v>2001.7998137821933</v>
      </c>
      <c r="H44" s="200"/>
      <c r="I44" s="111"/>
      <c r="J44" s="200"/>
      <c r="K44" s="38"/>
      <c r="L44" s="38"/>
      <c r="M44" s="162"/>
      <c r="N44" s="162"/>
      <c r="O44" s="162"/>
      <c r="P44" s="15"/>
      <c r="Q44" s="215"/>
    </row>
    <row r="45" spans="1:17" ht="13">
      <c r="A45" s="190" t="s">
        <v>296</v>
      </c>
      <c r="B45" s="375" t="s">
        <v>803</v>
      </c>
      <c r="C45" s="376" t="s">
        <v>1239</v>
      </c>
      <c r="D45" s="173">
        <f>+'3-Project True-up'!H22+'3-Project True-up'!I22</f>
        <v>9812.7441852068005</v>
      </c>
      <c r="E45" s="173">
        <v>17</v>
      </c>
      <c r="F45" s="200">
        <f t="shared" si="1"/>
        <v>0.0040000000000000001</v>
      </c>
      <c r="G45" s="1042">
        <f t="shared" si="0"/>
        <v>667.26660459406241</v>
      </c>
      <c r="H45" s="200"/>
      <c r="I45" s="111"/>
      <c r="J45" s="200"/>
      <c r="K45" s="38"/>
      <c r="L45" s="38"/>
      <c r="M45" s="162"/>
      <c r="N45" s="162"/>
      <c r="O45" s="162"/>
      <c r="P45" s="15"/>
      <c r="Q45" s="215"/>
    </row>
    <row r="46" spans="1:17" ht="13">
      <c r="A46" s="190"/>
      <c r="B46" s="375" t="s">
        <v>804</v>
      </c>
      <c r="C46" s="376" t="s">
        <v>723</v>
      </c>
      <c r="D46" s="173">
        <f>+'3-Project True-up'!H23+'3-Project True-up'!I23</f>
        <v>19717.218103176041</v>
      </c>
      <c r="E46" s="173">
        <v>17</v>
      </c>
      <c r="F46" s="200">
        <f t="shared" si="1"/>
        <v>0.0040000000000000001</v>
      </c>
      <c r="G46" s="1042">
        <f t="shared" si="0"/>
        <v>1340.7708310159708</v>
      </c>
      <c r="H46" s="200"/>
      <c r="I46" s="111"/>
      <c r="J46" s="200"/>
      <c r="K46" s="38"/>
      <c r="L46" s="38"/>
      <c r="M46" s="162"/>
      <c r="N46" s="162"/>
      <c r="O46" s="162"/>
      <c r="P46" s="15"/>
      <c r="Q46" s="215"/>
    </row>
    <row r="47" spans="1:17" ht="13">
      <c r="A47" s="190"/>
      <c r="B47" s="375" t="s">
        <v>805</v>
      </c>
      <c r="C47" s="376" t="s">
        <v>724</v>
      </c>
      <c r="D47" s="173">
        <f>+'3-Project True-up'!H24+'3-Project True-up'!I24</f>
        <v>26759.633432929055</v>
      </c>
      <c r="E47" s="173">
        <v>17</v>
      </c>
      <c r="F47" s="200">
        <f t="shared" si="1"/>
        <v>0.0040000000000000001</v>
      </c>
      <c r="G47" s="1042">
        <f t="shared" si="0"/>
        <v>1819.6550734391758</v>
      </c>
      <c r="H47" s="200"/>
      <c r="I47" s="111"/>
      <c r="J47" s="200"/>
      <c r="K47" s="38"/>
      <c r="L47" s="38"/>
      <c r="M47" s="162"/>
      <c r="N47" s="162"/>
      <c r="O47" s="162"/>
      <c r="P47" s="15"/>
      <c r="Q47" s="215"/>
    </row>
    <row r="48" spans="1:17" ht="13">
      <c r="A48" s="190"/>
      <c r="B48" s="375" t="s">
        <v>806</v>
      </c>
      <c r="C48" s="376" t="s">
        <v>802</v>
      </c>
      <c r="D48" s="173">
        <f>+'3-Project True-up'!H25+'3-Project True-up'!I25</f>
        <v>88674.297344635241</v>
      </c>
      <c r="E48" s="173">
        <v>17</v>
      </c>
      <c r="F48" s="200">
        <f t="shared" si="1"/>
        <v>0.0040000000000000001</v>
      </c>
      <c r="G48" s="1042">
        <f t="shared" si="2" ref="G48:G57">+D48*E48*F48</f>
        <v>6029.8522194351963</v>
      </c>
      <c r="H48" s="200"/>
      <c r="I48" s="111"/>
      <c r="J48" s="200"/>
      <c r="K48" s="38"/>
      <c r="L48" s="38"/>
      <c r="M48" s="162"/>
      <c r="N48" s="162"/>
      <c r="O48" s="162"/>
      <c r="P48" s="15"/>
      <c r="Q48" s="215"/>
    </row>
    <row r="49" spans="1:17" ht="13">
      <c r="A49" s="190"/>
      <c r="B49" s="375" t="s">
        <v>918</v>
      </c>
      <c r="C49" s="376" t="s">
        <v>919</v>
      </c>
      <c r="D49" s="173">
        <f>+'3-Project True-up'!H26+'3-Project True-up'!I26</f>
        <v>253725.87130188663</v>
      </c>
      <c r="E49" s="173">
        <v>17</v>
      </c>
      <c r="F49" s="200">
        <f t="shared" si="1"/>
        <v>0.0040000000000000001</v>
      </c>
      <c r="G49" s="1042">
        <f t="shared" si="2"/>
        <v>17253.35924852829</v>
      </c>
      <c r="H49" s="200"/>
      <c r="I49" s="111"/>
      <c r="J49" s="200"/>
      <c r="K49" s="38"/>
      <c r="L49" s="38"/>
      <c r="M49" s="162"/>
      <c r="N49" s="162"/>
      <c r="O49" s="162"/>
      <c r="P49" s="15"/>
      <c r="Q49" s="215"/>
    </row>
    <row r="50" spans="1:17" ht="13">
      <c r="A50" s="190"/>
      <c r="B50" s="375" t="s">
        <v>807</v>
      </c>
      <c r="C50" s="376" t="s">
        <v>725</v>
      </c>
      <c r="D50" s="173">
        <f>+'3-Project True-up'!H27+'3-Project True-up'!I27</f>
        <v>120998.73436762067</v>
      </c>
      <c r="E50" s="173">
        <v>17</v>
      </c>
      <c r="F50" s="200">
        <f t="shared" si="1"/>
        <v>0.0040000000000000001</v>
      </c>
      <c r="G50" s="1042">
        <f t="shared" si="2"/>
        <v>8227.9139369982058</v>
      </c>
      <c r="H50" s="200"/>
      <c r="I50" s="111"/>
      <c r="J50" s="200"/>
      <c r="K50" s="38"/>
      <c r="L50" s="38"/>
      <c r="M50" s="162"/>
      <c r="N50" s="162"/>
      <c r="O50" s="162"/>
      <c r="P50" s="15"/>
      <c r="Q50" s="215"/>
    </row>
    <row r="51" spans="1:17" ht="13">
      <c r="A51" s="190"/>
      <c r="B51" s="375" t="s">
        <v>808</v>
      </c>
      <c r="C51" s="376" t="s">
        <v>726</v>
      </c>
      <c r="D51" s="173">
        <f>+'3-Project True-up'!H28+'3-Project True-up'!I28</f>
        <v>107858.29770464683</v>
      </c>
      <c r="E51" s="173">
        <v>17</v>
      </c>
      <c r="F51" s="200">
        <f t="shared" si="1"/>
        <v>0.0040000000000000001</v>
      </c>
      <c r="G51" s="1042">
        <f t="shared" si="2"/>
        <v>7334.3642439159848</v>
      </c>
      <c r="H51" s="200"/>
      <c r="I51" s="111"/>
      <c r="J51" s="200"/>
      <c r="K51" s="38"/>
      <c r="L51" s="38"/>
      <c r="M51" s="162"/>
      <c r="N51" s="162"/>
      <c r="O51" s="162"/>
      <c r="P51" s="15"/>
      <c r="Q51" s="215"/>
    </row>
    <row r="52" spans="1:17" ht="13">
      <c r="A52" s="190"/>
      <c r="B52" s="375" t="s">
        <v>809</v>
      </c>
      <c r="C52" s="376" t="s">
        <v>727</v>
      </c>
      <c r="D52" s="173">
        <f>+'3-Project True-up'!H29+'3-Project True-up'!I29</f>
        <v>113241.22588604409</v>
      </c>
      <c r="E52" s="173">
        <v>17</v>
      </c>
      <c r="F52" s="200">
        <f t="shared" si="1"/>
        <v>0.0040000000000000001</v>
      </c>
      <c r="G52" s="1042">
        <f t="shared" si="2"/>
        <v>7700.403360250998</v>
      </c>
      <c r="H52" s="200"/>
      <c r="I52" s="111"/>
      <c r="J52" s="200"/>
      <c r="K52" s="38"/>
      <c r="L52" s="38"/>
      <c r="M52" s="162"/>
      <c r="N52" s="162"/>
      <c r="O52" s="162"/>
      <c r="P52" s="15"/>
      <c r="Q52" s="215"/>
    </row>
    <row r="53" spans="1:17" ht="13">
      <c r="A53" s="190"/>
      <c r="B53" s="375" t="s">
        <v>810</v>
      </c>
      <c r="C53" s="376" t="s">
        <v>728</v>
      </c>
      <c r="D53" s="173">
        <f>+'3-Project True-up'!H30+'3-Project True-up'!I30</f>
        <v>71337.38062786567</v>
      </c>
      <c r="E53" s="173">
        <v>17</v>
      </c>
      <c r="F53" s="200">
        <f t="shared" si="1"/>
        <v>0.0040000000000000001</v>
      </c>
      <c r="G53" s="1042">
        <f t="shared" si="2"/>
        <v>4850.9418826948659</v>
      </c>
      <c r="H53" s="200"/>
      <c r="I53" s="111"/>
      <c r="J53" s="200"/>
      <c r="K53" s="38"/>
      <c r="L53" s="38"/>
      <c r="M53" s="162"/>
      <c r="N53" s="162"/>
      <c r="O53" s="162"/>
      <c r="P53" s="15"/>
      <c r="Q53" s="215"/>
    </row>
    <row r="54" spans="1:17" ht="13">
      <c r="A54" s="190"/>
      <c r="B54" s="375" t="s">
        <v>811</v>
      </c>
      <c r="C54" s="376" t="s">
        <v>729</v>
      </c>
      <c r="D54" s="173">
        <f>+'3-Project True-up'!H31+'3-Project True-up'!I31</f>
        <v>51338.962244572118</v>
      </c>
      <c r="E54" s="173">
        <v>17</v>
      </c>
      <c r="F54" s="200">
        <f t="shared" si="1"/>
        <v>0.0040000000000000001</v>
      </c>
      <c r="G54" s="1042">
        <f t="shared" si="2"/>
        <v>3491.049432630904</v>
      </c>
      <c r="H54" s="200"/>
      <c r="I54" s="111"/>
      <c r="J54" s="200"/>
      <c r="K54" s="38"/>
      <c r="L54" s="38"/>
      <c r="M54" s="162"/>
      <c r="N54" s="162"/>
      <c r="O54" s="162"/>
      <c r="P54" s="15"/>
      <c r="Q54" s="215"/>
    </row>
    <row r="55" spans="1:17" ht="13">
      <c r="A55" s="190"/>
      <c r="B55" s="375" t="s">
        <v>812</v>
      </c>
      <c r="C55" s="376" t="s">
        <v>730</v>
      </c>
      <c r="D55" s="173">
        <f>+'3-Project True-up'!H32+'3-Project True-up'!I32</f>
        <v>10709.723166221782</v>
      </c>
      <c r="E55" s="173">
        <v>17</v>
      </c>
      <c r="F55" s="200">
        <f t="shared" si="1"/>
        <v>0.0040000000000000001</v>
      </c>
      <c r="G55" s="1042">
        <f t="shared" si="2"/>
        <v>728.26117530308113</v>
      </c>
      <c r="H55" s="200"/>
      <c r="I55" s="111"/>
      <c r="J55" s="200"/>
      <c r="K55" s="38"/>
      <c r="L55" s="38"/>
      <c r="M55" s="162"/>
      <c r="N55" s="162"/>
      <c r="O55" s="162"/>
      <c r="P55" s="15"/>
      <c r="Q55" s="215"/>
    </row>
    <row r="56" spans="1:17" ht="13">
      <c r="A56" s="190"/>
      <c r="B56" s="375" t="s">
        <v>813</v>
      </c>
      <c r="C56" s="376" t="s">
        <v>731</v>
      </c>
      <c r="D56" s="173">
        <f>+'3-Project True-up'!H33+'3-Project True-up'!I33</f>
        <v>13833.649805182591</v>
      </c>
      <c r="E56" s="173">
        <v>17</v>
      </c>
      <c r="F56" s="200">
        <f t="shared" si="1"/>
        <v>0.0040000000000000001</v>
      </c>
      <c r="G56" s="1042">
        <f t="shared" si="2"/>
        <v>940.68818675241619</v>
      </c>
      <c r="H56" s="200"/>
      <c r="I56" s="111"/>
      <c r="J56" s="200"/>
      <c r="K56" s="38"/>
      <c r="L56" s="38"/>
      <c r="M56" s="162"/>
      <c r="N56" s="162"/>
      <c r="O56" s="162"/>
      <c r="P56" s="15"/>
      <c r="Q56" s="215"/>
    </row>
    <row r="57" spans="1:17" ht="13">
      <c r="A57" s="190"/>
      <c r="B57" s="375" t="s">
        <v>1049</v>
      </c>
      <c r="C57" s="376" t="s">
        <v>732</v>
      </c>
      <c r="D57" s="173">
        <f>+'3-Project True-up'!H34+'3-Project True-up'!I34</f>
        <v>15626.915016461629</v>
      </c>
      <c r="E57" s="173">
        <v>17</v>
      </c>
      <c r="F57" s="200">
        <f t="shared" si="1"/>
        <v>0.0040000000000000001</v>
      </c>
      <c r="G57" s="1042">
        <f t="shared" si="2"/>
        <v>1062.6302211193909</v>
      </c>
      <c r="H57" s="200"/>
      <c r="I57" s="111"/>
      <c r="J57" s="200"/>
      <c r="K57" s="38"/>
      <c r="L57" s="38"/>
      <c r="M57" s="162"/>
      <c r="N57" s="162"/>
      <c r="O57" s="162"/>
      <c r="P57" s="15"/>
      <c r="Q57" s="215"/>
    </row>
    <row r="58" spans="1:17" ht="13">
      <c r="A58" s="190"/>
      <c r="B58" s="375" t="s">
        <v>812</v>
      </c>
      <c r="C58" s="376" t="s">
        <v>733</v>
      </c>
      <c r="D58" s="173">
        <f>+'3-Project True-up'!H35+'3-Project True-up'!I35</f>
        <v>14701.782606924418</v>
      </c>
      <c r="E58" s="173">
        <v>17</v>
      </c>
      <c r="F58" s="200">
        <f>+F47</f>
        <v>0.0040000000000000001</v>
      </c>
      <c r="G58" s="1042">
        <f t="shared" si="0"/>
        <v>999.72121727086051</v>
      </c>
      <c r="H58" s="200"/>
      <c r="I58" s="162"/>
      <c r="J58" s="162"/>
      <c r="K58" s="38"/>
      <c r="L58" s="38"/>
      <c r="M58" s="162"/>
      <c r="N58" s="162"/>
      <c r="O58" s="162"/>
      <c r="P58" s="15"/>
      <c r="Q58" s="215"/>
    </row>
    <row r="59" spans="1:17" ht="13">
      <c r="A59" s="190"/>
      <c r="B59" s="375" t="s">
        <v>814</v>
      </c>
      <c r="C59" s="376" t="s">
        <v>734</v>
      </c>
      <c r="D59" s="173">
        <f>+'3-Project True-up'!H36+'3-Project True-up'!I36</f>
        <v>21235.679759500665</v>
      </c>
      <c r="E59" s="173">
        <v>17</v>
      </c>
      <c r="F59" s="200">
        <f t="shared" si="1"/>
        <v>0.0040000000000000001</v>
      </c>
      <c r="G59" s="1042">
        <f t="shared" si="0"/>
        <v>1444.0262236460453</v>
      </c>
      <c r="H59" s="200"/>
      <c r="I59" s="162"/>
      <c r="J59" s="162"/>
      <c r="K59" s="38"/>
      <c r="L59" s="38"/>
      <c r="M59" s="162"/>
      <c r="N59" s="162"/>
      <c r="O59" s="162"/>
      <c r="P59" s="15"/>
      <c r="Q59" s="215"/>
    </row>
    <row r="60" spans="1:17" ht="13">
      <c r="A60" s="190"/>
      <c r="B60" s="375" t="s">
        <v>815</v>
      </c>
      <c r="C60" s="376" t="s">
        <v>735</v>
      </c>
      <c r="D60" s="173">
        <f>+'3-Project True-up'!H37+'3-Project True-up'!I37</f>
        <v>28379.348497845698</v>
      </c>
      <c r="E60" s="173">
        <v>17</v>
      </c>
      <c r="F60" s="200">
        <f t="shared" si="1"/>
        <v>0.0040000000000000001</v>
      </c>
      <c r="G60" s="1042">
        <f t="shared" si="0"/>
        <v>1929.7956978535076</v>
      </c>
      <c r="H60" s="200"/>
      <c r="I60" s="162"/>
      <c r="J60" s="162"/>
      <c r="K60" s="38"/>
      <c r="L60" s="38"/>
      <c r="M60" s="162"/>
      <c r="N60" s="162"/>
      <c r="O60" s="162"/>
      <c r="P60" s="15"/>
      <c r="Q60" s="215"/>
    </row>
    <row r="61" spans="1:17" ht="13">
      <c r="A61" s="190"/>
      <c r="B61" s="375" t="s">
        <v>816</v>
      </c>
      <c r="C61" s="376" t="s">
        <v>737</v>
      </c>
      <c r="D61" s="173">
        <f>+'3-Project True-up'!H38+'3-Project True-up'!I38</f>
        <v>16001.525656926446</v>
      </c>
      <c r="E61" s="173">
        <v>17</v>
      </c>
      <c r="F61" s="200">
        <f t="shared" si="1"/>
        <v>0.0040000000000000001</v>
      </c>
      <c r="G61" s="1042">
        <f t="shared" si="0"/>
        <v>1088.1037446709984</v>
      </c>
      <c r="H61" s="200"/>
      <c r="K61" s="38"/>
      <c r="L61" s="38"/>
      <c r="M61" s="162"/>
      <c r="N61" s="162"/>
      <c r="O61" s="162"/>
      <c r="P61" s="15"/>
      <c r="Q61" s="215"/>
    </row>
    <row r="62" spans="1:17" ht="13">
      <c r="A62" s="190"/>
      <c r="B62" s="375" t="s">
        <v>1050</v>
      </c>
      <c r="C62" s="376" t="s">
        <v>1051</v>
      </c>
      <c r="D62" s="173">
        <f>+'3-Project True-up'!H39+'3-Project True-up'!I39</f>
        <v>13450.034245702962</v>
      </c>
      <c r="E62" s="173">
        <v>17</v>
      </c>
      <c r="F62" s="200">
        <f t="shared" si="1"/>
        <v>0.0040000000000000001</v>
      </c>
      <c r="G62" s="1042">
        <f t="shared" si="0"/>
        <v>914.60232870780146</v>
      </c>
      <c r="H62" s="200"/>
      <c r="K62" s="38"/>
      <c r="L62" s="38"/>
      <c r="M62" s="162"/>
      <c r="N62" s="162"/>
      <c r="O62" s="162"/>
      <c r="P62" s="15"/>
      <c r="Q62" s="215"/>
    </row>
    <row r="63" spans="1:17" ht="13">
      <c r="A63" s="190"/>
      <c r="B63" s="375" t="s">
        <v>817</v>
      </c>
      <c r="C63" s="376" t="s">
        <v>738</v>
      </c>
      <c r="D63" s="173">
        <f>+'3-Project True-up'!H40+'3-Project True-up'!I40</f>
        <v>12185.247183400381</v>
      </c>
      <c r="E63" s="173">
        <v>17</v>
      </c>
      <c r="F63" s="200">
        <f t="shared" si="1"/>
        <v>0.0040000000000000001</v>
      </c>
      <c r="G63" s="1042">
        <f t="shared" si="0"/>
        <v>828.59680847122593</v>
      </c>
      <c r="H63" s="200"/>
      <c r="K63" s="38"/>
      <c r="L63" s="38"/>
      <c r="M63" s="162"/>
      <c r="N63" s="162"/>
      <c r="O63" s="162"/>
      <c r="P63" s="15"/>
      <c r="Q63" s="215"/>
    </row>
    <row r="64" spans="1:17" ht="13">
      <c r="A64" s="190"/>
      <c r="B64" s="375" t="s">
        <v>1240</v>
      </c>
      <c r="C64" s="376" t="s">
        <v>721</v>
      </c>
      <c r="D64" s="173">
        <f>+'3-Project True-up'!H41+'3-Project True-up'!I41</f>
        <v>32775.278326303582</v>
      </c>
      <c r="E64" s="173">
        <v>17</v>
      </c>
      <c r="F64" s="200">
        <f t="shared" si="1"/>
        <v>0.0040000000000000001</v>
      </c>
      <c r="G64" s="1042">
        <f t="shared" si="0"/>
        <v>2228.7189261886438</v>
      </c>
      <c r="H64" s="200"/>
      <c r="K64" s="38"/>
      <c r="L64" s="38"/>
      <c r="M64" s="162"/>
      <c r="N64" s="162"/>
      <c r="O64" s="162"/>
      <c r="P64" s="15"/>
      <c r="Q64" s="215"/>
    </row>
    <row r="65" spans="1:17" ht="13">
      <c r="A65" s="190"/>
      <c r="B65" s="375" t="s">
        <v>1241</v>
      </c>
      <c r="C65" s="376" t="s">
        <v>736</v>
      </c>
      <c r="D65" s="173">
        <f>+'3-Project True-up'!H42+'3-Project True-up'!I42</f>
        <v>25450.261066881591</v>
      </c>
      <c r="E65" s="173">
        <v>17</v>
      </c>
      <c r="F65" s="200">
        <f t="shared" si="1"/>
        <v>0.0040000000000000001</v>
      </c>
      <c r="G65" s="1042">
        <f t="shared" si="0"/>
        <v>1730.6177525479482</v>
      </c>
      <c r="H65" s="200"/>
      <c r="K65" s="38"/>
      <c r="L65" s="38"/>
      <c r="M65" s="162"/>
      <c r="N65" s="162"/>
      <c r="O65" s="162"/>
      <c r="P65" s="15"/>
      <c r="Q65" s="215"/>
    </row>
    <row r="66" spans="1:17" ht="13">
      <c r="A66" s="190"/>
      <c r="B66" s="375"/>
      <c r="C66" s="376"/>
      <c r="D66" s="200">
        <f>+'3-Project True-up'!H43+'3-Project True-up'!I43</f>
        <v>0</v>
      </c>
      <c r="E66" s="173">
        <v>17</v>
      </c>
      <c r="F66" s="200">
        <f t="shared" si="1"/>
        <v>0.0040000000000000001</v>
      </c>
      <c r="G66" s="222">
        <f t="shared" si="0"/>
        <v>0</v>
      </c>
      <c r="H66" s="200"/>
      <c r="K66" s="38"/>
      <c r="L66" s="38"/>
      <c r="M66" s="162"/>
      <c r="N66" s="162"/>
      <c r="O66" s="162"/>
      <c r="P66" s="15"/>
      <c r="Q66" s="215"/>
    </row>
    <row r="67" spans="1:17" ht="13">
      <c r="A67" s="190"/>
      <c r="B67" s="375"/>
      <c r="C67" s="376"/>
      <c r="D67" s="200">
        <f>+'3-Project True-up'!H44+'3-Project True-up'!I44</f>
        <v>0</v>
      </c>
      <c r="E67" s="173">
        <v>17</v>
      </c>
      <c r="F67" s="200">
        <f t="shared" si="1"/>
        <v>0.0040000000000000001</v>
      </c>
      <c r="G67" s="222">
        <f t="shared" si="0"/>
        <v>0</v>
      </c>
      <c r="H67" s="200"/>
      <c r="K67" s="38"/>
      <c r="L67" s="38"/>
      <c r="M67" s="162"/>
      <c r="N67" s="162"/>
      <c r="O67" s="162"/>
      <c r="P67" s="15"/>
      <c r="Q67" s="215"/>
    </row>
    <row r="68" spans="1:17" ht="13">
      <c r="A68" s="190"/>
      <c r="B68" s="375"/>
      <c r="C68" s="376"/>
      <c r="D68" s="200">
        <f>+'3-Project True-up'!H45+'3-Project True-up'!I45</f>
        <v>0</v>
      </c>
      <c r="E68" s="173">
        <v>17</v>
      </c>
      <c r="F68" s="200">
        <f t="shared" si="1"/>
        <v>0.0040000000000000001</v>
      </c>
      <c r="G68" s="222">
        <f t="shared" si="0"/>
        <v>0</v>
      </c>
      <c r="H68" s="200"/>
      <c r="K68" s="38"/>
      <c r="L68" s="38"/>
      <c r="M68" s="162"/>
      <c r="N68" s="162"/>
      <c r="O68" s="162"/>
      <c r="P68" s="15"/>
      <c r="Q68" s="215"/>
    </row>
    <row r="69" spans="1:17" ht="13">
      <c r="A69" s="190"/>
      <c r="B69" s="375"/>
      <c r="C69" s="376"/>
      <c r="D69" s="200">
        <f>+'3-Project True-up'!H46+'3-Project True-up'!I46</f>
        <v>0</v>
      </c>
      <c r="E69" s="173">
        <v>17</v>
      </c>
      <c r="F69" s="200">
        <f t="shared" si="1"/>
        <v>0.0040000000000000001</v>
      </c>
      <c r="G69" s="222">
        <f t="shared" si="0"/>
        <v>0</v>
      </c>
      <c r="H69" s="200"/>
      <c r="K69" s="38"/>
      <c r="L69" s="38"/>
      <c r="M69" s="162"/>
      <c r="N69" s="162"/>
      <c r="O69" s="162"/>
      <c r="P69" s="15"/>
      <c r="Q69" s="215"/>
    </row>
    <row r="70" spans="1:17" ht="13">
      <c r="A70" s="190"/>
      <c r="B70" s="220"/>
      <c r="C70" s="113"/>
      <c r="D70" s="219"/>
      <c r="E70" s="219"/>
      <c r="F70" s="219"/>
      <c r="G70" s="221"/>
      <c r="H70" s="200"/>
      <c r="K70" s="38"/>
      <c r="L70" s="38"/>
      <c r="M70" s="162"/>
      <c r="N70" s="162"/>
      <c r="O70" s="162"/>
      <c r="P70" s="15"/>
      <c r="Q70" s="215"/>
    </row>
    <row r="71" spans="1:17" ht="13">
      <c r="A71" s="190"/>
      <c r="B71" s="111"/>
      <c r="C71" s="111"/>
      <c r="D71" s="112"/>
      <c r="E71" s="217"/>
      <c r="F71" s="111"/>
      <c r="G71" s="217"/>
      <c r="H71" s="112"/>
      <c r="K71" s="111"/>
      <c r="L71" s="111"/>
      <c r="M71" s="162"/>
      <c r="N71" s="162"/>
      <c r="O71" s="162"/>
      <c r="P71" s="15"/>
      <c r="Q71" s="162"/>
    </row>
    <row r="72" spans="1:17" ht="13">
      <c r="A72" s="190"/>
      <c r="B72" s="110"/>
      <c r="C72" s="110"/>
      <c r="D72" s="200"/>
      <c r="E72" s="200"/>
      <c r="F72" s="200"/>
      <c r="G72" s="200"/>
      <c r="H72" s="200"/>
      <c r="K72" s="200"/>
      <c r="L72" s="200"/>
      <c r="M72" s="162"/>
      <c r="N72" s="162"/>
      <c r="O72" s="162"/>
      <c r="P72" s="162"/>
      <c r="Q72" s="162"/>
    </row>
    <row r="73" spans="1:12" ht="13">
      <c r="A73" s="190"/>
      <c r="B73" s="110"/>
      <c r="C73" s="110"/>
      <c r="D73" s="74"/>
      <c r="E73" s="74"/>
      <c r="F73" s="74"/>
      <c r="G73" s="74"/>
      <c r="H73" s="74"/>
      <c r="K73" s="74"/>
      <c r="L73" s="74"/>
    </row>
    <row r="74" spans="1:12" ht="13">
      <c r="A74" s="190"/>
      <c r="B74" s="110"/>
      <c r="C74" s="110"/>
      <c r="D74" s="74"/>
      <c r="E74" s="74"/>
      <c r="F74" s="74"/>
      <c r="G74" s="74"/>
      <c r="H74" s="74"/>
      <c r="K74" s="74"/>
      <c r="L74" s="74"/>
    </row>
    <row r="75" spans="1:12" ht="13">
      <c r="A75" s="190"/>
      <c r="B75" s="110"/>
      <c r="C75" s="110"/>
      <c r="D75" s="74"/>
      <c r="E75" s="74"/>
      <c r="F75" s="74"/>
      <c r="G75" s="74"/>
      <c r="H75" s="74"/>
      <c r="K75" s="74"/>
      <c r="L75" s="74"/>
    </row>
    <row r="89" ht="24" customHeight="1"/>
  </sheetData>
  <customSheetViews>
    <customSheetView guid="{f04a2b9a-c6fe-4feb-ad1e-2cf9ac309be4}" scale="60" showPageBreaks="1" topLeftCell="A1" view="pageBreakPreview">
      <selection pane="topLeft" activeCell="G20" sqref="G20"/>
      <pageMargins left="0.7" right="0.7" top="0.75" bottom="0.75" header="0.3" footer="0.3"/>
      <pageSetup orientation="landscape" scale="79" r:id="rId2"/>
    </customSheetView>
  </customSheetViews>
  <mergeCells count="4">
    <mergeCell ref="D33:E33"/>
    <mergeCell ref="D34:E34"/>
    <mergeCell ref="F34:G34"/>
    <mergeCell ref="I34:L34"/>
  </mergeCells>
  <pageMargins left="0.25" right="0.25" top="0.75" bottom="0.75" header="0.3" footer="0.3"/>
  <pageSetup orientation="landscape" scale="1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4"/>
  <sheetViews>
    <sheetView view="pageBreakPreview" zoomScale="75" zoomScaleSheetLayoutView="75" workbookViewId="0" topLeftCell="A1"/>
  </sheetViews>
  <sheetFormatPr defaultColWidth="8.84375" defaultRowHeight="14"/>
  <cols>
    <col min="1" max="1" width="8.85714285714286" style="538"/>
    <col min="2" max="2" width="43.7857142857143" style="538" customWidth="1"/>
    <col min="3" max="3" width="15.5" style="538" customWidth="1"/>
    <col min="4" max="4" width="16.2857142857143" style="538" customWidth="1"/>
    <col min="5" max="5" width="13.5" style="538" customWidth="1"/>
    <col min="6" max="6" width="14.4285714285714" style="538" customWidth="1"/>
    <col min="7" max="16384" width="8.85714285714286" style="538"/>
  </cols>
  <sheetData>
    <row r="1" spans="1:6" ht="14">
      <c r="A1" s="409"/>
      <c r="C1" s="612" t="s">
        <v>194</v>
      </c>
      <c r="F1" s="410" t="s">
        <v>419</v>
      </c>
    </row>
    <row r="2" ht="14">
      <c r="C2" s="411" t="s">
        <v>283</v>
      </c>
    </row>
    <row r="3" spans="1:3" ht="14">
      <c r="A3" s="418"/>
      <c r="C3" s="612" t="str">
        <f>+'Attachment H-7'!D5</f>
        <v>PECO Energy Company</v>
      </c>
    </row>
    <row r="4" spans="1:3" ht="14">
      <c r="A4" s="418"/>
      <c r="C4" s="412"/>
    </row>
    <row r="5" spans="1:3" ht="14">
      <c r="A5" s="418"/>
      <c r="C5" s="412"/>
    </row>
    <row r="6" spans="1:4" ht="14">
      <c r="A6" s="415"/>
      <c r="B6" s="413" t="s">
        <v>280</v>
      </c>
      <c r="C6" s="414"/>
      <c r="D6" s="415"/>
    </row>
    <row r="7" spans="1:6" ht="14">
      <c r="A7" s="415"/>
      <c r="B7" s="416" t="s">
        <v>198</v>
      </c>
      <c r="C7" s="414"/>
      <c r="D7" s="416" t="s">
        <v>199</v>
      </c>
      <c r="E7" s="416" t="s">
        <v>200</v>
      </c>
      <c r="F7" s="612" t="s">
        <v>201</v>
      </c>
    </row>
    <row r="8" spans="1:6" ht="14">
      <c r="A8" s="415"/>
      <c r="B8" s="417"/>
      <c r="C8" s="417"/>
      <c r="D8" s="420" t="s">
        <v>770</v>
      </c>
      <c r="F8" s="421" t="s">
        <v>701</v>
      </c>
    </row>
    <row r="9" spans="1:6" ht="36" customHeight="1">
      <c r="A9" s="418"/>
      <c r="B9" s="418"/>
      <c r="C9" s="419"/>
      <c r="E9" s="533" t="s">
        <v>982</v>
      </c>
      <c r="F9" s="533" t="s">
        <v>1173</v>
      </c>
    </row>
    <row r="10" spans="1:7" ht="14">
      <c r="A10" s="415">
        <v>1</v>
      </c>
      <c r="B10" s="422" t="s">
        <v>677</v>
      </c>
      <c r="C10" s="422"/>
      <c r="D10" s="530">
        <v>1066173</v>
      </c>
      <c r="E10" s="530">
        <v>679716.20693636674</v>
      </c>
      <c r="F10" s="539">
        <f>+E10*D19</f>
        <v>544398.21878954081</v>
      </c>
      <c r="G10" s="542"/>
    </row>
    <row r="11" spans="1:6" ht="14">
      <c r="A11" s="415">
        <v>2</v>
      </c>
      <c r="B11" s="422" t="s">
        <v>678</v>
      </c>
      <c r="C11" s="422"/>
      <c r="D11" s="522"/>
      <c r="E11" s="543">
        <v>-568579.0836037707</v>
      </c>
      <c r="F11" s="522">
        <f>+E11*D19</f>
        <v>-455386.28797747631</v>
      </c>
    </row>
    <row r="12" spans="1:6" ht="14">
      <c r="A12" s="415">
        <v>3</v>
      </c>
      <c r="B12" s="422" t="s">
        <v>679</v>
      </c>
      <c r="C12" s="422" t="s">
        <v>680</v>
      </c>
      <c r="D12" s="530"/>
      <c r="F12" s="530">
        <f t="shared" si="0" ref="F12">+F10-F11</f>
        <v>999784.50676701707</v>
      </c>
    </row>
    <row r="14" spans="1:13" ht="14">
      <c r="A14" s="423"/>
      <c r="B14" s="423"/>
      <c r="C14" s="423"/>
      <c r="D14" s="423"/>
      <c r="E14" s="423"/>
      <c r="F14" s="423"/>
      <c r="G14" s="423"/>
      <c r="H14" s="423"/>
      <c r="I14" s="423"/>
      <c r="J14" s="423"/>
      <c r="K14" s="423"/>
      <c r="L14" s="423"/>
      <c r="M14" s="423"/>
    </row>
    <row r="15" spans="1:13" ht="14.5" thickBot="1">
      <c r="A15" s="424" t="s">
        <v>182</v>
      </c>
      <c r="B15" s="423"/>
      <c r="C15" s="423"/>
      <c r="D15" s="423"/>
      <c r="E15" s="423"/>
      <c r="F15" s="423"/>
      <c r="G15" s="423"/>
      <c r="H15" s="423"/>
      <c r="I15" s="423"/>
      <c r="J15" s="423"/>
      <c r="K15" s="423"/>
      <c r="L15" s="423"/>
      <c r="M15" s="423"/>
    </row>
    <row r="16" spans="1:13" ht="14">
      <c r="A16" s="531" t="s">
        <v>58</v>
      </c>
      <c r="B16" s="550" t="s">
        <v>983</v>
      </c>
      <c r="C16" s="532"/>
      <c r="D16" s="532"/>
      <c r="E16" s="532"/>
      <c r="F16" s="532"/>
      <c r="G16" s="532"/>
      <c r="H16" s="532"/>
      <c r="I16" s="532"/>
      <c r="J16" s="532"/>
      <c r="K16" s="532"/>
      <c r="L16" s="532"/>
      <c r="M16" s="532"/>
    </row>
    <row r="17" spans="1:13" ht="14">
      <c r="A17" s="531"/>
      <c r="B17" s="550" t="s">
        <v>985</v>
      </c>
      <c r="C17" s="532"/>
      <c r="D17" s="532"/>
      <c r="E17" s="532"/>
      <c r="F17" s="532"/>
      <c r="G17" s="532"/>
      <c r="H17" s="532"/>
      <c r="I17" s="532"/>
      <c r="J17" s="532"/>
      <c r="K17" s="532"/>
      <c r="L17" s="532"/>
      <c r="M17" s="532"/>
    </row>
    <row r="18" spans="1:5" ht="14">
      <c r="A18" s="425"/>
      <c r="C18" s="612" t="s">
        <v>44</v>
      </c>
      <c r="D18" s="538" t="s">
        <v>53</v>
      </c>
      <c r="E18" s="612"/>
    </row>
    <row r="19" spans="1:5" ht="14">
      <c r="A19" s="612" t="s">
        <v>59</v>
      </c>
      <c r="B19" s="538" t="s">
        <v>984</v>
      </c>
      <c r="C19" s="540">
        <v>174664333</v>
      </c>
      <c r="D19" s="542">
        <f>C19/C21</f>
        <v>0.80091987396220199</v>
      </c>
      <c r="E19" s="525"/>
    </row>
    <row r="20" spans="2:5" ht="14">
      <c r="B20" s="538" t="s">
        <v>1392</v>
      </c>
      <c r="C20" s="543">
        <v>43415326</v>
      </c>
      <c r="D20" s="542">
        <f>C20/C21</f>
        <v>0.19908012603779796</v>
      </c>
      <c r="E20" s="525"/>
    </row>
    <row r="21" spans="2:4" ht="14">
      <c r="B21" s="538" t="s">
        <v>13</v>
      </c>
      <c r="C21" s="539">
        <f>+C19+C20</f>
        <v>218079659</v>
      </c>
      <c r="D21" s="541"/>
    </row>
    <row r="23" spans="1:2" ht="14">
      <c r="A23" s="612" t="s">
        <v>60</v>
      </c>
      <c r="B23" s="572" t="s">
        <v>1174</v>
      </c>
    </row>
    <row r="24" ht="14">
      <c r="B24" s="538" t="s">
        <v>1175</v>
      </c>
    </row>
    <row r="65" ht="24" customHeight="1"/>
  </sheetData>
  <pageMargins left="0.7" right="0.7" top="0.75" bottom="0.75" header="0.3" footer="0.3"/>
  <pageSetup orientation="landscape" scale="1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9"/>
  <sheetViews>
    <sheetView view="pageBreakPreview" zoomScale="70" zoomScaleNormal="70" zoomScaleSheetLayoutView="70" workbookViewId="0" topLeftCell="A1"/>
  </sheetViews>
  <sheetFormatPr defaultColWidth="8.765625" defaultRowHeight="15.5"/>
  <cols>
    <col min="1" max="1" width="8.78571428571429" style="584"/>
    <col min="2" max="2" width="6.78571428571429" style="569" customWidth="1"/>
    <col min="3" max="3" width="56.7142857142857" style="569" customWidth="1"/>
    <col min="4" max="4" width="18.4285714285714" style="569" customWidth="1"/>
    <col min="5" max="5" width="21.2857142857143" style="569" customWidth="1"/>
    <col min="6" max="6" width="16.2857142857143" style="569" customWidth="1"/>
    <col min="7" max="7" width="21.4285714285714" style="569" customWidth="1"/>
    <col min="8" max="8" width="22.7857142857143" style="569" customWidth="1"/>
    <col min="9" max="11" width="22.7857142857143" style="618" customWidth="1"/>
    <col min="12" max="12" width="18.0714285714286" style="618" customWidth="1"/>
    <col min="13" max="13" width="8.78571428571429" style="569"/>
    <col min="14" max="14" width="14.2142857142857" style="1012" bestFit="1" customWidth="1"/>
    <col min="15" max="15" width="16.4285714285714" style="1013" customWidth="1"/>
    <col min="16" max="16" width="9.42857142857143" style="569" customWidth="1"/>
    <col min="17" max="17" width="9.07142857142857" style="569" customWidth="1"/>
    <col min="18" max="16384" width="8.78571428571429" style="569"/>
  </cols>
  <sheetData>
    <row r="1" ht="15.5">
      <c r="L1" s="148" t="s">
        <v>1540</v>
      </c>
    </row>
    <row r="2" spans="2:12" ht="15.5">
      <c r="B2" s="1092" t="s">
        <v>681</v>
      </c>
      <c r="C2" s="1092"/>
      <c r="D2" s="1092"/>
      <c r="E2" s="1092"/>
      <c r="F2" s="1092"/>
      <c r="G2" s="1092"/>
      <c r="H2" s="1092"/>
      <c r="I2" s="1092"/>
      <c r="J2" s="1092"/>
      <c r="K2" s="1092"/>
      <c r="L2" s="1092"/>
    </row>
    <row r="3" spans="2:12" ht="15.5">
      <c r="B3" s="1092" t="s">
        <v>1568</v>
      </c>
      <c r="C3" s="1092"/>
      <c r="D3" s="1092"/>
      <c r="E3" s="1092"/>
      <c r="F3" s="1092"/>
      <c r="G3" s="1092"/>
      <c r="H3" s="1092"/>
      <c r="I3" s="1092"/>
      <c r="J3" s="1092"/>
      <c r="K3" s="1092"/>
      <c r="L3" s="1092"/>
    </row>
    <row r="4" ht="15.5">
      <c r="L4" s="569"/>
    </row>
    <row r="6" spans="7:12" ht="15.5">
      <c r="G6" s="574"/>
      <c r="L6" s="619"/>
    </row>
    <row r="7" spans="2:11" ht="15.5">
      <c r="B7" s="620" t="s">
        <v>986</v>
      </c>
      <c r="C7" s="620" t="s">
        <v>987</v>
      </c>
      <c r="D7" s="620" t="s">
        <v>988</v>
      </c>
      <c r="E7" s="620" t="s">
        <v>989</v>
      </c>
      <c r="F7" s="619" t="s">
        <v>990</v>
      </c>
      <c r="G7" s="621" t="s">
        <v>991</v>
      </c>
      <c r="H7" s="622" t="s">
        <v>992</v>
      </c>
      <c r="I7" s="619" t="s">
        <v>993</v>
      </c>
      <c r="J7" s="619" t="s">
        <v>994</v>
      </c>
      <c r="K7" s="619" t="s">
        <v>995</v>
      </c>
    </row>
    <row r="8" spans="3:11" ht="15.5">
      <c r="C8" s="623"/>
      <c r="D8" s="620"/>
      <c r="E8" s="620"/>
      <c r="F8" s="621"/>
      <c r="G8" s="622"/>
      <c r="H8" s="619" t="s">
        <v>996</v>
      </c>
      <c r="I8" s="619" t="s">
        <v>997</v>
      </c>
      <c r="J8" s="619" t="s">
        <v>1052</v>
      </c>
      <c r="K8" s="619" t="s">
        <v>998</v>
      </c>
    </row>
    <row r="9" spans="3:11" ht="15.5">
      <c r="C9" s="623"/>
      <c r="D9" s="620" t="s">
        <v>999</v>
      </c>
      <c r="E9" s="620" t="s">
        <v>1000</v>
      </c>
      <c r="F9" s="621" t="s">
        <v>1001</v>
      </c>
      <c r="G9" s="621" t="s">
        <v>1578</v>
      </c>
      <c r="H9" s="619" t="s">
        <v>1493</v>
      </c>
      <c r="I9" s="619" t="s">
        <v>998</v>
      </c>
      <c r="J9" s="619" t="s">
        <v>458</v>
      </c>
      <c r="K9" s="619" t="s">
        <v>1002</v>
      </c>
    </row>
    <row r="10" spans="2:11" ht="15.5">
      <c r="B10" s="624" t="s">
        <v>1003</v>
      </c>
      <c r="C10" s="624" t="s">
        <v>1004</v>
      </c>
      <c r="D10" s="624" t="s">
        <v>1005</v>
      </c>
      <c r="E10" s="624" t="s">
        <v>1006</v>
      </c>
      <c r="F10" s="625" t="s">
        <v>1007</v>
      </c>
      <c r="G10" s="625" t="s">
        <v>1579</v>
      </c>
      <c r="H10" s="626" t="s">
        <v>44</v>
      </c>
      <c r="I10" s="626" t="s">
        <v>44</v>
      </c>
      <c r="J10" s="626" t="s">
        <v>44</v>
      </c>
      <c r="K10" s="626" t="s">
        <v>44</v>
      </c>
    </row>
    <row r="11" spans="2:11" ht="15.5">
      <c r="B11" s="620"/>
      <c r="C11" s="627"/>
      <c r="D11" s="628" t="s">
        <v>1133</v>
      </c>
      <c r="E11" s="628" t="s">
        <v>1133</v>
      </c>
      <c r="F11" s="629" t="s">
        <v>1053</v>
      </c>
      <c r="G11" s="630"/>
      <c r="H11" s="629" t="s">
        <v>1132</v>
      </c>
      <c r="I11" s="629" t="s">
        <v>1132</v>
      </c>
      <c r="J11" s="631" t="s">
        <v>1054</v>
      </c>
      <c r="K11" s="631" t="s">
        <v>1494</v>
      </c>
    </row>
    <row r="12" spans="2:11" ht="16" thickBot="1">
      <c r="B12" s="620"/>
      <c r="C12" s="632"/>
      <c r="D12" s="633"/>
      <c r="E12" s="633"/>
      <c r="F12" s="634"/>
      <c r="G12" s="635"/>
      <c r="H12" s="636"/>
      <c r="I12" s="636"/>
      <c r="J12" s="636"/>
      <c r="K12" s="636"/>
    </row>
    <row r="13" spans="1:14" ht="16" thickBot="1">
      <c r="A13" s="584">
        <v>1</v>
      </c>
      <c r="B13" s="637"/>
      <c r="D13" s="638"/>
      <c r="E13" s="639"/>
      <c r="F13" s="640"/>
      <c r="G13" s="641"/>
      <c r="H13" s="1096" t="s">
        <v>1569</v>
      </c>
      <c r="I13" s="1097"/>
      <c r="J13" s="1098"/>
      <c r="K13" s="642" t="s">
        <v>1570</v>
      </c>
      <c r="N13" s="1014"/>
    </row>
    <row r="14" spans="1:14" ht="15.5">
      <c r="A14" s="584">
        <f>A13+1</f>
        <v>2</v>
      </c>
      <c r="B14" s="637"/>
      <c r="C14" s="643" t="s">
        <v>797</v>
      </c>
      <c r="D14" s="638"/>
      <c r="E14" s="639"/>
      <c r="F14" s="640"/>
      <c r="G14" s="644"/>
      <c r="H14" s="645"/>
      <c r="I14" s="645"/>
      <c r="J14" s="646"/>
      <c r="K14" s="647"/>
      <c r="N14" s="647"/>
    </row>
    <row r="15" spans="1:15" ht="15.5">
      <c r="A15" s="584">
        <f t="shared" si="0" ref="A15:A23">A14+1</f>
        <v>3</v>
      </c>
      <c r="B15" s="637">
        <v>352</v>
      </c>
      <c r="C15" s="648" t="s">
        <v>1008</v>
      </c>
      <c r="D15" s="638" t="s">
        <v>1033</v>
      </c>
      <c r="E15" s="638" t="s">
        <v>1033</v>
      </c>
      <c r="F15" s="649" t="s">
        <v>1033</v>
      </c>
      <c r="G15" s="1005">
        <v>0.018720000000000001</v>
      </c>
      <c r="H15" s="578">
        <v>75390205</v>
      </c>
      <c r="I15" s="578">
        <v>20575797</v>
      </c>
      <c r="J15" s="597">
        <f t="shared" si="1" ref="J15:J22">H15-I15</f>
        <v>54814408</v>
      </c>
      <c r="K15" s="650">
        <f>IF(G15="N/A",0,G15*H15)</f>
        <v>1411304.6376</v>
      </c>
      <c r="N15" s="653"/>
      <c r="O15" s="1015"/>
    </row>
    <row r="16" spans="1:15" ht="15.5">
      <c r="A16" s="584">
        <f t="shared" si="0"/>
        <v>4</v>
      </c>
      <c r="B16" s="637">
        <v>353</v>
      </c>
      <c r="C16" s="648" t="s">
        <v>1009</v>
      </c>
      <c r="D16" s="638" t="s">
        <v>1033</v>
      </c>
      <c r="E16" s="638" t="s">
        <v>1033</v>
      </c>
      <c r="F16" s="649" t="s">
        <v>1033</v>
      </c>
      <c r="G16" s="1005">
        <v>0.017493999999999999</v>
      </c>
      <c r="H16" s="578">
        <v>854998094</v>
      </c>
      <c r="I16" s="578">
        <v>195819068</v>
      </c>
      <c r="J16" s="597">
        <f t="shared" si="1"/>
        <v>659179026</v>
      </c>
      <c r="K16" s="650">
        <f t="shared" si="2" ref="K16:K22">IF(G16="N/A",0,G16*H16)</f>
        <v>14957336.656436</v>
      </c>
      <c r="N16" s="653"/>
      <c r="O16" s="1015"/>
    </row>
    <row r="17" spans="1:15" ht="15.5">
      <c r="A17" s="584">
        <f t="shared" si="0"/>
        <v>5</v>
      </c>
      <c r="B17" s="637">
        <v>354</v>
      </c>
      <c r="C17" s="648" t="s">
        <v>1010</v>
      </c>
      <c r="D17" s="638" t="s">
        <v>1033</v>
      </c>
      <c r="E17" s="638" t="s">
        <v>1033</v>
      </c>
      <c r="F17" s="649" t="s">
        <v>1033</v>
      </c>
      <c r="G17" s="1005">
        <v>0.012812000000000001</v>
      </c>
      <c r="H17" s="578">
        <v>286188012</v>
      </c>
      <c r="I17" s="578">
        <v>157330075</v>
      </c>
      <c r="J17" s="597">
        <f t="shared" si="1"/>
        <v>128857937</v>
      </c>
      <c r="K17" s="650">
        <f t="shared" si="2"/>
        <v>3666640.809744</v>
      </c>
      <c r="N17" s="653"/>
      <c r="O17" s="1015"/>
    </row>
    <row r="18" spans="1:15" ht="15.5">
      <c r="A18" s="584">
        <f t="shared" si="0"/>
        <v>6</v>
      </c>
      <c r="B18" s="637">
        <v>355</v>
      </c>
      <c r="C18" s="648" t="s">
        <v>1012</v>
      </c>
      <c r="D18" s="638" t="s">
        <v>1033</v>
      </c>
      <c r="E18" s="638" t="s">
        <v>1033</v>
      </c>
      <c r="F18" s="649" t="s">
        <v>1033</v>
      </c>
      <c r="G18" s="1005">
        <v>0.015094</v>
      </c>
      <c r="H18" s="578">
        <v>17313544</v>
      </c>
      <c r="I18" s="578">
        <v>2740693</v>
      </c>
      <c r="J18" s="597">
        <f t="shared" si="1"/>
        <v>14572851</v>
      </c>
      <c r="K18" s="650">
        <f t="shared" si="2"/>
        <v>261330.63313599999</v>
      </c>
      <c r="N18" s="653"/>
      <c r="O18" s="1015"/>
    </row>
    <row r="19" spans="1:15" ht="15.5">
      <c r="A19" s="584">
        <f t="shared" si="0"/>
        <v>7</v>
      </c>
      <c r="B19" s="637">
        <v>356</v>
      </c>
      <c r="C19" s="648" t="s">
        <v>1013</v>
      </c>
      <c r="D19" s="638" t="s">
        <v>1033</v>
      </c>
      <c r="E19" s="638" t="s">
        <v>1033</v>
      </c>
      <c r="F19" s="649" t="s">
        <v>1033</v>
      </c>
      <c r="G19" s="1005">
        <v>0.015664000000000001</v>
      </c>
      <c r="H19" s="578">
        <v>195917893</v>
      </c>
      <c r="I19" s="578">
        <v>81514576</v>
      </c>
      <c r="J19" s="597">
        <f t="shared" si="1"/>
        <v>114403317</v>
      </c>
      <c r="K19" s="650">
        <f t="shared" si="2"/>
        <v>3068857.8759520003</v>
      </c>
      <c r="N19" s="653"/>
      <c r="O19" s="1015"/>
    </row>
    <row r="20" spans="1:15" ht="15.5">
      <c r="A20" s="584">
        <f t="shared" si="0"/>
        <v>8</v>
      </c>
      <c r="B20" s="637">
        <v>357</v>
      </c>
      <c r="C20" s="648" t="s">
        <v>1014</v>
      </c>
      <c r="D20" s="638" t="s">
        <v>1033</v>
      </c>
      <c r="E20" s="638" t="s">
        <v>1033</v>
      </c>
      <c r="F20" s="649" t="s">
        <v>1033</v>
      </c>
      <c r="G20" s="1005">
        <v>0.015793000000000001</v>
      </c>
      <c r="H20" s="578">
        <v>15245948</v>
      </c>
      <c r="I20" s="578">
        <v>3987566</v>
      </c>
      <c r="J20" s="597">
        <f t="shared" si="1"/>
        <v>11258382</v>
      </c>
      <c r="K20" s="650">
        <f t="shared" si="2"/>
        <v>240779.25676400002</v>
      </c>
      <c r="N20" s="653"/>
      <c r="O20" s="1015"/>
    </row>
    <row r="21" spans="1:15" ht="15.5">
      <c r="A21" s="584">
        <f t="shared" si="0"/>
        <v>9</v>
      </c>
      <c r="B21" s="637">
        <v>358</v>
      </c>
      <c r="C21" s="648" t="s">
        <v>1015</v>
      </c>
      <c r="D21" s="638" t="s">
        <v>1033</v>
      </c>
      <c r="E21" s="638" t="s">
        <v>1033</v>
      </c>
      <c r="F21" s="649" t="s">
        <v>1033</v>
      </c>
      <c r="G21" s="1005">
        <v>0.015723000000000001</v>
      </c>
      <c r="H21" s="651">
        <v>101104523</v>
      </c>
      <c r="I21" s="651">
        <v>43879010</v>
      </c>
      <c r="J21" s="652">
        <f t="shared" si="1"/>
        <v>57225513</v>
      </c>
      <c r="K21" s="653">
        <f t="shared" si="2"/>
        <v>1589666.4151290001</v>
      </c>
      <c r="N21" s="653"/>
      <c r="O21" s="1015"/>
    </row>
    <row r="22" spans="1:15" ht="15.5">
      <c r="A22" s="584">
        <f t="shared" si="0"/>
        <v>10</v>
      </c>
      <c r="B22" s="637">
        <v>359</v>
      </c>
      <c r="C22" s="648" t="s">
        <v>1016</v>
      </c>
      <c r="D22" s="638" t="s">
        <v>1033</v>
      </c>
      <c r="E22" s="638" t="s">
        <v>1033</v>
      </c>
      <c r="F22" s="649" t="s">
        <v>1033</v>
      </c>
      <c r="G22" s="1005">
        <v>0.003715</v>
      </c>
      <c r="H22" s="651">
        <v>2491293</v>
      </c>
      <c r="I22" s="651">
        <v>2057672</v>
      </c>
      <c r="J22" s="652">
        <f t="shared" si="1"/>
        <v>433621</v>
      </c>
      <c r="K22" s="653">
        <f t="shared" si="2"/>
        <v>9255.1534950000005</v>
      </c>
      <c r="N22" s="653"/>
      <c r="O22" s="1015"/>
    </row>
    <row r="23" spans="1:15" ht="16" thickBot="1">
      <c r="A23" s="584">
        <f t="shared" si="0"/>
        <v>11</v>
      </c>
      <c r="B23" s="637"/>
      <c r="C23" s="648"/>
      <c r="D23" s="638"/>
      <c r="E23" s="638"/>
      <c r="F23" s="638"/>
      <c r="G23" s="1005"/>
      <c r="H23" s="654">
        <f>SUM(H15:H22)</f>
        <v>1548649512</v>
      </c>
      <c r="I23" s="654">
        <f>SUM(I15:I22)</f>
        <v>507904457</v>
      </c>
      <c r="J23" s="654">
        <f>SUM(J15:J22)</f>
        <v>1040745055</v>
      </c>
      <c r="K23" s="654">
        <f>SUM(K15:K22)</f>
        <v>25205171.438255999</v>
      </c>
      <c r="M23" s="655"/>
      <c r="N23" s="1016"/>
      <c r="O23" s="1017"/>
    </row>
    <row r="24" spans="2:14" ht="16" thickTop="1">
      <c r="B24" s="637"/>
      <c r="C24" s="648"/>
      <c r="D24" s="638"/>
      <c r="E24" s="638"/>
      <c r="F24" s="638"/>
      <c r="G24" s="1005"/>
      <c r="H24" s="652"/>
      <c r="I24" s="652"/>
      <c r="J24" s="652"/>
      <c r="K24" s="653"/>
      <c r="N24" s="653"/>
    </row>
    <row r="25" spans="1:14" ht="15.5">
      <c r="A25" s="584">
        <f>A23+1</f>
        <v>12</v>
      </c>
      <c r="B25" s="637"/>
      <c r="C25" s="643" t="s">
        <v>903</v>
      </c>
      <c r="F25" s="593"/>
      <c r="G25" s="1006"/>
      <c r="H25" s="618"/>
      <c r="J25" s="646"/>
      <c r="K25" s="647"/>
      <c r="N25" s="647"/>
    </row>
    <row r="26" spans="1:15" ht="15" customHeight="1">
      <c r="A26" s="584">
        <f>A25+1</f>
        <v>13</v>
      </c>
      <c r="B26" s="637">
        <v>390</v>
      </c>
      <c r="C26" s="648" t="s">
        <v>1008</v>
      </c>
      <c r="D26" s="638">
        <v>40</v>
      </c>
      <c r="E26" s="639" t="s">
        <v>1017</v>
      </c>
      <c r="F26" s="656">
        <v>27.43</v>
      </c>
      <c r="G26" s="1007">
        <v>0.028378</v>
      </c>
      <c r="H26" s="658">
        <v>49393587</v>
      </c>
      <c r="I26" s="658">
        <v>11771540</v>
      </c>
      <c r="J26" s="659">
        <f t="shared" si="3" ref="J26:J37">H26-I26</f>
        <v>37622047</v>
      </c>
      <c r="K26" s="659">
        <f t="shared" si="4" ref="K26:K37">IF(G26="N/A",0,G26*H26)</f>
        <v>1401691.2118860001</v>
      </c>
      <c r="N26" s="1018"/>
      <c r="O26" s="1015"/>
    </row>
    <row r="27" spans="1:15" ht="15" customHeight="1">
      <c r="A27" s="584">
        <f t="shared" si="5" ref="A27:A38">A26+1</f>
        <v>14</v>
      </c>
      <c r="B27" s="637">
        <v>391.10</v>
      </c>
      <c r="C27" s="648" t="s">
        <v>1018</v>
      </c>
      <c r="D27" s="638">
        <v>10</v>
      </c>
      <c r="E27" s="639" t="s">
        <v>1019</v>
      </c>
      <c r="F27" s="656">
        <v>3.26</v>
      </c>
      <c r="G27" s="1007">
        <v>0.18121999999999999</v>
      </c>
      <c r="H27" s="658">
        <v>83462</v>
      </c>
      <c r="I27" s="658">
        <v>56913</v>
      </c>
      <c r="J27" s="659">
        <f t="shared" si="3"/>
        <v>26549</v>
      </c>
      <c r="K27" s="659">
        <f t="shared" si="4"/>
        <v>15124.983639999999</v>
      </c>
      <c r="N27" s="1018"/>
      <c r="O27" s="1015"/>
    </row>
    <row r="28" spans="1:17" ht="15" customHeight="1">
      <c r="A28" s="584">
        <f t="shared" si="5"/>
        <v>15</v>
      </c>
      <c r="B28" s="637">
        <v>391.20</v>
      </c>
      <c r="C28" s="648" t="s">
        <v>1020</v>
      </c>
      <c r="D28" s="638">
        <v>15</v>
      </c>
      <c r="E28" s="639" t="s">
        <v>1019</v>
      </c>
      <c r="F28" s="656">
        <v>8.3800000000000008</v>
      </c>
      <c r="G28" s="1007">
        <v>0.10989</v>
      </c>
      <c r="H28" s="658">
        <v>509566</v>
      </c>
      <c r="I28" s="658">
        <v>113111</v>
      </c>
      <c r="J28" s="659">
        <f t="shared" si="3"/>
        <v>396455</v>
      </c>
      <c r="K28" s="659">
        <f t="shared" si="4"/>
        <v>55996.207739999998</v>
      </c>
      <c r="N28" s="1018"/>
      <c r="O28" s="1015"/>
      <c r="P28" s="660"/>
      <c r="Q28" s="661"/>
    </row>
    <row r="29" spans="1:16" ht="15" customHeight="1">
      <c r="A29" s="584">
        <f t="shared" si="5"/>
        <v>16</v>
      </c>
      <c r="B29" s="637">
        <v>391.30</v>
      </c>
      <c r="C29" s="648" t="s">
        <v>1021</v>
      </c>
      <c r="D29" s="638">
        <v>5</v>
      </c>
      <c r="E29" s="639" t="s">
        <v>1019</v>
      </c>
      <c r="F29" s="656">
        <v>2.89</v>
      </c>
      <c r="G29" s="1007">
        <v>0.18504000000000001</v>
      </c>
      <c r="H29" s="658">
        <v>22992598</v>
      </c>
      <c r="I29" s="658">
        <v>7539039</v>
      </c>
      <c r="J29" s="659">
        <f t="shared" si="3"/>
        <v>15453559</v>
      </c>
      <c r="K29" s="659">
        <f t="shared" si="4"/>
        <v>4254550.3339200001</v>
      </c>
      <c r="N29" s="1018"/>
      <c r="O29" s="1015"/>
      <c r="P29" s="660"/>
    </row>
    <row r="30" spans="1:16" ht="15" customHeight="1">
      <c r="A30" s="584">
        <f t="shared" si="5"/>
        <v>17</v>
      </c>
      <c r="B30" s="637">
        <v>391.40</v>
      </c>
      <c r="C30" s="648" t="s">
        <v>1022</v>
      </c>
      <c r="D30" s="638">
        <v>5</v>
      </c>
      <c r="E30" s="639" t="s">
        <v>1019</v>
      </c>
      <c r="F30" s="656">
        <v>2.89</v>
      </c>
      <c r="G30" s="1007">
        <v>0.118383</v>
      </c>
      <c r="H30" s="658">
        <v>2902800</v>
      </c>
      <c r="I30" s="658">
        <v>1901872</v>
      </c>
      <c r="J30" s="659">
        <f t="shared" si="3"/>
        <v>1000928</v>
      </c>
      <c r="K30" s="659">
        <f t="shared" si="4"/>
        <v>343642.17239999998</v>
      </c>
      <c r="N30" s="1018"/>
      <c r="O30" s="1015"/>
      <c r="P30" s="660"/>
    </row>
    <row r="31" spans="1:15" ht="15" customHeight="1">
      <c r="A31" s="584">
        <f t="shared" si="5"/>
        <v>18</v>
      </c>
      <c r="B31" s="637">
        <v>393</v>
      </c>
      <c r="C31" s="648" t="s">
        <v>1023</v>
      </c>
      <c r="D31" s="638">
        <v>15</v>
      </c>
      <c r="E31" s="639" t="s">
        <v>1019</v>
      </c>
      <c r="F31" s="656">
        <v>11.32</v>
      </c>
      <c r="G31" s="1007">
        <v>0.086817000000000005</v>
      </c>
      <c r="H31" s="658">
        <v>46470</v>
      </c>
      <c r="I31" s="658">
        <v>6982</v>
      </c>
      <c r="J31" s="659">
        <f t="shared" si="3"/>
        <v>39488</v>
      </c>
      <c r="K31" s="659">
        <f t="shared" si="4"/>
        <v>4034.3859900000002</v>
      </c>
      <c r="N31" s="1018"/>
      <c r="O31" s="1015"/>
    </row>
    <row r="32" spans="1:15" ht="15" customHeight="1">
      <c r="A32" s="584">
        <f t="shared" si="5"/>
        <v>19</v>
      </c>
      <c r="B32" s="637">
        <v>394</v>
      </c>
      <c r="C32" s="648" t="s">
        <v>1024</v>
      </c>
      <c r="D32" s="638">
        <v>15</v>
      </c>
      <c r="E32" s="639" t="s">
        <v>1019</v>
      </c>
      <c r="F32" s="656">
        <v>9.99</v>
      </c>
      <c r="G32" s="1007">
        <v>0.067895999999999998</v>
      </c>
      <c r="H32" s="658">
        <v>34588353</v>
      </c>
      <c r="I32" s="658">
        <v>10806819</v>
      </c>
      <c r="J32" s="659">
        <f t="shared" si="3"/>
        <v>23781534</v>
      </c>
      <c r="K32" s="659">
        <f t="shared" si="4"/>
        <v>2348410.8152879998</v>
      </c>
      <c r="N32" s="1018"/>
      <c r="O32" s="1015"/>
    </row>
    <row r="33" spans="1:15" ht="15" customHeight="1">
      <c r="A33" s="584">
        <f t="shared" si="5"/>
        <v>20</v>
      </c>
      <c r="B33" s="637">
        <v>395.10</v>
      </c>
      <c r="C33" s="648" t="s">
        <v>1025</v>
      </c>
      <c r="D33" s="638">
        <v>20</v>
      </c>
      <c r="E33" s="639" t="s">
        <v>1019</v>
      </c>
      <c r="F33" s="656">
        <v>8.58</v>
      </c>
      <c r="G33" s="1007">
        <v>0.044040000000000003</v>
      </c>
      <c r="H33" s="658">
        <v>311026</v>
      </c>
      <c r="I33" s="658">
        <v>214531</v>
      </c>
      <c r="J33" s="659">
        <f t="shared" si="3"/>
        <v>96495</v>
      </c>
      <c r="K33" s="659">
        <f t="shared" si="4"/>
        <v>13697.585040000002</v>
      </c>
      <c r="N33" s="1018"/>
      <c r="O33" s="1015"/>
    </row>
    <row r="34" spans="1:15" ht="15" customHeight="1">
      <c r="A34" s="584">
        <f t="shared" si="5"/>
        <v>21</v>
      </c>
      <c r="B34" s="637">
        <v>395.20</v>
      </c>
      <c r="C34" s="648" t="s">
        <v>1026</v>
      </c>
      <c r="D34" s="638">
        <v>15</v>
      </c>
      <c r="E34" s="639" t="s">
        <v>1019</v>
      </c>
      <c r="F34" s="656">
        <v>5.50</v>
      </c>
      <c r="G34" s="1007">
        <v>0.064772999999999997</v>
      </c>
      <c r="H34" s="658">
        <v>101381</v>
      </c>
      <c r="I34" s="658">
        <v>75266</v>
      </c>
      <c r="J34" s="659">
        <f t="shared" si="3"/>
        <v>26115</v>
      </c>
      <c r="K34" s="659">
        <f t="shared" si="4"/>
        <v>6566.7515130000002</v>
      </c>
      <c r="N34" s="1018"/>
      <c r="O34" s="1015"/>
    </row>
    <row r="35" spans="1:15" ht="15" customHeight="1">
      <c r="A35" s="584">
        <f t="shared" si="5"/>
        <v>22</v>
      </c>
      <c r="B35" s="637">
        <v>397</v>
      </c>
      <c r="C35" s="648" t="s">
        <v>1027</v>
      </c>
      <c r="D35" s="638">
        <v>20</v>
      </c>
      <c r="E35" s="639" t="s">
        <v>1028</v>
      </c>
      <c r="F35" s="656">
        <v>15.53</v>
      </c>
      <c r="G35" s="1007">
        <v>0.048406999999999999</v>
      </c>
      <c r="H35" s="658">
        <v>125639703</v>
      </c>
      <c r="I35" s="658">
        <v>29840526</v>
      </c>
      <c r="J35" s="659">
        <f t="shared" si="3"/>
        <v>95799177</v>
      </c>
      <c r="K35" s="659">
        <f t="shared" si="4"/>
        <v>6081841.1031209994</v>
      </c>
      <c r="N35" s="1018"/>
      <c r="O35" s="1015"/>
    </row>
    <row r="36" spans="1:15" ht="15" customHeight="1">
      <c r="A36" s="584">
        <f t="shared" si="5"/>
        <v>23</v>
      </c>
      <c r="B36" s="637">
        <v>397.10</v>
      </c>
      <c r="C36" s="648" t="s">
        <v>1029</v>
      </c>
      <c r="D36" s="638">
        <v>15</v>
      </c>
      <c r="E36" s="639" t="s">
        <v>1030</v>
      </c>
      <c r="F36" s="656">
        <v>10.16</v>
      </c>
      <c r="G36" s="1007">
        <v>0.065693000000000001</v>
      </c>
      <c r="H36" s="658">
        <v>35480218</v>
      </c>
      <c r="I36" s="658">
        <v>12177653</v>
      </c>
      <c r="J36" s="659">
        <f t="shared" si="3"/>
        <v>23302565</v>
      </c>
      <c r="K36" s="659">
        <f t="shared" si="4"/>
        <v>2330801.9610740002</v>
      </c>
      <c r="N36" s="1018"/>
      <c r="O36" s="1015"/>
    </row>
    <row r="37" spans="1:15" ht="15" customHeight="1">
      <c r="A37" s="584">
        <f t="shared" si="5"/>
        <v>24</v>
      </c>
      <c r="B37" s="637">
        <v>398</v>
      </c>
      <c r="C37" s="648" t="s">
        <v>1031</v>
      </c>
      <c r="D37" s="638">
        <v>15</v>
      </c>
      <c r="E37" s="639" t="s">
        <v>1019</v>
      </c>
      <c r="F37" s="656">
        <v>1.74</v>
      </c>
      <c r="G37" s="1007">
        <v>0.118064</v>
      </c>
      <c r="H37" s="658">
        <v>652693</v>
      </c>
      <c r="I37" s="658">
        <v>590273</v>
      </c>
      <c r="J37" s="659">
        <f t="shared" si="3"/>
        <v>62420</v>
      </c>
      <c r="K37" s="659">
        <f t="shared" si="4"/>
        <v>77059.546352000005</v>
      </c>
      <c r="N37" s="1018"/>
      <c r="O37" s="1015"/>
    </row>
    <row r="38" spans="1:15" ht="15" customHeight="1" thickBot="1">
      <c r="A38" s="584">
        <f t="shared" si="5"/>
        <v>25</v>
      </c>
      <c r="B38" s="637"/>
      <c r="C38" s="648"/>
      <c r="D38" s="638"/>
      <c r="E38" s="638"/>
      <c r="F38" s="638"/>
      <c r="G38" s="662"/>
      <c r="H38" s="663">
        <f>SUM(H26:H37)</f>
        <v>272701857</v>
      </c>
      <c r="I38" s="663">
        <f>SUM(I26:I37)</f>
        <v>75094525</v>
      </c>
      <c r="J38" s="663">
        <f>SUM(J26:J37)</f>
        <v>197607332</v>
      </c>
      <c r="K38" s="663">
        <f>SUM(K26:K37)</f>
        <v>16933417.057963997</v>
      </c>
      <c r="M38" s="655"/>
      <c r="N38" s="669"/>
      <c r="O38" s="1017"/>
    </row>
    <row r="39" spans="2:13" ht="15" customHeight="1" thickTop="1">
      <c r="B39" s="665"/>
      <c r="C39" s="666"/>
      <c r="D39" s="638"/>
      <c r="E39" s="638"/>
      <c r="F39" s="638"/>
      <c r="G39" s="667"/>
      <c r="H39" s="669"/>
      <c r="I39" s="669"/>
      <c r="J39" s="669"/>
      <c r="K39" s="669"/>
      <c r="L39" s="148" t="s">
        <v>1541</v>
      </c>
      <c r="M39" s="655"/>
    </row>
    <row r="40" spans="2:13" ht="15" customHeight="1">
      <c r="B40" s="1092" t="s">
        <v>681</v>
      </c>
      <c r="C40" s="1092"/>
      <c r="D40" s="1092"/>
      <c r="E40" s="1092"/>
      <c r="F40" s="1092"/>
      <c r="G40" s="1092"/>
      <c r="H40" s="1092"/>
      <c r="I40" s="1092"/>
      <c r="J40" s="1092"/>
      <c r="K40" s="1092"/>
      <c r="L40" s="1092"/>
      <c r="M40" s="655"/>
    </row>
    <row r="41" spans="2:13" ht="15" customHeight="1">
      <c r="B41" s="1092" t="s">
        <v>1568</v>
      </c>
      <c r="C41" s="1092"/>
      <c r="D41" s="1092"/>
      <c r="E41" s="1092"/>
      <c r="F41" s="1092"/>
      <c r="G41" s="1092"/>
      <c r="H41" s="1092"/>
      <c r="I41" s="1092"/>
      <c r="J41" s="1092"/>
      <c r="K41" s="1092"/>
      <c r="L41" s="1092"/>
      <c r="M41" s="655"/>
    </row>
    <row r="42" spans="2:11" ht="15" customHeight="1">
      <c r="B42" s="623"/>
      <c r="C42" s="648"/>
      <c r="D42" s="664"/>
      <c r="E42" s="664"/>
      <c r="F42" s="664"/>
      <c r="G42" s="662"/>
      <c r="H42" s="659"/>
      <c r="I42" s="659"/>
      <c r="J42" s="659"/>
      <c r="K42" s="659"/>
    </row>
    <row r="43" spans="1:11" ht="15" customHeight="1">
      <c r="A43" s="584">
        <v>1</v>
      </c>
      <c r="B43" s="623"/>
      <c r="C43" s="643" t="s">
        <v>1032</v>
      </c>
      <c r="D43" s="593"/>
      <c r="E43" s="593"/>
      <c r="F43" s="593"/>
      <c r="G43" s="644"/>
      <c r="H43" s="650"/>
      <c r="I43" s="650"/>
      <c r="J43" s="646"/>
      <c r="K43" s="647"/>
    </row>
    <row r="44" spans="1:15" ht="15" customHeight="1">
      <c r="A44" s="584">
        <f>A43+1</f>
        <v>2</v>
      </c>
      <c r="B44" s="665">
        <v>303</v>
      </c>
      <c r="C44" s="666" t="s">
        <v>1503</v>
      </c>
      <c r="D44" s="638">
        <v>2</v>
      </c>
      <c r="E44" s="638" t="s">
        <v>1033</v>
      </c>
      <c r="F44" s="649" t="s">
        <v>1033</v>
      </c>
      <c r="G44" s="1008">
        <v>0.19855900000000001</v>
      </c>
      <c r="H44" s="658">
        <v>5552297.3600000003</v>
      </c>
      <c r="I44" s="658">
        <v>1102456.04</v>
      </c>
      <c r="J44" s="659">
        <f>H44-I44</f>
        <v>4449841.32</v>
      </c>
      <c r="K44" s="659">
        <f t="shared" si="6" ref="K44:K51">IF(G44="N/A",0,G44*H44)</f>
        <v>1102458.6115042402</v>
      </c>
      <c r="L44" s="668"/>
      <c r="N44" s="1018"/>
      <c r="O44" s="1015"/>
    </row>
    <row r="45" spans="1:15" ht="15" customHeight="1">
      <c r="A45" s="584">
        <f t="shared" si="7" ref="A45:A52">A44+1</f>
        <v>3</v>
      </c>
      <c r="B45" s="665">
        <v>303</v>
      </c>
      <c r="C45" s="666" t="s">
        <v>1504</v>
      </c>
      <c r="D45" s="638">
        <v>3</v>
      </c>
      <c r="E45" s="638" t="s">
        <v>1033</v>
      </c>
      <c r="F45" s="649" t="s">
        <v>1033</v>
      </c>
      <c r="G45" s="638" t="s">
        <v>1033</v>
      </c>
      <c r="H45" s="658">
        <v>0</v>
      </c>
      <c r="I45" s="658">
        <v>0</v>
      </c>
      <c r="J45" s="659">
        <f t="shared" si="8" ref="J45:J64">H45-I45</f>
        <v>0</v>
      </c>
      <c r="K45" s="659">
        <f t="shared" si="6"/>
        <v>0</v>
      </c>
      <c r="L45" s="668"/>
      <c r="N45" s="1018"/>
      <c r="O45" s="1015"/>
    </row>
    <row r="46" spans="1:15" ht="15" customHeight="1">
      <c r="A46" s="584">
        <f t="shared" si="7"/>
        <v>4</v>
      </c>
      <c r="B46" s="665">
        <v>303</v>
      </c>
      <c r="C46" s="666" t="s">
        <v>1505</v>
      </c>
      <c r="D46" s="638">
        <v>4</v>
      </c>
      <c r="E46" s="638" t="s">
        <v>1033</v>
      </c>
      <c r="F46" s="649" t="s">
        <v>1033</v>
      </c>
      <c r="G46" s="638" t="s">
        <v>1033</v>
      </c>
      <c r="H46" s="658">
        <v>0</v>
      </c>
      <c r="I46" s="658">
        <v>0</v>
      </c>
      <c r="J46" s="659">
        <f t="shared" si="8"/>
        <v>0</v>
      </c>
      <c r="K46" s="659">
        <f t="shared" si="6"/>
        <v>0</v>
      </c>
      <c r="L46" s="668"/>
      <c r="N46" s="1018"/>
      <c r="O46" s="1015"/>
    </row>
    <row r="47" spans="1:15" ht="15" customHeight="1">
      <c r="A47" s="584">
        <f t="shared" si="7"/>
        <v>5</v>
      </c>
      <c r="B47" s="665">
        <v>303</v>
      </c>
      <c r="C47" s="666" t="s">
        <v>1506</v>
      </c>
      <c r="D47" s="638">
        <v>5</v>
      </c>
      <c r="E47" s="638" t="s">
        <v>1033</v>
      </c>
      <c r="F47" s="649" t="s">
        <v>1033</v>
      </c>
      <c r="G47" s="1008">
        <v>0.19821800000000001</v>
      </c>
      <c r="H47" s="658">
        <v>11596262.640000001</v>
      </c>
      <c r="I47" s="658">
        <v>6329992.96</v>
      </c>
      <c r="J47" s="659">
        <f t="shared" si="8"/>
        <v>5266269.6800000006</v>
      </c>
      <c r="K47" s="659">
        <f t="shared" si="6"/>
        <v>2298587.9879755201</v>
      </c>
      <c r="L47" s="668"/>
      <c r="N47" s="1018"/>
      <c r="O47" s="1015"/>
    </row>
    <row r="48" spans="1:15" ht="15" customHeight="1">
      <c r="A48" s="584">
        <f t="shared" si="7"/>
        <v>6</v>
      </c>
      <c r="B48" s="665">
        <v>303</v>
      </c>
      <c r="C48" s="666" t="s">
        <v>1507</v>
      </c>
      <c r="D48" s="638">
        <v>7</v>
      </c>
      <c r="E48" s="638" t="s">
        <v>1033</v>
      </c>
      <c r="F48" s="649" t="s">
        <v>1033</v>
      </c>
      <c r="G48" s="638" t="s">
        <v>1033</v>
      </c>
      <c r="H48" s="658">
        <v>0</v>
      </c>
      <c r="I48" s="658">
        <v>0</v>
      </c>
      <c r="J48" s="659">
        <f t="shared" si="8"/>
        <v>0</v>
      </c>
      <c r="K48" s="659">
        <f t="shared" si="6"/>
        <v>0</v>
      </c>
      <c r="L48" s="668"/>
      <c r="N48" s="1018"/>
      <c r="O48" s="1015"/>
    </row>
    <row r="49" spans="1:15" ht="15" customHeight="1">
      <c r="A49" s="584">
        <f t="shared" si="7"/>
        <v>7</v>
      </c>
      <c r="B49" s="665">
        <v>303</v>
      </c>
      <c r="C49" s="666" t="s">
        <v>1508</v>
      </c>
      <c r="D49" s="638">
        <v>10</v>
      </c>
      <c r="E49" s="638" t="s">
        <v>1033</v>
      </c>
      <c r="F49" s="649" t="s">
        <v>1033</v>
      </c>
      <c r="G49" s="638" t="s">
        <v>1033</v>
      </c>
      <c r="H49" s="658">
        <v>0</v>
      </c>
      <c r="I49" s="658">
        <v>0</v>
      </c>
      <c r="J49" s="659">
        <f t="shared" si="8"/>
        <v>0</v>
      </c>
      <c r="K49" s="659">
        <f t="shared" si="6"/>
        <v>0</v>
      </c>
      <c r="L49" s="668"/>
      <c r="N49" s="1018"/>
      <c r="O49" s="1015"/>
    </row>
    <row r="50" spans="1:15" ht="15" customHeight="1">
      <c r="A50" s="584">
        <f t="shared" si="7"/>
        <v>8</v>
      </c>
      <c r="B50" s="665">
        <v>303</v>
      </c>
      <c r="C50" s="666" t="s">
        <v>1509</v>
      </c>
      <c r="D50" s="638">
        <v>13</v>
      </c>
      <c r="E50" s="638" t="s">
        <v>1033</v>
      </c>
      <c r="F50" s="649" t="s">
        <v>1033</v>
      </c>
      <c r="G50" s="638" t="s">
        <v>1033</v>
      </c>
      <c r="H50" s="658">
        <v>0</v>
      </c>
      <c r="I50" s="658">
        <v>0</v>
      </c>
      <c r="J50" s="659">
        <f t="shared" si="8"/>
        <v>0</v>
      </c>
      <c r="K50" s="659">
        <f t="shared" si="6"/>
        <v>0</v>
      </c>
      <c r="L50" s="668"/>
      <c r="N50" s="1018"/>
      <c r="O50" s="1015"/>
    </row>
    <row r="51" spans="1:15" ht="15" customHeight="1">
      <c r="A51" s="584">
        <f t="shared" si="7"/>
        <v>9</v>
      </c>
      <c r="B51" s="665">
        <v>303</v>
      </c>
      <c r="C51" s="666" t="s">
        <v>1510</v>
      </c>
      <c r="D51" s="638">
        <v>15</v>
      </c>
      <c r="E51" s="638" t="s">
        <v>1033</v>
      </c>
      <c r="F51" s="649" t="s">
        <v>1033</v>
      </c>
      <c r="G51" s="638" t="s">
        <v>1033</v>
      </c>
      <c r="H51" s="658">
        <v>0</v>
      </c>
      <c r="I51" s="658">
        <v>0</v>
      </c>
      <c r="J51" s="659">
        <f t="shared" si="8"/>
        <v>0</v>
      </c>
      <c r="K51" s="659">
        <f t="shared" si="6"/>
        <v>0</v>
      </c>
      <c r="L51" s="668"/>
      <c r="N51" s="1018"/>
      <c r="O51" s="1015"/>
    </row>
    <row r="52" spans="1:15" ht="16" thickBot="1">
      <c r="A52" s="584">
        <f t="shared" si="7"/>
        <v>10</v>
      </c>
      <c r="G52" s="1010"/>
      <c r="H52" s="663">
        <f>SUM(H44:H51)</f>
        <v>17148560</v>
      </c>
      <c r="I52" s="663">
        <f t="shared" si="9" ref="I52:K52">SUM(I44:I51)</f>
        <v>7432449</v>
      </c>
      <c r="J52" s="663">
        <f t="shared" si="9"/>
        <v>9716111</v>
      </c>
      <c r="K52" s="663">
        <f t="shared" si="9"/>
        <v>3401046.59947976</v>
      </c>
      <c r="N52" s="669"/>
      <c r="O52" s="1017"/>
    </row>
    <row r="53" spans="2:14" ht="15" customHeight="1" thickTop="1">
      <c r="B53" s="665"/>
      <c r="C53" s="666"/>
      <c r="D53" s="638"/>
      <c r="E53" s="638"/>
      <c r="F53" s="649"/>
      <c r="G53" s="1008"/>
      <c r="L53" s="667"/>
      <c r="N53" s="1017"/>
    </row>
    <row r="54" spans="1:15" ht="15" customHeight="1">
      <c r="A54" s="584">
        <f>A52+1</f>
        <v>11</v>
      </c>
      <c r="B54" s="665">
        <v>303</v>
      </c>
      <c r="C54" s="666" t="s">
        <v>1511</v>
      </c>
      <c r="D54" s="638">
        <v>2</v>
      </c>
      <c r="E54" s="638" t="s">
        <v>1033</v>
      </c>
      <c r="F54" s="649" t="s">
        <v>1033</v>
      </c>
      <c r="G54" s="638" t="s">
        <v>1033</v>
      </c>
      <c r="H54" s="658">
        <v>0</v>
      </c>
      <c r="I54" s="658">
        <v>0</v>
      </c>
      <c r="J54" s="659">
        <f>H54-I54</f>
        <v>0</v>
      </c>
      <c r="K54" s="659">
        <f t="shared" si="10" ref="K54:K61">IF(G54="N/A",0,G54*H54)</f>
        <v>0</v>
      </c>
      <c r="L54" s="668"/>
      <c r="N54" s="1018"/>
      <c r="O54" s="1015"/>
    </row>
    <row r="55" spans="1:15" ht="15" customHeight="1">
      <c r="A55" s="584">
        <f t="shared" si="11" ref="A55">A54+1</f>
        <v>12</v>
      </c>
      <c r="B55" s="665">
        <v>303</v>
      </c>
      <c r="C55" s="666" t="s">
        <v>1512</v>
      </c>
      <c r="D55" s="638">
        <v>3</v>
      </c>
      <c r="E55" s="638" t="s">
        <v>1033</v>
      </c>
      <c r="F55" s="649" t="s">
        <v>1033</v>
      </c>
      <c r="G55" s="638" t="s">
        <v>1033</v>
      </c>
      <c r="H55" s="658">
        <v>0</v>
      </c>
      <c r="I55" s="658">
        <v>0</v>
      </c>
      <c r="J55" s="659">
        <f t="shared" si="12" ref="J55:J61">H55-I55</f>
        <v>0</v>
      </c>
      <c r="K55" s="659">
        <f t="shared" si="10"/>
        <v>0</v>
      </c>
      <c r="L55" s="668"/>
      <c r="N55" s="1018"/>
      <c r="O55" s="1015"/>
    </row>
    <row r="56" spans="1:15" ht="15" customHeight="1">
      <c r="A56" s="584">
        <f>A55+1</f>
        <v>13</v>
      </c>
      <c r="B56" s="665">
        <v>303</v>
      </c>
      <c r="C56" s="666" t="s">
        <v>1513</v>
      </c>
      <c r="D56" s="638">
        <v>4</v>
      </c>
      <c r="E56" s="638" t="s">
        <v>1033</v>
      </c>
      <c r="F56" s="649" t="s">
        <v>1033</v>
      </c>
      <c r="G56" s="638" t="s">
        <v>1033</v>
      </c>
      <c r="H56" s="658">
        <v>0</v>
      </c>
      <c r="I56" s="658">
        <v>0</v>
      </c>
      <c r="J56" s="659">
        <f t="shared" si="12"/>
        <v>0</v>
      </c>
      <c r="K56" s="659">
        <f t="shared" si="10"/>
        <v>0</v>
      </c>
      <c r="L56" s="668"/>
      <c r="N56" s="1018"/>
      <c r="O56" s="1015"/>
    </row>
    <row r="57" spans="1:15" ht="15" customHeight="1">
      <c r="A57" s="584">
        <f t="shared" si="13" ref="A57:A66">A56+1</f>
        <v>14</v>
      </c>
      <c r="B57" s="665">
        <v>303</v>
      </c>
      <c r="C57" s="666" t="s">
        <v>1514</v>
      </c>
      <c r="D57" s="638">
        <v>5</v>
      </c>
      <c r="E57" s="638" t="s">
        <v>1033</v>
      </c>
      <c r="F57" s="649" t="s">
        <v>1033</v>
      </c>
      <c r="G57" s="1008">
        <v>0.153168</v>
      </c>
      <c r="H57" s="658">
        <v>18356109.869999997</v>
      </c>
      <c r="I57" s="658">
        <v>7733452.1500000004</v>
      </c>
      <c r="J57" s="659">
        <f t="shared" si="12"/>
        <v>10622657.719999997</v>
      </c>
      <c r="K57" s="659">
        <f t="shared" si="10"/>
        <v>2811568.6365681598</v>
      </c>
      <c r="L57" s="668"/>
      <c r="N57" s="1018"/>
      <c r="O57" s="1015"/>
    </row>
    <row r="58" spans="1:15" ht="15" customHeight="1">
      <c r="A58" s="584">
        <f t="shared" si="13"/>
        <v>15</v>
      </c>
      <c r="B58" s="665">
        <v>303</v>
      </c>
      <c r="C58" s="666" t="s">
        <v>1515</v>
      </c>
      <c r="D58" s="638">
        <v>7</v>
      </c>
      <c r="E58" s="638" t="s">
        <v>1033</v>
      </c>
      <c r="F58" s="649" t="s">
        <v>1033</v>
      </c>
      <c r="G58" s="638" t="s">
        <v>1033</v>
      </c>
      <c r="H58" s="658">
        <v>0</v>
      </c>
      <c r="I58" s="658">
        <v>0</v>
      </c>
      <c r="J58" s="659">
        <f t="shared" si="12"/>
        <v>0</v>
      </c>
      <c r="K58" s="659">
        <f t="shared" si="10"/>
        <v>0</v>
      </c>
      <c r="L58" s="668"/>
      <c r="N58" s="1018"/>
      <c r="O58" s="1015"/>
    </row>
    <row r="59" spans="1:15" ht="15" customHeight="1">
      <c r="A59" s="584">
        <f t="shared" si="13"/>
        <v>16</v>
      </c>
      <c r="B59" s="665">
        <v>303</v>
      </c>
      <c r="C59" s="666" t="s">
        <v>1516</v>
      </c>
      <c r="D59" s="638">
        <v>10</v>
      </c>
      <c r="E59" s="638" t="s">
        <v>1033</v>
      </c>
      <c r="F59" s="649" t="s">
        <v>1033</v>
      </c>
      <c r="G59" s="638" t="s">
        <v>1033</v>
      </c>
      <c r="H59" s="658">
        <v>0</v>
      </c>
      <c r="I59" s="658">
        <v>0</v>
      </c>
      <c r="J59" s="659">
        <f t="shared" si="12"/>
        <v>0</v>
      </c>
      <c r="K59" s="659">
        <f t="shared" si="10"/>
        <v>0</v>
      </c>
      <c r="L59" s="668"/>
      <c r="N59" s="1018"/>
      <c r="O59" s="1015"/>
    </row>
    <row r="60" spans="1:15" ht="15" customHeight="1">
      <c r="A60" s="584">
        <f t="shared" si="13"/>
        <v>17</v>
      </c>
      <c r="B60" s="665">
        <v>303</v>
      </c>
      <c r="C60" s="666" t="s">
        <v>1517</v>
      </c>
      <c r="D60" s="638">
        <v>13</v>
      </c>
      <c r="E60" s="638" t="s">
        <v>1033</v>
      </c>
      <c r="F60" s="649" t="s">
        <v>1033</v>
      </c>
      <c r="G60" s="638" t="s">
        <v>1033</v>
      </c>
      <c r="H60" s="658">
        <v>0</v>
      </c>
      <c r="I60" s="658">
        <v>0</v>
      </c>
      <c r="J60" s="659">
        <f t="shared" si="12"/>
        <v>0</v>
      </c>
      <c r="K60" s="659">
        <f t="shared" si="10"/>
        <v>0</v>
      </c>
      <c r="L60" s="668"/>
      <c r="N60" s="1018"/>
      <c r="O60" s="1015"/>
    </row>
    <row r="61" spans="1:15" ht="15" customHeight="1">
      <c r="A61" s="584">
        <f t="shared" si="13"/>
        <v>18</v>
      </c>
      <c r="B61" s="665">
        <v>303</v>
      </c>
      <c r="C61" s="666" t="s">
        <v>1518</v>
      </c>
      <c r="D61" s="638">
        <v>15</v>
      </c>
      <c r="E61" s="638" t="s">
        <v>1033</v>
      </c>
      <c r="F61" s="649" t="s">
        <v>1033</v>
      </c>
      <c r="G61" s="638" t="s">
        <v>1033</v>
      </c>
      <c r="H61" s="658">
        <v>0</v>
      </c>
      <c r="I61" s="658">
        <v>0</v>
      </c>
      <c r="J61" s="659">
        <f t="shared" si="12"/>
        <v>0</v>
      </c>
      <c r="K61" s="659">
        <f t="shared" si="10"/>
        <v>0</v>
      </c>
      <c r="L61" s="668"/>
      <c r="N61" s="1018"/>
      <c r="O61" s="1015"/>
    </row>
    <row r="62" spans="1:15" ht="15" customHeight="1" thickBot="1">
      <c r="A62" s="584">
        <f t="shared" si="13"/>
        <v>19</v>
      </c>
      <c r="B62" s="665"/>
      <c r="C62" s="666"/>
      <c r="D62" s="638"/>
      <c r="E62" s="638"/>
      <c r="F62" s="649"/>
      <c r="G62" s="667"/>
      <c r="H62" s="663">
        <f>SUM(H54:H61)</f>
        <v>18356109.869999997</v>
      </c>
      <c r="I62" s="663">
        <f t="shared" si="14" ref="I62:K62">SUM(I54:I61)</f>
        <v>7733452.1500000004</v>
      </c>
      <c r="J62" s="663">
        <f t="shared" si="14"/>
        <v>10622657.719999997</v>
      </c>
      <c r="K62" s="663">
        <f t="shared" si="14"/>
        <v>2811568.6365681598</v>
      </c>
      <c r="L62" s="1004"/>
      <c r="N62" s="669"/>
      <c r="O62" s="1017"/>
    </row>
    <row r="63" spans="2:14" ht="15" customHeight="1" thickTop="1">
      <c r="B63" s="665"/>
      <c r="C63" s="666"/>
      <c r="D63" s="638"/>
      <c r="E63" s="638"/>
      <c r="F63" s="649"/>
      <c r="G63" s="667"/>
      <c r="H63" s="659"/>
      <c r="I63" s="659"/>
      <c r="J63" s="659"/>
      <c r="K63" s="659"/>
      <c r="L63" s="1004"/>
      <c r="N63" s="1018"/>
    </row>
    <row r="64" spans="1:14" ht="15" customHeight="1">
      <c r="A64" s="584">
        <f>A62+1</f>
        <v>20</v>
      </c>
      <c r="B64" s="665">
        <v>303</v>
      </c>
      <c r="C64" s="666" t="s">
        <v>1530</v>
      </c>
      <c r="D64" s="638" t="s">
        <v>1033</v>
      </c>
      <c r="E64" s="638" t="s">
        <v>1033</v>
      </c>
      <c r="F64" s="649" t="s">
        <v>1033</v>
      </c>
      <c r="G64" s="638" t="s">
        <v>1033</v>
      </c>
      <c r="H64" s="658">
        <v>109482129.06</v>
      </c>
      <c r="I64" s="658">
        <v>88949479.040000007</v>
      </c>
      <c r="J64" s="659">
        <f t="shared" si="8"/>
        <v>20532650.019999996</v>
      </c>
      <c r="K64" s="659">
        <f>'4D - Intangible Pnt'!E105</f>
        <v>12591807.710000001</v>
      </c>
      <c r="L64" s="668"/>
      <c r="N64" s="1018"/>
    </row>
    <row r="65" spans="1:14" ht="15" customHeight="1">
      <c r="A65" s="584">
        <f t="shared" si="13"/>
        <v>21</v>
      </c>
      <c r="B65" s="665">
        <v>303</v>
      </c>
      <c r="C65" s="666" t="s">
        <v>1034</v>
      </c>
      <c r="D65" s="638" t="s">
        <v>1033</v>
      </c>
      <c r="E65" s="638" t="s">
        <v>1033</v>
      </c>
      <c r="F65" s="649" t="s">
        <v>1033</v>
      </c>
      <c r="G65" s="638" t="s">
        <v>1033</v>
      </c>
      <c r="H65" s="658">
        <v>17796758</v>
      </c>
      <c r="I65" s="658">
        <v>6870119</v>
      </c>
      <c r="J65" s="659">
        <f>H65-I65</f>
        <v>10926639</v>
      </c>
      <c r="K65" s="555" t="s">
        <v>703</v>
      </c>
      <c r="N65" s="1019"/>
    </row>
    <row r="66" spans="1:14" ht="15" customHeight="1" thickBot="1">
      <c r="A66" s="584">
        <f t="shared" si="13"/>
        <v>22</v>
      </c>
      <c r="B66" s="665"/>
      <c r="C66" s="666"/>
      <c r="D66" s="638"/>
      <c r="E66" s="638"/>
      <c r="F66" s="638"/>
      <c r="G66" s="667"/>
      <c r="H66" s="663">
        <f>SUM(H64:H65)</f>
        <v>127278887.06</v>
      </c>
      <c r="I66" s="663">
        <f t="shared" si="15" ref="I66:K66">SUM(I64:I65)</f>
        <v>95819598.040000007</v>
      </c>
      <c r="J66" s="663">
        <f t="shared" si="15"/>
        <v>31459289.019999996</v>
      </c>
      <c r="K66" s="663">
        <f t="shared" si="15"/>
        <v>12591807.710000001</v>
      </c>
      <c r="M66" s="655"/>
      <c r="N66" s="669"/>
    </row>
    <row r="67" spans="2:14" ht="15" customHeight="1" thickTop="1">
      <c r="B67" s="623"/>
      <c r="C67" s="648"/>
      <c r="D67" s="664"/>
      <c r="E67" s="664"/>
      <c r="F67" s="664"/>
      <c r="G67" s="657"/>
      <c r="H67" s="659"/>
      <c r="I67" s="659"/>
      <c r="J67" s="659"/>
      <c r="K67" s="659"/>
      <c r="N67" s="1018"/>
    </row>
    <row r="68" spans="1:14" ht="15.5">
      <c r="A68" s="584">
        <f>A66+1</f>
        <v>23</v>
      </c>
      <c r="B68" s="623"/>
      <c r="C68" s="643" t="s">
        <v>1529</v>
      </c>
      <c r="D68" s="593"/>
      <c r="E68" s="593"/>
      <c r="F68" s="593"/>
      <c r="G68" s="644"/>
      <c r="H68" s="650"/>
      <c r="I68" s="650"/>
      <c r="J68" s="646"/>
      <c r="K68" s="647"/>
      <c r="N68" s="647"/>
    </row>
    <row r="69" spans="1:15" ht="15.5">
      <c r="A69" s="584">
        <f t="shared" si="16" ref="A69:A96">A68+1</f>
        <v>24</v>
      </c>
      <c r="B69" s="637">
        <v>303</v>
      </c>
      <c r="C69" s="666" t="s">
        <v>1495</v>
      </c>
      <c r="D69" s="638">
        <v>2</v>
      </c>
      <c r="E69" s="638" t="s">
        <v>1033</v>
      </c>
      <c r="F69" s="649" t="s">
        <v>1033</v>
      </c>
      <c r="G69" s="638" t="s">
        <v>1033</v>
      </c>
      <c r="H69" s="658"/>
      <c r="I69" s="658"/>
      <c r="J69" s="659">
        <f t="shared" si="17" ref="J69:J95">H69-I69</f>
        <v>0</v>
      </c>
      <c r="K69" s="659">
        <f t="shared" si="18" ref="K69:K76">IF(G69="N/A",0,G69*H69)</f>
        <v>0</v>
      </c>
      <c r="L69" s="668"/>
      <c r="N69" s="1018"/>
      <c r="O69" s="1015"/>
    </row>
    <row r="70" spans="1:15" ht="15.5">
      <c r="A70" s="584">
        <f t="shared" si="16"/>
        <v>25</v>
      </c>
      <c r="B70" s="637">
        <v>303</v>
      </c>
      <c r="C70" s="666" t="s">
        <v>1496</v>
      </c>
      <c r="D70" s="638">
        <v>3</v>
      </c>
      <c r="E70" s="638" t="s">
        <v>1033</v>
      </c>
      <c r="F70" s="649" t="s">
        <v>1033</v>
      </c>
      <c r="G70" s="638" t="s">
        <v>1033</v>
      </c>
      <c r="H70" s="658">
        <v>0</v>
      </c>
      <c r="I70" s="658">
        <v>0</v>
      </c>
      <c r="J70" s="659">
        <f t="shared" si="17"/>
        <v>0</v>
      </c>
      <c r="K70" s="659">
        <f t="shared" si="18"/>
        <v>0</v>
      </c>
      <c r="L70" s="668"/>
      <c r="N70" s="1018"/>
      <c r="O70" s="1015"/>
    </row>
    <row r="71" spans="1:15" ht="15.5">
      <c r="A71" s="584">
        <f t="shared" si="16"/>
        <v>26</v>
      </c>
      <c r="B71" s="637">
        <v>303</v>
      </c>
      <c r="C71" s="666" t="s">
        <v>1497</v>
      </c>
      <c r="D71" s="638">
        <v>4</v>
      </c>
      <c r="E71" s="638" t="s">
        <v>1033</v>
      </c>
      <c r="F71" s="649" t="s">
        <v>1033</v>
      </c>
      <c r="G71" s="638" t="s">
        <v>1033</v>
      </c>
      <c r="H71" s="658">
        <v>0</v>
      </c>
      <c r="I71" s="658">
        <v>0</v>
      </c>
      <c r="J71" s="659">
        <f t="shared" si="17"/>
        <v>0</v>
      </c>
      <c r="K71" s="659">
        <f t="shared" si="18"/>
        <v>0</v>
      </c>
      <c r="L71" s="668"/>
      <c r="N71" s="1018"/>
      <c r="O71" s="1015"/>
    </row>
    <row r="72" spans="1:15" ht="15.5">
      <c r="A72" s="584">
        <f t="shared" si="16"/>
        <v>27</v>
      </c>
      <c r="B72" s="637">
        <v>303</v>
      </c>
      <c r="C72" s="666" t="s">
        <v>1498</v>
      </c>
      <c r="D72" s="638">
        <v>5</v>
      </c>
      <c r="E72" s="638" t="s">
        <v>1033</v>
      </c>
      <c r="F72" s="649" t="s">
        <v>1033</v>
      </c>
      <c r="G72" s="1008">
        <v>0.075644000000000003</v>
      </c>
      <c r="H72" s="658">
        <v>182916750.32320002</v>
      </c>
      <c r="I72" s="658">
        <v>150150823.4368</v>
      </c>
      <c r="J72" s="659">
        <f t="shared" si="17"/>
        <v>32765926.886400014</v>
      </c>
      <c r="K72" s="659">
        <f t="shared" si="18"/>
        <v>13836554.661448143</v>
      </c>
      <c r="L72" s="668"/>
      <c r="N72" s="1018"/>
      <c r="O72" s="1015"/>
    </row>
    <row r="73" spans="1:15" ht="15.5">
      <c r="A73" s="584">
        <f t="shared" si="16"/>
        <v>28</v>
      </c>
      <c r="B73" s="637">
        <v>303</v>
      </c>
      <c r="C73" s="666" t="s">
        <v>1499</v>
      </c>
      <c r="D73" s="638">
        <v>7</v>
      </c>
      <c r="E73" s="638" t="s">
        <v>1033</v>
      </c>
      <c r="F73" s="649" t="s">
        <v>1033</v>
      </c>
      <c r="G73" s="638" t="s">
        <v>1033</v>
      </c>
      <c r="H73" s="658">
        <v>0</v>
      </c>
      <c r="I73" s="658">
        <v>0</v>
      </c>
      <c r="J73" s="659">
        <f t="shared" si="17"/>
        <v>0</v>
      </c>
      <c r="K73" s="659">
        <f t="shared" si="18"/>
        <v>0</v>
      </c>
      <c r="L73" s="668"/>
      <c r="N73" s="1018"/>
      <c r="O73" s="1015"/>
    </row>
    <row r="74" spans="1:15" ht="15.5">
      <c r="A74" s="584">
        <f t="shared" si="16"/>
        <v>29</v>
      </c>
      <c r="B74" s="637">
        <v>303</v>
      </c>
      <c r="C74" s="666" t="s">
        <v>1500</v>
      </c>
      <c r="D74" s="638">
        <v>10</v>
      </c>
      <c r="E74" s="638" t="s">
        <v>1033</v>
      </c>
      <c r="F74" s="649" t="s">
        <v>1033</v>
      </c>
      <c r="G74" s="638" t="s">
        <v>1033</v>
      </c>
      <c r="H74" s="658">
        <v>0</v>
      </c>
      <c r="I74" s="658">
        <v>0</v>
      </c>
      <c r="J74" s="659">
        <f t="shared" si="17"/>
        <v>0</v>
      </c>
      <c r="K74" s="659">
        <f t="shared" si="18"/>
        <v>0</v>
      </c>
      <c r="L74" s="668"/>
      <c r="N74" s="1018"/>
      <c r="O74" s="1015"/>
    </row>
    <row r="75" spans="1:15" ht="15.5">
      <c r="A75" s="584">
        <f t="shared" si="16"/>
        <v>30</v>
      </c>
      <c r="B75" s="637">
        <v>303</v>
      </c>
      <c r="C75" s="666" t="s">
        <v>1501</v>
      </c>
      <c r="D75" s="638">
        <v>13</v>
      </c>
      <c r="E75" s="638" t="s">
        <v>1033</v>
      </c>
      <c r="F75" s="649" t="s">
        <v>1033</v>
      </c>
      <c r="G75" s="638" t="s">
        <v>1033</v>
      </c>
      <c r="H75" s="658">
        <v>0</v>
      </c>
      <c r="I75" s="658">
        <v>0</v>
      </c>
      <c r="J75" s="659">
        <f t="shared" si="17"/>
        <v>0</v>
      </c>
      <c r="K75" s="659">
        <f t="shared" si="18"/>
        <v>0</v>
      </c>
      <c r="L75" s="668"/>
      <c r="N75" s="1018"/>
      <c r="O75" s="1015"/>
    </row>
    <row r="76" spans="1:15" ht="15.5">
      <c r="A76" s="584">
        <f t="shared" si="16"/>
        <v>31</v>
      </c>
      <c r="B76" s="637">
        <v>303</v>
      </c>
      <c r="C76" s="666" t="s">
        <v>1502</v>
      </c>
      <c r="D76" s="638">
        <v>15</v>
      </c>
      <c r="E76" s="638" t="s">
        <v>1033</v>
      </c>
      <c r="F76" s="649" t="s">
        <v>1033</v>
      </c>
      <c r="G76" s="638" t="s">
        <v>1033</v>
      </c>
      <c r="H76" s="658">
        <v>0</v>
      </c>
      <c r="I76" s="658">
        <v>0</v>
      </c>
      <c r="J76" s="659">
        <f t="shared" si="17"/>
        <v>0</v>
      </c>
      <c r="K76" s="659">
        <f t="shared" si="18"/>
        <v>0</v>
      </c>
      <c r="L76" s="668"/>
      <c r="N76" s="1018"/>
      <c r="O76" s="1015"/>
    </row>
    <row r="77" spans="1:15" ht="15.5">
      <c r="A77" s="584">
        <f t="shared" si="16"/>
        <v>32</v>
      </c>
      <c r="B77" s="637">
        <v>303</v>
      </c>
      <c r="C77" s="666" t="s">
        <v>1034</v>
      </c>
      <c r="D77" s="638" t="s">
        <v>1033</v>
      </c>
      <c r="E77" s="638" t="s">
        <v>1033</v>
      </c>
      <c r="F77" s="649" t="s">
        <v>1033</v>
      </c>
      <c r="G77" s="638" t="s">
        <v>1033</v>
      </c>
      <c r="H77" s="658">
        <v>148882.16320000001</v>
      </c>
      <c r="I77" s="658">
        <v>120346.26560000001</v>
      </c>
      <c r="J77" s="659">
        <f t="shared" si="17"/>
        <v>28535.897599999997</v>
      </c>
      <c r="K77" s="670" t="s">
        <v>703</v>
      </c>
      <c r="N77" s="1020"/>
      <c r="O77" s="1015"/>
    </row>
    <row r="78" spans="1:15" ht="15.5">
      <c r="A78" s="584">
        <f t="shared" si="16"/>
        <v>33</v>
      </c>
      <c r="B78" s="637">
        <v>390</v>
      </c>
      <c r="C78" s="648" t="s">
        <v>1008</v>
      </c>
      <c r="D78" s="638">
        <v>50</v>
      </c>
      <c r="E78" s="639" t="s">
        <v>1017</v>
      </c>
      <c r="F78" s="671">
        <v>36.619999999999997</v>
      </c>
      <c r="G78" s="1008">
        <v>0.019491000000000001</v>
      </c>
      <c r="H78" s="658">
        <v>215979870.7712</v>
      </c>
      <c r="I78" s="658">
        <v>60401681.548800007</v>
      </c>
      <c r="J78" s="659">
        <f t="shared" si="17"/>
        <v>155578189.22240001</v>
      </c>
      <c r="K78" s="659">
        <f t="shared" si="19" ref="K78:K81">IF(G78="N/A",0,G78*H78)</f>
        <v>4209663.6612014594</v>
      </c>
      <c r="N78" s="1018"/>
      <c r="O78" s="1015"/>
    </row>
    <row r="79" spans="1:15" ht="15.5">
      <c r="A79" s="584">
        <f t="shared" si="16"/>
        <v>34</v>
      </c>
      <c r="B79" s="637">
        <v>391.10</v>
      </c>
      <c r="C79" s="648" t="s">
        <v>1018</v>
      </c>
      <c r="D79" s="638">
        <v>10</v>
      </c>
      <c r="E79" s="639" t="s">
        <v>1019</v>
      </c>
      <c r="F79" s="671">
        <v>2.95</v>
      </c>
      <c r="G79" s="1008">
        <v>0.247644</v>
      </c>
      <c r="H79" s="658">
        <v>70521.075200000007</v>
      </c>
      <c r="I79" s="658">
        <v>45123.212800000001</v>
      </c>
      <c r="J79" s="659">
        <f t="shared" si="17"/>
        <v>25397.862400000005</v>
      </c>
      <c r="K79" s="659">
        <f t="shared" si="19"/>
        <v>17464.121146828802</v>
      </c>
      <c r="N79" s="1018"/>
      <c r="O79" s="1015"/>
    </row>
    <row r="80" spans="1:15" ht="15.5">
      <c r="A80" s="584">
        <f t="shared" si="16"/>
        <v>35</v>
      </c>
      <c r="B80" s="637">
        <v>391.20</v>
      </c>
      <c r="C80" s="648" t="s">
        <v>1020</v>
      </c>
      <c r="D80" s="638">
        <v>15</v>
      </c>
      <c r="E80" s="639" t="s">
        <v>1019</v>
      </c>
      <c r="F80" s="671">
        <v>7.92</v>
      </c>
      <c r="G80" s="1008">
        <v>0.072808999999999999</v>
      </c>
      <c r="H80" s="658">
        <v>12284022.6688</v>
      </c>
      <c r="I80" s="658">
        <v>2668489.4080000003</v>
      </c>
      <c r="J80" s="659">
        <f t="shared" si="17"/>
        <v>9615533.2608000003</v>
      </c>
      <c r="K80" s="659">
        <f t="shared" si="19"/>
        <v>894387.40649265924</v>
      </c>
      <c r="N80" s="1018"/>
      <c r="O80" s="1015"/>
    </row>
    <row r="81" spans="1:15" ht="15.5">
      <c r="A81" s="584">
        <f t="shared" si="16"/>
        <v>36</v>
      </c>
      <c r="B81" s="637">
        <v>391.30</v>
      </c>
      <c r="C81" s="648" t="s">
        <v>1021</v>
      </c>
      <c r="D81" s="638">
        <v>5</v>
      </c>
      <c r="E81" s="639" t="s">
        <v>1019</v>
      </c>
      <c r="F81" s="671">
        <v>2.73</v>
      </c>
      <c r="G81" s="1008">
        <v>0.166017</v>
      </c>
      <c r="H81" s="658">
        <v>24952515.161600001</v>
      </c>
      <c r="I81" s="658">
        <v>11022998.656000001</v>
      </c>
      <c r="J81" s="659">
        <f t="shared" si="17"/>
        <v>13929516.5056</v>
      </c>
      <c r="K81" s="659">
        <f t="shared" si="19"/>
        <v>4142541.7095833472</v>
      </c>
      <c r="N81" s="1018"/>
      <c r="O81" s="1015"/>
    </row>
    <row r="82" spans="1:15" ht="15.5">
      <c r="A82" s="584">
        <f t="shared" si="16"/>
        <v>37</v>
      </c>
      <c r="B82" s="637">
        <v>392.10</v>
      </c>
      <c r="C82" s="648" t="s">
        <v>1035</v>
      </c>
      <c r="D82" s="638">
        <v>6</v>
      </c>
      <c r="E82" s="639" t="s">
        <v>1028</v>
      </c>
      <c r="F82" s="671">
        <v>4.58</v>
      </c>
      <c r="G82" s="667" t="s">
        <v>1033</v>
      </c>
      <c r="H82" s="658">
        <v>73114.892800000001</v>
      </c>
      <c r="I82" s="658">
        <v>72502.745600000009</v>
      </c>
      <c r="J82" s="659">
        <f t="shared" si="17"/>
        <v>612.14719999999215</v>
      </c>
      <c r="K82" s="670" t="s">
        <v>703</v>
      </c>
      <c r="M82" s="672"/>
      <c r="N82" s="1021"/>
      <c r="O82" s="1015"/>
    </row>
    <row r="83" spans="1:15" ht="15.5">
      <c r="A83" s="584">
        <f t="shared" si="16"/>
        <v>38</v>
      </c>
      <c r="B83" s="637">
        <v>392.20</v>
      </c>
      <c r="C83" s="648" t="s">
        <v>1036</v>
      </c>
      <c r="D83" s="638">
        <v>12</v>
      </c>
      <c r="E83" s="639" t="s">
        <v>1037</v>
      </c>
      <c r="F83" s="671">
        <v>7.95</v>
      </c>
      <c r="G83" s="667" t="s">
        <v>1033</v>
      </c>
      <c r="H83" s="658">
        <v>26035559.718400002</v>
      </c>
      <c r="I83" s="658">
        <v>12841583.360000001</v>
      </c>
      <c r="J83" s="659">
        <f t="shared" si="17"/>
        <v>13193976.3584</v>
      </c>
      <c r="K83" s="670" t="s">
        <v>703</v>
      </c>
      <c r="M83" s="672"/>
      <c r="N83" s="1021"/>
      <c r="O83" s="1015"/>
    </row>
    <row r="84" spans="1:15" ht="15.5">
      <c r="A84" s="584">
        <f t="shared" si="16"/>
        <v>39</v>
      </c>
      <c r="B84" s="637">
        <v>392.30</v>
      </c>
      <c r="C84" s="648" t="s">
        <v>1038</v>
      </c>
      <c r="D84" s="638">
        <v>14</v>
      </c>
      <c r="E84" s="639" t="s">
        <v>1011</v>
      </c>
      <c r="F84" s="671">
        <v>9.1300000000000008</v>
      </c>
      <c r="G84" s="667" t="s">
        <v>1033</v>
      </c>
      <c r="H84" s="658">
        <v>61724127.193600006</v>
      </c>
      <c r="I84" s="658">
        <v>28073053.4144</v>
      </c>
      <c r="J84" s="659">
        <f t="shared" si="17"/>
        <v>33651073.779200003</v>
      </c>
      <c r="K84" s="670" t="s">
        <v>703</v>
      </c>
      <c r="M84" s="672"/>
      <c r="N84" s="1021"/>
      <c r="O84" s="1015"/>
    </row>
    <row r="85" spans="1:15" ht="15.5">
      <c r="A85" s="584">
        <f t="shared" si="16"/>
        <v>40</v>
      </c>
      <c r="B85" s="637">
        <v>392.40</v>
      </c>
      <c r="C85" s="648" t="s">
        <v>1039</v>
      </c>
      <c r="D85" s="638">
        <v>11</v>
      </c>
      <c r="E85" s="639" t="s">
        <v>1040</v>
      </c>
      <c r="F85" s="671">
        <v>2.61</v>
      </c>
      <c r="G85" s="667" t="s">
        <v>1033</v>
      </c>
      <c r="H85" s="658">
        <v>218117.26080000002</v>
      </c>
      <c r="I85" s="658">
        <v>219829.5552</v>
      </c>
      <c r="J85" s="659">
        <f t="shared" si="17"/>
        <v>-1712.2943999999843</v>
      </c>
      <c r="K85" s="670" t="s">
        <v>703</v>
      </c>
      <c r="M85" s="672"/>
      <c r="N85" s="1021"/>
      <c r="O85" s="1015"/>
    </row>
    <row r="86" spans="1:15" ht="15.5">
      <c r="A86" s="584">
        <f t="shared" si="16"/>
        <v>41</v>
      </c>
      <c r="B86" s="637">
        <v>392.50</v>
      </c>
      <c r="C86" s="648" t="s">
        <v>1041</v>
      </c>
      <c r="D86" s="638">
        <v>15</v>
      </c>
      <c r="E86" s="639" t="s">
        <v>1042</v>
      </c>
      <c r="F86" s="671">
        <v>10</v>
      </c>
      <c r="G86" s="667" t="s">
        <v>1033</v>
      </c>
      <c r="H86" s="658">
        <v>3848912.2176000001</v>
      </c>
      <c r="I86" s="658">
        <v>1894612.7616000001</v>
      </c>
      <c r="J86" s="659">
        <f t="shared" si="17"/>
        <v>1954299.456</v>
      </c>
      <c r="K86" s="670" t="s">
        <v>703</v>
      </c>
      <c r="M86" s="672"/>
      <c r="N86" s="1021"/>
      <c r="O86" s="1015"/>
    </row>
    <row r="87" spans="1:15" ht="15.5">
      <c r="A87" s="584">
        <f t="shared" si="16"/>
        <v>42</v>
      </c>
      <c r="B87" s="637">
        <v>392.60</v>
      </c>
      <c r="C87" s="648" t="s">
        <v>1043</v>
      </c>
      <c r="D87" s="638">
        <v>15</v>
      </c>
      <c r="E87" s="639" t="s">
        <v>1042</v>
      </c>
      <c r="F87" s="671">
        <v>7.27</v>
      </c>
      <c r="G87" s="667" t="s">
        <v>1033</v>
      </c>
      <c r="H87" s="658">
        <v>3959867.0208000001</v>
      </c>
      <c r="I87" s="658">
        <v>2995333.8496000003</v>
      </c>
      <c r="J87" s="659">
        <f t="shared" si="17"/>
        <v>964533.17119999975</v>
      </c>
      <c r="K87" s="670" t="s">
        <v>703</v>
      </c>
      <c r="M87" s="672"/>
      <c r="N87" s="1021"/>
      <c r="O87" s="1015"/>
    </row>
    <row r="88" spans="1:15" ht="15.5">
      <c r="A88" s="584">
        <f t="shared" si="16"/>
        <v>43</v>
      </c>
      <c r="B88" s="637">
        <v>392.70</v>
      </c>
      <c r="C88" s="648" t="s">
        <v>1263</v>
      </c>
      <c r="D88" s="638" t="s">
        <v>1033</v>
      </c>
      <c r="E88" s="638" t="s">
        <v>1033</v>
      </c>
      <c r="F88" s="671">
        <v>8</v>
      </c>
      <c r="G88" s="667" t="s">
        <v>1033</v>
      </c>
      <c r="H88" s="658">
        <v>6956874.9056000002</v>
      </c>
      <c r="I88" s="658">
        <v>646136.20480000006</v>
      </c>
      <c r="J88" s="659">
        <f t="shared" si="17"/>
        <v>6310738.7007999998</v>
      </c>
      <c r="K88" s="670" t="s">
        <v>703</v>
      </c>
      <c r="N88" s="1021"/>
      <c r="O88" s="1015"/>
    </row>
    <row r="89" spans="1:15" ht="15.5">
      <c r="A89" s="584">
        <f t="shared" si="16"/>
        <v>44</v>
      </c>
      <c r="B89" s="637">
        <v>393</v>
      </c>
      <c r="C89" s="648" t="s">
        <v>1023</v>
      </c>
      <c r="D89" s="638">
        <v>15</v>
      </c>
      <c r="E89" s="639" t="s">
        <v>1019</v>
      </c>
      <c r="F89" s="671">
        <v>7.46</v>
      </c>
      <c r="G89" s="1008">
        <v>0.085151000000000004</v>
      </c>
      <c r="H89" s="658">
        <v>966049.48480000009</v>
      </c>
      <c r="I89" s="658">
        <v>233292.88960000002</v>
      </c>
      <c r="J89" s="659">
        <f t="shared" si="17"/>
        <v>732756.5952000001</v>
      </c>
      <c r="K89" s="659">
        <f t="shared" si="20" ref="K89:K91">IF(G89="N/A",0,G89*H89)</f>
        <v>82260.079680204813</v>
      </c>
      <c r="N89" s="1022"/>
      <c r="O89" s="1015"/>
    </row>
    <row r="90" spans="1:15" ht="15.5">
      <c r="A90" s="584">
        <f t="shared" si="16"/>
        <v>45</v>
      </c>
      <c r="B90" s="637">
        <v>394.10</v>
      </c>
      <c r="C90" s="648" t="s">
        <v>1044</v>
      </c>
      <c r="D90" s="638">
        <v>15</v>
      </c>
      <c r="E90" s="639" t="s">
        <v>1019</v>
      </c>
      <c r="F90" s="671">
        <v>5.50</v>
      </c>
      <c r="G90" s="1008">
        <v>0.94172299999999998</v>
      </c>
      <c r="H90" s="658">
        <v>9070.5536000000011</v>
      </c>
      <c r="I90" s="658">
        <v>-24898.931200000003</v>
      </c>
      <c r="J90" s="659">
        <f t="shared" si="17"/>
        <v>33969.484800000006</v>
      </c>
      <c r="K90" s="659">
        <f t="shared" si="20"/>
        <v>8541.9489478528012</v>
      </c>
      <c r="N90" s="1022"/>
      <c r="O90" s="1015"/>
    </row>
    <row r="91" spans="1:15" ht="15.5">
      <c r="A91" s="584">
        <f t="shared" si="16"/>
        <v>46</v>
      </c>
      <c r="B91" s="637">
        <v>394.20</v>
      </c>
      <c r="C91" s="648" t="s">
        <v>1045</v>
      </c>
      <c r="D91" s="638">
        <v>15</v>
      </c>
      <c r="E91" s="639" t="s">
        <v>1019</v>
      </c>
      <c r="F91" s="671">
        <v>10.25</v>
      </c>
      <c r="G91" s="1008">
        <v>0.025767999999999999</v>
      </c>
      <c r="H91" s="658">
        <v>805357.72160000005</v>
      </c>
      <c r="I91" s="658">
        <v>42163.980800000005</v>
      </c>
      <c r="J91" s="659">
        <f t="shared" si="17"/>
        <v>763193.74080000003</v>
      </c>
      <c r="K91" s="659">
        <f t="shared" si="20"/>
        <v>20752.457770188801</v>
      </c>
      <c r="M91" s="672"/>
      <c r="N91" s="1022"/>
      <c r="O91" s="1015"/>
    </row>
    <row r="92" spans="1:15" ht="15.5">
      <c r="A92" s="584">
        <f t="shared" si="16"/>
        <v>47</v>
      </c>
      <c r="B92" s="637">
        <v>394.30</v>
      </c>
      <c r="C92" s="648" t="s">
        <v>1046</v>
      </c>
      <c r="D92" s="638">
        <v>20</v>
      </c>
      <c r="E92" s="639" t="s">
        <v>1019</v>
      </c>
      <c r="F92" s="671">
        <v>8</v>
      </c>
      <c r="G92" s="667" t="s">
        <v>1033</v>
      </c>
      <c r="H92" s="658">
        <v>2089954.0864000002</v>
      </c>
      <c r="I92" s="658">
        <v>1190818.3808000002</v>
      </c>
      <c r="J92" s="659">
        <f t="shared" si="17"/>
        <v>899135.70559999999</v>
      </c>
      <c r="K92" s="670" t="s">
        <v>703</v>
      </c>
      <c r="M92" s="672"/>
      <c r="N92" s="1021"/>
      <c r="O92" s="1015"/>
    </row>
    <row r="93" spans="1:15" ht="15.5">
      <c r="A93" s="584">
        <f t="shared" si="16"/>
        <v>48</v>
      </c>
      <c r="B93" s="637">
        <v>396</v>
      </c>
      <c r="C93" s="648" t="s">
        <v>1047</v>
      </c>
      <c r="D93" s="638">
        <v>11</v>
      </c>
      <c r="E93" s="639" t="s">
        <v>1040</v>
      </c>
      <c r="F93" s="671">
        <v>3.17</v>
      </c>
      <c r="G93" s="667" t="s">
        <v>1033</v>
      </c>
      <c r="H93" s="658">
        <v>144499.53280000002</v>
      </c>
      <c r="I93" s="658">
        <v>141644.14720000001</v>
      </c>
      <c r="J93" s="659">
        <f t="shared" si="17"/>
        <v>2855.3856000000087</v>
      </c>
      <c r="K93" s="670" t="s">
        <v>703</v>
      </c>
      <c r="M93" s="672"/>
      <c r="N93" s="1021"/>
      <c r="O93" s="1015"/>
    </row>
    <row r="94" spans="1:15" ht="15.5">
      <c r="A94" s="584">
        <f t="shared" si="16"/>
        <v>49</v>
      </c>
      <c r="B94" s="637">
        <v>397</v>
      </c>
      <c r="C94" s="648" t="s">
        <v>1027</v>
      </c>
      <c r="D94" s="638">
        <v>20</v>
      </c>
      <c r="E94" s="639" t="s">
        <v>1028</v>
      </c>
      <c r="F94" s="671">
        <v>10.02</v>
      </c>
      <c r="G94" s="1008">
        <v>0.045162000000000001</v>
      </c>
      <c r="H94" s="658">
        <v>39280679.257600002</v>
      </c>
      <c r="I94" s="658">
        <v>13867388.249600001</v>
      </c>
      <c r="J94" s="659">
        <f t="shared" si="17"/>
        <v>25413291.008000001</v>
      </c>
      <c r="K94" s="670">
        <f t="shared" si="21" ref="K94:K95">IF(G94="N/A",0,G94*H94)</f>
        <v>1773994.0366317313</v>
      </c>
      <c r="N94" s="1021"/>
      <c r="O94" s="1015"/>
    </row>
    <row r="95" spans="1:15" ht="15.5">
      <c r="A95" s="584">
        <f t="shared" si="16"/>
        <v>50</v>
      </c>
      <c r="B95" s="637">
        <v>398</v>
      </c>
      <c r="C95" s="648" t="s">
        <v>1031</v>
      </c>
      <c r="D95" s="638">
        <v>15</v>
      </c>
      <c r="E95" s="639" t="s">
        <v>1019</v>
      </c>
      <c r="F95" s="671">
        <v>7.69</v>
      </c>
      <c r="G95" s="1008">
        <v>0.095527000000000001</v>
      </c>
      <c r="H95" s="658">
        <v>935456.96000000008</v>
      </c>
      <c r="I95" s="658">
        <v>376199.59040000004</v>
      </c>
      <c r="J95" s="659">
        <f t="shared" si="17"/>
        <v>559257.36960000009</v>
      </c>
      <c r="K95" s="659">
        <f t="shared" si="21"/>
        <v>89361.397017920011</v>
      </c>
      <c r="N95" s="1022"/>
      <c r="O95" s="1015"/>
    </row>
    <row r="96" spans="1:16" ht="16" thickBot="1">
      <c r="A96" s="584">
        <f t="shared" si="16"/>
        <v>51</v>
      </c>
      <c r="B96" s="623"/>
      <c r="C96" s="643"/>
      <c r="D96" s="593"/>
      <c r="E96" s="593"/>
      <c r="F96" s="593"/>
      <c r="G96" s="593"/>
      <c r="H96" s="673">
        <f>SUM(H69:H95)</f>
        <v>583400202.96959996</v>
      </c>
      <c r="I96" s="673">
        <f>SUM(I69:I95)</f>
        <v>286979122.7263999</v>
      </c>
      <c r="J96" s="673">
        <f>SUM(J69:J95)</f>
        <v>296421080.2432</v>
      </c>
      <c r="K96" s="673">
        <f>SUM(K69:K95)</f>
        <v>25075521.479920328</v>
      </c>
      <c r="N96" s="1023"/>
      <c r="O96" s="1017"/>
      <c r="P96" s="674"/>
    </row>
    <row r="97" spans="2:13" ht="15" customHeight="1" thickTop="1">
      <c r="B97" s="665"/>
      <c r="C97" s="666"/>
      <c r="D97" s="638"/>
      <c r="E97" s="638"/>
      <c r="F97" s="638"/>
      <c r="G97" s="667"/>
      <c r="H97" s="669"/>
      <c r="I97" s="669"/>
      <c r="J97" s="669"/>
      <c r="K97" s="669"/>
      <c r="L97" s="148" t="s">
        <v>1542</v>
      </c>
      <c r="M97" s="655"/>
    </row>
    <row r="98" spans="2:13" ht="15" customHeight="1">
      <c r="B98" s="1092" t="s">
        <v>681</v>
      </c>
      <c r="C98" s="1092"/>
      <c r="D98" s="1092"/>
      <c r="E98" s="1092"/>
      <c r="F98" s="1092"/>
      <c r="G98" s="1092"/>
      <c r="H98" s="1092"/>
      <c r="I98" s="1092"/>
      <c r="J98" s="1092"/>
      <c r="K98" s="1092"/>
      <c r="L98" s="1092"/>
      <c r="M98" s="655"/>
    </row>
    <row r="99" spans="2:13" ht="15" customHeight="1">
      <c r="B99" s="1092" t="s">
        <v>1568</v>
      </c>
      <c r="C99" s="1092"/>
      <c r="D99" s="1092"/>
      <c r="E99" s="1092"/>
      <c r="F99" s="1092"/>
      <c r="G99" s="1092"/>
      <c r="H99" s="1092"/>
      <c r="I99" s="1092"/>
      <c r="J99" s="1092"/>
      <c r="K99" s="1092"/>
      <c r="L99" s="1092"/>
      <c r="M99" s="655"/>
    </row>
    <row r="100" spans="2:12" ht="20.5" customHeight="1">
      <c r="B100" s="938"/>
      <c r="C100" s="994"/>
      <c r="D100" s="994"/>
      <c r="E100" s="994"/>
      <c r="F100" s="994"/>
      <c r="G100" s="994"/>
      <c r="H100" s="994"/>
      <c r="I100" s="994"/>
      <c r="J100" s="994"/>
      <c r="K100" s="994"/>
      <c r="L100" s="994"/>
    </row>
    <row r="101" spans="2:12" ht="20.5" customHeight="1">
      <c r="B101" s="938"/>
      <c r="C101" s="994"/>
      <c r="D101" s="995" t="s">
        <v>1533</v>
      </c>
      <c r="E101" s="995" t="s">
        <v>1533</v>
      </c>
      <c r="F101" s="995" t="str">
        <f>+E101</f>
        <v>Current Year</v>
      </c>
      <c r="G101" s="995" t="s">
        <v>1535</v>
      </c>
      <c r="H101" s="995" t="s">
        <v>1533</v>
      </c>
      <c r="I101" s="619" t="s">
        <v>1545</v>
      </c>
      <c r="J101" s="619" t="s">
        <v>1545</v>
      </c>
      <c r="K101" s="619" t="s">
        <v>1533</v>
      </c>
      <c r="L101" s="619" t="s">
        <v>1533</v>
      </c>
    </row>
    <row r="102" spans="2:13" ht="19.15" customHeight="1">
      <c r="B102" s="416"/>
      <c r="D102" s="995" t="s">
        <v>1580</v>
      </c>
      <c r="E102" s="995" t="s">
        <v>1581</v>
      </c>
      <c r="F102" s="995" t="s">
        <v>1532</v>
      </c>
      <c r="G102" s="995" t="s">
        <v>1536</v>
      </c>
      <c r="H102" s="995" t="s">
        <v>1544</v>
      </c>
      <c r="I102" s="619" t="s">
        <v>1546</v>
      </c>
      <c r="J102" s="619" t="s">
        <v>1546</v>
      </c>
      <c r="K102" s="619" t="s">
        <v>1546</v>
      </c>
      <c r="L102" s="619" t="s">
        <v>1546</v>
      </c>
      <c r="M102" s="991"/>
    </row>
    <row r="103" spans="2:13" ht="19.15" customHeight="1">
      <c r="B103" s="117"/>
      <c r="C103" s="117"/>
      <c r="D103" s="995" t="s">
        <v>1534</v>
      </c>
      <c r="E103" s="995" t="s">
        <v>1589</v>
      </c>
      <c r="F103" s="574" t="s">
        <v>1547</v>
      </c>
      <c r="G103" s="995"/>
      <c r="H103" s="995" t="s">
        <v>1536</v>
      </c>
      <c r="I103" s="619" t="s">
        <v>1532</v>
      </c>
      <c r="J103" s="619" t="s">
        <v>1532</v>
      </c>
      <c r="K103" s="619" t="s">
        <v>1532</v>
      </c>
      <c r="L103" s="619" t="s">
        <v>1532</v>
      </c>
      <c r="M103" s="991"/>
    </row>
    <row r="104" spans="2:13" ht="19.15" customHeight="1">
      <c r="B104" s="117"/>
      <c r="C104" s="117"/>
      <c r="D104" s="574" t="s">
        <v>1547</v>
      </c>
      <c r="E104" s="574" t="s">
        <v>1547</v>
      </c>
      <c r="G104" s="117"/>
      <c r="H104" s="575"/>
      <c r="I104" s="574" t="s">
        <v>1547</v>
      </c>
      <c r="J104" s="574" t="s">
        <v>17</v>
      </c>
      <c r="K104" s="574" t="s">
        <v>1547</v>
      </c>
      <c r="L104" s="574" t="s">
        <v>17</v>
      </c>
      <c r="M104" s="991"/>
    </row>
    <row r="105" spans="2:13" ht="19.15" customHeight="1">
      <c r="B105" s="620"/>
      <c r="D105" s="620" t="s">
        <v>987</v>
      </c>
      <c r="E105" s="620" t="s">
        <v>988</v>
      </c>
      <c r="F105" s="996" t="s">
        <v>1548</v>
      </c>
      <c r="G105" s="619" t="s">
        <v>990</v>
      </c>
      <c r="H105" s="997" t="s">
        <v>1549</v>
      </c>
      <c r="I105" s="622" t="s">
        <v>992</v>
      </c>
      <c r="J105" s="619" t="s">
        <v>993</v>
      </c>
      <c r="K105" s="619" t="s">
        <v>1550</v>
      </c>
      <c r="L105" s="619" t="s">
        <v>1551</v>
      </c>
      <c r="M105" s="991"/>
    </row>
    <row r="106" spans="2:13" ht="19.15" customHeight="1">
      <c r="B106" s="117"/>
      <c r="C106" s="117"/>
      <c r="E106" s="117"/>
      <c r="F106" s="117"/>
      <c r="G106" s="117"/>
      <c r="H106" s="575"/>
      <c r="L106" s="991"/>
      <c r="M106" s="991"/>
    </row>
    <row r="107" spans="2:13" ht="19.15" customHeight="1">
      <c r="B107" s="117"/>
      <c r="C107" s="117"/>
      <c r="E107" s="117"/>
      <c r="F107" s="117"/>
      <c r="G107" s="117"/>
      <c r="H107" s="575"/>
      <c r="L107" s="991"/>
      <c r="M107" s="991"/>
    </row>
    <row r="108" spans="1:13" ht="19.15" customHeight="1">
      <c r="A108" s="584">
        <f>A106+1</f>
        <v>1</v>
      </c>
      <c r="B108" s="989" t="s">
        <v>17</v>
      </c>
      <c r="C108" s="117"/>
      <c r="D108" s="575">
        <f>'8 - Depreciation Rates'!K23</f>
        <v>25205171.438255999</v>
      </c>
      <c r="E108" s="577">
        <v>25205442</v>
      </c>
      <c r="F108" s="618">
        <f>D108-E108</f>
        <v>-270.5617440007627</v>
      </c>
      <c r="G108" s="987">
        <v>1</v>
      </c>
      <c r="H108" s="148">
        <f>F108*G108</f>
        <v>-270.5617440007627</v>
      </c>
      <c r="I108" s="1011">
        <v>-809.41393592208624</v>
      </c>
      <c r="J108" s="1011">
        <v>-809.41393592208624</v>
      </c>
      <c r="K108" s="618">
        <f>I108+F108</f>
        <v>-1079.9756799228489</v>
      </c>
      <c r="L108" s="1009">
        <f>H108+J108</f>
        <v>-1079.9756799228489</v>
      </c>
      <c r="M108" s="991"/>
    </row>
    <row r="109" spans="1:13" ht="19.15" customHeight="1">
      <c r="A109" s="584">
        <f>A108+1</f>
        <v>2</v>
      </c>
      <c r="B109" s="989" t="s">
        <v>903</v>
      </c>
      <c r="D109" s="575">
        <f>'8 - Depreciation Rates'!K38</f>
        <v>16933417.057963997</v>
      </c>
      <c r="E109" s="577">
        <v>16933386</v>
      </c>
      <c r="F109" s="618">
        <f>D109-E109</f>
        <v>31.057963997125626</v>
      </c>
      <c r="G109" s="987">
        <f>'Attachment H-7'!I197</f>
        <v>0.09880621410235467</v>
      </c>
      <c r="H109" s="148">
        <f>F109*G109</f>
        <v>3.0687198402832174</v>
      </c>
      <c r="I109" s="1011">
        <v>22.880458375439048</v>
      </c>
      <c r="J109" s="1011">
        <v>2.1070430634909219</v>
      </c>
      <c r="K109" s="618">
        <f t="shared" si="22" ref="K109:K113">I109+F109</f>
        <v>53.938422372564673</v>
      </c>
      <c r="L109" s="1009">
        <f t="shared" si="23" ref="L109:L113">H109+J109</f>
        <v>5.1757629037741388</v>
      </c>
      <c r="M109" s="991"/>
    </row>
    <row r="110" spans="1:13" ht="19.15" customHeight="1">
      <c r="A110" s="584">
        <f>A109+1</f>
        <v>3</v>
      </c>
      <c r="B110" s="989" t="s">
        <v>1519</v>
      </c>
      <c r="D110" s="575">
        <f>'8 - Depreciation Rates'!K96</f>
        <v>25075521.479920328</v>
      </c>
      <c r="E110" s="577">
        <v>25075648</v>
      </c>
      <c r="F110" s="618">
        <f>D110-E110</f>
        <v>-126.52007967233658</v>
      </c>
      <c r="G110" s="987">
        <f>G109</f>
        <v>0.09880621410235467</v>
      </c>
      <c r="H110" s="148">
        <f>F110*G110</f>
        <v>-12.500970080351859</v>
      </c>
      <c r="I110" s="1011">
        <v>-92.10720631852746</v>
      </c>
      <c r="J110" s="1011">
        <v>-8.4540072706549942</v>
      </c>
      <c r="K110" s="618">
        <f t="shared" si="22"/>
        <v>-218.62728599086404</v>
      </c>
      <c r="L110" s="1009">
        <f t="shared" si="23"/>
        <v>-20.954977351006853</v>
      </c>
      <c r="M110" s="991"/>
    </row>
    <row r="111" spans="1:13" ht="19.15" customHeight="1">
      <c r="A111" s="584">
        <f>A110+1</f>
        <v>4</v>
      </c>
      <c r="B111" s="989" t="s">
        <v>1537</v>
      </c>
      <c r="D111" s="575">
        <f>'8 - Depreciation Rates'!K52</f>
        <v>3401046.59947976</v>
      </c>
      <c r="E111" s="575">
        <f>'4D - Intangible Pnt'!D105</f>
        <v>3401041.27</v>
      </c>
      <c r="F111" s="618">
        <f t="shared" si="24" ref="F111:F113">D111-E111</f>
        <v>5.3294797600246966</v>
      </c>
      <c r="G111" s="987">
        <f>G108</f>
        <v>1</v>
      </c>
      <c r="H111" s="148">
        <f t="shared" si="25" ref="H111:H113">F111*G111</f>
        <v>5.3294797600246966</v>
      </c>
      <c r="I111" s="1011">
        <v>4.9086947599425912</v>
      </c>
      <c r="J111" s="1011">
        <v>4.9086947599425912</v>
      </c>
      <c r="K111" s="618">
        <f t="shared" si="22"/>
        <v>10.238174519967288</v>
      </c>
      <c r="L111" s="1009">
        <f t="shared" si="23"/>
        <v>10.238174519967288</v>
      </c>
      <c r="M111" s="991"/>
    </row>
    <row r="112" spans="1:13" ht="19.15" customHeight="1">
      <c r="A112" s="584">
        <f t="shared" si="26" ref="A112:A114">A111+1</f>
        <v>5</v>
      </c>
      <c r="B112" s="989" t="s">
        <v>1538</v>
      </c>
      <c r="D112" s="575">
        <f>+'8 - Depreciation Rates'!K62</f>
        <v>2811568.6365681598</v>
      </c>
      <c r="E112" s="575">
        <f>'4D - Intangible Pnt'!F105</f>
        <v>2811570.85</v>
      </c>
      <c r="F112" s="618">
        <f t="shared" si="24"/>
        <v>-2.2134318402968347</v>
      </c>
      <c r="G112" s="987">
        <f>G110</f>
        <v>0.09880621410235467</v>
      </c>
      <c r="H112" s="148">
        <f t="shared" si="25"/>
        <v>-0.21870082031333796</v>
      </c>
      <c r="I112" s="1011">
        <v>-4.5850238404236734</v>
      </c>
      <c r="J112" s="1011">
        <v>-0.49760065310586932</v>
      </c>
      <c r="K112" s="618">
        <f t="shared" si="22"/>
        <v>-6.7984556807205081</v>
      </c>
      <c r="L112" s="1009">
        <f t="shared" si="23"/>
        <v>-0.71630147341920725</v>
      </c>
      <c r="M112" s="991"/>
    </row>
    <row r="113" spans="1:13" ht="19.15" customHeight="1">
      <c r="A113" s="584">
        <f t="shared" si="26"/>
        <v>6</v>
      </c>
      <c r="B113" s="989" t="s">
        <v>1539</v>
      </c>
      <c r="D113" s="575">
        <f>+'8 - Depreciation Rates'!K66</f>
        <v>12591807.710000001</v>
      </c>
      <c r="E113" s="575">
        <f>'4D - Intangible Pnt'!E105</f>
        <v>12591807.710000001</v>
      </c>
      <c r="F113" s="618">
        <f t="shared" si="24"/>
        <v>0</v>
      </c>
      <c r="G113" s="987">
        <v>0</v>
      </c>
      <c r="H113" s="148">
        <f t="shared" si="25"/>
        <v>0</v>
      </c>
      <c r="I113" s="1004">
        <v>0</v>
      </c>
      <c r="J113" s="1004">
        <v>0</v>
      </c>
      <c r="K113" s="618">
        <f t="shared" si="22"/>
        <v>0</v>
      </c>
      <c r="L113" s="1009">
        <f t="shared" si="23"/>
        <v>0</v>
      </c>
      <c r="M113" s="993"/>
    </row>
    <row r="114" spans="1:13" ht="19.15" customHeight="1">
      <c r="A114" s="584">
        <f t="shared" si="26"/>
        <v>7</v>
      </c>
      <c r="B114" s="990"/>
      <c r="D114" s="352"/>
      <c r="I114" s="987"/>
      <c r="J114" s="575"/>
      <c r="K114" s="575"/>
      <c r="L114" s="991"/>
      <c r="M114" s="991"/>
    </row>
    <row r="115" spans="1:13" ht="19.15" customHeight="1">
      <c r="A115" s="584">
        <f>A114+1</f>
        <v>8</v>
      </c>
      <c r="B115" s="999" t="s">
        <v>1552</v>
      </c>
      <c r="D115" s="352"/>
      <c r="H115" s="117"/>
      <c r="I115" s="987"/>
      <c r="J115" s="117"/>
      <c r="K115" s="575"/>
      <c r="L115" s="991"/>
      <c r="M115" s="991"/>
    </row>
    <row r="116" spans="2:13" ht="19.15" customHeight="1">
      <c r="B116" s="999"/>
      <c r="D116" s="352"/>
      <c r="E116" s="569" t="s">
        <v>1553</v>
      </c>
      <c r="F116" s="574" t="s">
        <v>1555</v>
      </c>
      <c r="G116" s="574" t="s">
        <v>1557</v>
      </c>
      <c r="H116" s="995" t="s">
        <v>1535</v>
      </c>
      <c r="I116" s="574" t="s">
        <v>1557</v>
      </c>
      <c r="J116" s="117"/>
      <c r="K116" s="575"/>
      <c r="L116" s="991"/>
      <c r="M116" s="991"/>
    </row>
    <row r="117" spans="2:13" ht="19.15" customHeight="1">
      <c r="B117" s="999"/>
      <c r="D117" s="352"/>
      <c r="E117" s="569" t="s">
        <v>1582</v>
      </c>
      <c r="F117" s="574" t="s">
        <v>1556</v>
      </c>
      <c r="G117" s="574" t="s">
        <v>1583</v>
      </c>
      <c r="H117" s="995" t="s">
        <v>1536</v>
      </c>
      <c r="I117" s="574" t="s">
        <v>1583</v>
      </c>
      <c r="J117" s="117"/>
      <c r="K117" s="575"/>
      <c r="L117" s="991"/>
      <c r="M117" s="991"/>
    </row>
    <row r="118" spans="1:13" ht="19.15" customHeight="1">
      <c r="A118" s="584">
        <f>A115+1</f>
        <v>9</v>
      </c>
      <c r="B118" s="998"/>
      <c r="C118" s="998"/>
      <c r="D118" s="998"/>
      <c r="E118" s="932" t="s">
        <v>1547</v>
      </c>
      <c r="F118" s="932" t="s">
        <v>1547</v>
      </c>
      <c r="G118" s="932" t="s">
        <v>1547</v>
      </c>
      <c r="I118" s="932" t="s">
        <v>17</v>
      </c>
      <c r="J118" s="117"/>
      <c r="K118" s="575"/>
      <c r="L118" s="991"/>
      <c r="M118" s="991"/>
    </row>
    <row r="119" spans="2:13" ht="19.15" customHeight="1">
      <c r="B119" s="998"/>
      <c r="C119" s="998"/>
      <c r="D119" s="998"/>
      <c r="E119" s="932"/>
      <c r="F119" s="932"/>
      <c r="G119" s="1002"/>
      <c r="I119" s="1002"/>
      <c r="J119" s="117"/>
      <c r="K119" s="575"/>
      <c r="L119" s="991"/>
      <c r="M119" s="991"/>
    </row>
    <row r="120" spans="2:13" ht="19.15" customHeight="1">
      <c r="B120" s="998"/>
      <c r="C120" s="998"/>
      <c r="D120" s="998"/>
      <c r="E120" s="932"/>
      <c r="F120" s="932"/>
      <c r="G120" s="1002"/>
      <c r="I120" s="1002"/>
      <c r="J120" s="117"/>
      <c r="K120" s="575"/>
      <c r="L120" s="991"/>
      <c r="M120" s="991"/>
    </row>
    <row r="121" spans="1:13" ht="19.15" customHeight="1">
      <c r="A121" s="584">
        <f>A118+1</f>
        <v>10</v>
      </c>
      <c r="B121" s="989" t="s">
        <v>17</v>
      </c>
      <c r="D121" s="998"/>
      <c r="E121" s="1000">
        <f>'4- Rate Base'!J24</f>
        <v>516140520.5021382</v>
      </c>
      <c r="F121" s="653">
        <f t="shared" si="27" ref="F121:F126">(I108+K108)/2</f>
        <v>-944.69480792246759</v>
      </c>
      <c r="G121" s="653">
        <f>E121-F121</f>
        <v>516141465.19694614</v>
      </c>
      <c r="H121" s="1003">
        <f>G108</f>
        <v>1</v>
      </c>
      <c r="I121" s="653">
        <f>G121*H121</f>
        <v>516141465.19694614</v>
      </c>
      <c r="J121" s="117"/>
      <c r="K121" s="575"/>
      <c r="L121" s="991"/>
      <c r="M121" s="991"/>
    </row>
    <row r="122" spans="1:12" ht="19.15" customHeight="1">
      <c r="A122" s="584">
        <f t="shared" si="28" ref="A122:A135">A121+1</f>
        <v>11</v>
      </c>
      <c r="B122" s="989" t="s">
        <v>903</v>
      </c>
      <c r="D122" s="998"/>
      <c r="E122" s="1001">
        <f>'4- Rate Base'!K24</f>
        <v>82113056.485313296</v>
      </c>
      <c r="F122" s="653">
        <f t="shared" si="27"/>
        <v>38.409440374001861</v>
      </c>
      <c r="G122" s="653">
        <f t="shared" si="29" ref="G122:G126">E122-F122</f>
        <v>82113018.075872928</v>
      </c>
      <c r="H122" s="1003">
        <f t="shared" si="30" ref="H122:H125">G109</f>
        <v>0.09880621410235467</v>
      </c>
      <c r="I122" s="653">
        <f t="shared" si="31" ref="I122:I126">G122*H122</f>
        <v>8113276.4445952196</v>
      </c>
      <c r="J122" s="575"/>
      <c r="K122" s="575"/>
      <c r="L122" s="994"/>
    </row>
    <row r="123" spans="1:11" ht="15.5">
      <c r="A123" s="584">
        <f t="shared" si="28"/>
        <v>12</v>
      </c>
      <c r="B123" s="989" t="s">
        <v>1519</v>
      </c>
      <c r="D123" s="998"/>
      <c r="E123" s="1001">
        <f>'4- Rate Base'!L24</f>
        <v>300168149.26428324</v>
      </c>
      <c r="F123" s="653">
        <f t="shared" si="27"/>
        <v>-155.36724615469575</v>
      </c>
      <c r="G123" s="653">
        <f t="shared" si="29"/>
        <v>300168304.63152939</v>
      </c>
      <c r="H123" s="1003">
        <f t="shared" si="30"/>
        <v>0.09880621410235467</v>
      </c>
      <c r="I123" s="653">
        <f t="shared" si="31"/>
        <v>29658493.774163712</v>
      </c>
      <c r="J123" s="575"/>
      <c r="K123" s="575"/>
    </row>
    <row r="124" spans="1:11" ht="15.5">
      <c r="A124" s="584">
        <f t="shared" si="28"/>
        <v>13</v>
      </c>
      <c r="B124" s="989" t="s">
        <v>1537</v>
      </c>
      <c r="D124" s="998"/>
      <c r="E124" s="1001">
        <f>'4D - Intangible Pnt'!Q52</f>
        <v>10075679.536153846</v>
      </c>
      <c r="F124" s="653">
        <f t="shared" si="27"/>
        <v>7.5734346399549395</v>
      </c>
      <c r="G124" s="653">
        <f t="shared" si="29"/>
        <v>10075671.962719206</v>
      </c>
      <c r="H124" s="1003">
        <f t="shared" si="30"/>
        <v>1</v>
      </c>
      <c r="I124" s="653">
        <f t="shared" si="31"/>
        <v>10075671.962719206</v>
      </c>
      <c r="J124" s="117"/>
      <c r="K124" s="575"/>
    </row>
    <row r="125" spans="1:11" ht="15.5">
      <c r="A125" s="584">
        <f t="shared" si="28"/>
        <v>14</v>
      </c>
      <c r="B125" s="989" t="s">
        <v>1538</v>
      </c>
      <c r="D125" s="352"/>
      <c r="E125" s="1001">
        <f>'4D - Intangible Pnt'!S52</f>
        <v>10215226.098807212</v>
      </c>
      <c r="F125" s="653">
        <f t="shared" si="27"/>
        <v>-5.6917397605720907</v>
      </c>
      <c r="G125" s="653">
        <f t="shared" si="29"/>
        <v>10215231.790546972</v>
      </c>
      <c r="H125" s="1003">
        <f t="shared" si="30"/>
        <v>0.09880621410235467</v>
      </c>
      <c r="I125" s="653">
        <f t="shared" si="31"/>
        <v>1009328.379401964</v>
      </c>
      <c r="J125" s="117"/>
      <c r="K125" s="575"/>
    </row>
    <row r="126" spans="1:11" ht="15.5">
      <c r="A126" s="584">
        <f t="shared" si="28"/>
        <v>15</v>
      </c>
      <c r="B126" s="989" t="s">
        <v>1539</v>
      </c>
      <c r="D126" s="117"/>
      <c r="E126" s="1001">
        <f>'4D - Intangible Pnt'!R52</f>
        <v>101255102.40984514</v>
      </c>
      <c r="F126" s="1000">
        <f t="shared" si="27"/>
        <v>0</v>
      </c>
      <c r="G126" s="653">
        <f t="shared" si="29"/>
        <v>101255102.40984514</v>
      </c>
      <c r="H126" s="1003">
        <v>0</v>
      </c>
      <c r="I126" s="653">
        <f t="shared" si="31"/>
        <v>0</v>
      </c>
      <c r="J126" s="117"/>
      <c r="K126" s="575"/>
    </row>
    <row r="127" spans="1:11" ht="15.5">
      <c r="A127" s="584">
        <f t="shared" si="28"/>
        <v>16</v>
      </c>
      <c r="B127" s="989" t="s">
        <v>1554</v>
      </c>
      <c r="D127" s="117"/>
      <c r="E127" s="1001">
        <f>SUM(E124:E126)</f>
        <v>121546008.0448062</v>
      </c>
      <c r="F127" s="1001">
        <f>SUM(F124:F126)</f>
        <v>1.8816948793828487</v>
      </c>
      <c r="G127" s="1001">
        <f>SUM(G124:G126)</f>
        <v>121546006.16311133</v>
      </c>
      <c r="I127" s="1001">
        <f>SUM(I124:I126)</f>
        <v>11085000.342121169</v>
      </c>
      <c r="J127" s="575"/>
      <c r="K127" s="117"/>
    </row>
    <row r="128" spans="1:11" ht="15.5">
      <c r="A128" s="584">
        <f t="shared" si="28"/>
        <v>17</v>
      </c>
      <c r="B128" s="990"/>
      <c r="D128" s="352"/>
      <c r="I128" s="987"/>
      <c r="J128" s="575"/>
      <c r="K128" s="117"/>
    </row>
    <row r="129" spans="1:11" ht="15.5">
      <c r="A129" s="584">
        <f t="shared" si="28"/>
        <v>18</v>
      </c>
      <c r="B129" s="990"/>
      <c r="D129" s="352"/>
      <c r="I129" s="992"/>
      <c r="J129" s="575"/>
      <c r="K129" s="117"/>
    </row>
    <row r="130" spans="1:11" ht="15.5">
      <c r="A130" s="584">
        <f t="shared" si="28"/>
        <v>19</v>
      </c>
      <c r="B130" s="990"/>
      <c r="D130" s="352"/>
      <c r="H130" s="575"/>
      <c r="I130" s="117"/>
      <c r="J130" s="117"/>
      <c r="K130" s="575"/>
    </row>
    <row r="131" spans="1:11" ht="15.5">
      <c r="A131" s="584">
        <f t="shared" si="28"/>
        <v>20</v>
      </c>
      <c r="B131" s="990"/>
      <c r="D131" s="352"/>
      <c r="H131" s="117"/>
      <c r="I131" s="117"/>
      <c r="J131" s="117"/>
      <c r="K131" s="575"/>
    </row>
    <row r="132" spans="1:11" ht="15.5">
      <c r="A132" s="584">
        <f t="shared" si="28"/>
        <v>21</v>
      </c>
      <c r="B132" s="117"/>
      <c r="C132" s="117"/>
      <c r="H132" s="117"/>
      <c r="I132" s="117"/>
      <c r="J132" s="117"/>
      <c r="K132" s="575"/>
    </row>
    <row r="133" spans="1:11" ht="15.5">
      <c r="A133" s="584">
        <f t="shared" si="28"/>
        <v>22</v>
      </c>
      <c r="B133" s="117"/>
      <c r="C133" s="117"/>
      <c r="H133" s="117"/>
      <c r="I133" s="117"/>
      <c r="J133" s="117"/>
      <c r="K133" s="575"/>
    </row>
    <row r="134" spans="1:11" ht="15.5">
      <c r="A134" s="584">
        <f t="shared" si="28"/>
        <v>23</v>
      </c>
      <c r="B134" s="117"/>
      <c r="C134" s="117"/>
      <c r="H134" s="117"/>
      <c r="I134" s="117"/>
      <c r="J134" s="117"/>
      <c r="K134" s="575"/>
    </row>
    <row r="135" spans="1:3" ht="15.5">
      <c r="A135" s="584">
        <f t="shared" si="28"/>
        <v>24</v>
      </c>
      <c r="B135" s="117"/>
      <c r="C135" s="117"/>
    </row>
    <row r="137" spans="2:17" ht="15.5">
      <c r="B137" s="623"/>
      <c r="C137" s="643"/>
      <c r="D137" s="593"/>
      <c r="E137" s="593"/>
      <c r="F137" s="593"/>
      <c r="G137" s="593"/>
      <c r="H137" s="593"/>
      <c r="I137" s="650"/>
      <c r="J137" s="650"/>
      <c r="K137" s="650"/>
      <c r="L137" s="148" t="s">
        <v>1543</v>
      </c>
      <c r="O137" s="1024"/>
      <c r="P137" s="675"/>
      <c r="Q137" s="676"/>
    </row>
    <row r="138" spans="2:17" ht="16" thickBot="1">
      <c r="B138" s="936" t="s">
        <v>182</v>
      </c>
      <c r="C138" s="677"/>
      <c r="D138" s="593"/>
      <c r="E138" s="593"/>
      <c r="F138" s="593"/>
      <c r="G138" s="593"/>
      <c r="H138" s="593"/>
      <c r="I138" s="650"/>
      <c r="J138" s="650"/>
      <c r="K138" s="650"/>
      <c r="L138" s="650"/>
      <c r="P138" s="674"/>
      <c r="Q138" s="661"/>
    </row>
    <row r="139" spans="1:15" s="679" customFormat="1" ht="18" customHeight="1">
      <c r="A139" s="988"/>
      <c r="B139" s="937">
        <v>1</v>
      </c>
      <c r="C139" s="678" t="s">
        <v>1584</v>
      </c>
      <c r="I139" s="680"/>
      <c r="J139" s="680"/>
      <c r="K139" s="680"/>
      <c r="L139" s="680"/>
      <c r="N139" s="1025"/>
      <c r="O139" s="1026"/>
    </row>
    <row r="140" spans="1:15" s="679" customFormat="1" ht="52.15" customHeight="1">
      <c r="A140" s="988"/>
      <c r="B140" s="937">
        <v>2</v>
      </c>
      <c r="C140" s="1095" t="s">
        <v>1272</v>
      </c>
      <c r="D140" s="1095"/>
      <c r="E140" s="1095"/>
      <c r="F140" s="1095"/>
      <c r="G140" s="1095"/>
      <c r="H140" s="1095"/>
      <c r="I140" s="1095"/>
      <c r="J140" s="1095"/>
      <c r="K140" s="1095"/>
      <c r="L140" s="1095"/>
      <c r="N140" s="1025"/>
      <c r="O140" s="1026"/>
    </row>
    <row r="141" spans="1:15" s="679" customFormat="1" ht="19.15" customHeight="1">
      <c r="A141" s="988"/>
      <c r="B141" s="937">
        <v>3</v>
      </c>
      <c r="C141" s="1093" t="s">
        <v>1574</v>
      </c>
      <c r="D141" s="1093"/>
      <c r="E141" s="1093"/>
      <c r="F141" s="1093"/>
      <c r="G141" s="1093"/>
      <c r="H141" s="1093"/>
      <c r="I141" s="1093"/>
      <c r="J141" s="1093"/>
      <c r="K141" s="1093"/>
      <c r="L141" s="1093"/>
      <c r="N141" s="1025"/>
      <c r="O141" s="1026"/>
    </row>
    <row r="142" spans="1:15" s="679" customFormat="1" ht="15.5">
      <c r="A142" s="988"/>
      <c r="B142" s="937">
        <v>4</v>
      </c>
      <c r="C142" s="678" t="s">
        <v>1127</v>
      </c>
      <c r="I142" s="680"/>
      <c r="J142" s="680"/>
      <c r="K142" s="680"/>
      <c r="L142" s="680"/>
      <c r="N142" s="1025"/>
      <c r="O142" s="1026"/>
    </row>
    <row r="143" spans="1:15" s="679" customFormat="1" ht="15.5">
      <c r="A143" s="988"/>
      <c r="B143" s="937">
        <v>5</v>
      </c>
      <c r="C143" s="678" t="s">
        <v>1055</v>
      </c>
      <c r="I143" s="680"/>
      <c r="J143" s="680"/>
      <c r="K143" s="680"/>
      <c r="L143" s="680"/>
      <c r="N143" s="1025"/>
      <c r="O143" s="1026"/>
    </row>
    <row r="144" spans="1:15" s="679" customFormat="1" ht="15.5">
      <c r="A144" s="988"/>
      <c r="B144" s="937">
        <v>6</v>
      </c>
      <c r="C144" s="1094" t="s">
        <v>369</v>
      </c>
      <c r="D144" s="1094"/>
      <c r="E144" s="1094"/>
      <c r="F144" s="1094"/>
      <c r="G144" s="1094"/>
      <c r="H144" s="1094"/>
      <c r="I144" s="1094"/>
      <c r="J144" s="1094"/>
      <c r="K144" s="1094"/>
      <c r="L144" s="1094"/>
      <c r="N144" s="1025"/>
      <c r="O144" s="1026"/>
    </row>
    <row r="145" spans="1:15" s="679" customFormat="1" ht="15.75" customHeight="1">
      <c r="A145" s="988"/>
      <c r="B145" s="937">
        <v>7</v>
      </c>
      <c r="C145" s="1094" t="s">
        <v>369</v>
      </c>
      <c r="D145" s="1094"/>
      <c r="E145" s="1094"/>
      <c r="F145" s="1094"/>
      <c r="G145" s="1094"/>
      <c r="H145" s="1094"/>
      <c r="I145" s="1094"/>
      <c r="J145" s="1094"/>
      <c r="K145" s="1094"/>
      <c r="L145" s="1094"/>
      <c r="N145" s="1025"/>
      <c r="O145" s="1026"/>
    </row>
    <row r="146" spans="1:15" s="679" customFormat="1" ht="15.5">
      <c r="A146" s="988"/>
      <c r="B146" s="937">
        <v>8</v>
      </c>
      <c r="C146" s="678" t="s">
        <v>1048</v>
      </c>
      <c r="I146" s="680"/>
      <c r="J146" s="680"/>
      <c r="K146" s="680"/>
      <c r="L146" s="680"/>
      <c r="N146" s="1025"/>
      <c r="O146" s="1026"/>
    </row>
    <row r="147" spans="2:13" ht="15.5">
      <c r="B147" s="937">
        <v>9</v>
      </c>
      <c r="C147" s="678" t="s">
        <v>1056</v>
      </c>
      <c r="D147" s="679"/>
      <c r="E147" s="679"/>
      <c r="F147" s="679"/>
      <c r="G147" s="679"/>
      <c r="H147" s="679"/>
      <c r="I147" s="680"/>
      <c r="J147" s="680"/>
      <c r="K147" s="680"/>
      <c r="L147" s="680"/>
      <c r="M147" s="679"/>
    </row>
    <row r="148" spans="2:13" ht="48" customHeight="1">
      <c r="B148" s="938">
        <v>10</v>
      </c>
      <c r="C148" s="1099" t="s">
        <v>1586</v>
      </c>
      <c r="D148" s="1099"/>
      <c r="E148" s="1099"/>
      <c r="F148" s="1099"/>
      <c r="G148" s="1099"/>
      <c r="H148" s="1099"/>
      <c r="I148" s="1099"/>
      <c r="J148" s="1099"/>
      <c r="K148" s="1099"/>
      <c r="L148" s="1099"/>
      <c r="M148" s="681"/>
    </row>
    <row r="149" spans="2:12" ht="14.25" customHeight="1">
      <c r="B149" s="938">
        <v>11</v>
      </c>
      <c r="C149" s="1100" t="s">
        <v>1531</v>
      </c>
      <c r="D149" s="1100"/>
      <c r="E149" s="1100"/>
      <c r="F149" s="1100"/>
      <c r="G149" s="1100"/>
      <c r="H149" s="1100"/>
      <c r="I149" s="1100"/>
      <c r="J149" s="1100"/>
      <c r="K149" s="1100"/>
      <c r="L149" s="1100"/>
    </row>
  </sheetData>
  <mergeCells count="13">
    <mergeCell ref="C148:L148"/>
    <mergeCell ref="B40:L40"/>
    <mergeCell ref="B41:L41"/>
    <mergeCell ref="C149:L149"/>
    <mergeCell ref="B98:L98"/>
    <mergeCell ref="B99:L99"/>
    <mergeCell ref="B2:L2"/>
    <mergeCell ref="B3:L3"/>
    <mergeCell ref="C141:L141"/>
    <mergeCell ref="C145:L145"/>
    <mergeCell ref="C140:L140"/>
    <mergeCell ref="C144:L144"/>
    <mergeCell ref="H13:J13"/>
  </mergeCells>
  <pageMargins left="0.5" right="0.5" top="0.5" bottom="0.5" header="0.05" footer="0.05"/>
  <pageSetup fitToHeight="0" orientation="landscape" paperSize="17" scale="10"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zoomScale="70" zoomScaleNormal="70" workbookViewId="0" topLeftCell="A1"/>
  </sheetViews>
  <sheetFormatPr defaultColWidth="8.765625" defaultRowHeight="15.5"/>
  <cols>
    <col min="1" max="1" width="4.5" style="584" customWidth="1"/>
    <col min="2" max="2" width="41.7857142857143" style="117" customWidth="1"/>
    <col min="3" max="3" width="18.0714285714286" style="117" customWidth="1"/>
    <col min="4" max="14" width="11.0714285714286" style="117" bestFit="1" customWidth="1"/>
    <col min="15" max="15" width="12" style="117" bestFit="1" customWidth="1"/>
    <col min="16" max="16" width="14.7142857142857" style="117" customWidth="1"/>
    <col min="17" max="17" width="11.5" style="117" bestFit="1" customWidth="1"/>
    <col min="18" max="16384" width="8.78571428571429" style="117"/>
  </cols>
  <sheetData>
    <row r="1" spans="1:16" s="569" customFormat="1" ht="15.5">
      <c r="A1" s="584"/>
      <c r="B1" s="1092" t="s">
        <v>1215</v>
      </c>
      <c r="C1" s="1092"/>
      <c r="D1" s="1092"/>
      <c r="E1" s="1092"/>
      <c r="F1" s="1092"/>
      <c r="G1" s="1092"/>
      <c r="H1" s="1092"/>
      <c r="I1" s="1092"/>
      <c r="J1" s="1092"/>
      <c r="K1" s="1092"/>
      <c r="L1" s="1092"/>
      <c r="M1" s="1092"/>
      <c r="N1" s="1092"/>
      <c r="O1" s="1092"/>
      <c r="P1" s="1092"/>
    </row>
    <row r="2" spans="1:16" s="569" customFormat="1" ht="15.5">
      <c r="A2" s="584"/>
      <c r="B2" s="1092" t="s">
        <v>1476</v>
      </c>
      <c r="C2" s="1092"/>
      <c r="D2" s="1092"/>
      <c r="E2" s="1092"/>
      <c r="F2" s="1092"/>
      <c r="G2" s="1092"/>
      <c r="H2" s="1092"/>
      <c r="I2" s="1092"/>
      <c r="J2" s="1092"/>
      <c r="K2" s="1092"/>
      <c r="L2" s="1092"/>
      <c r="M2" s="1092"/>
      <c r="N2" s="1092"/>
      <c r="O2" s="1092"/>
      <c r="P2" s="1092"/>
    </row>
    <row r="3" spans="1:16" s="569" customFormat="1" ht="15.5">
      <c r="A3" s="584"/>
      <c r="B3" s="1092" t="s">
        <v>681</v>
      </c>
      <c r="C3" s="1092"/>
      <c r="D3" s="1092"/>
      <c r="E3" s="1092"/>
      <c r="F3" s="1092"/>
      <c r="G3" s="1092"/>
      <c r="H3" s="1092"/>
      <c r="I3" s="1092"/>
      <c r="J3" s="1092"/>
      <c r="K3" s="1092"/>
      <c r="L3" s="1092"/>
      <c r="M3" s="1092"/>
      <c r="N3" s="1092"/>
      <c r="O3" s="1092"/>
      <c r="P3" s="1092"/>
    </row>
    <row r="4" spans="1:16" s="569" customFormat="1" ht="15.5">
      <c r="A4" s="584"/>
      <c r="C4" s="396" t="s">
        <v>198</v>
      </c>
      <c r="D4" s="396" t="s">
        <v>199</v>
      </c>
      <c r="E4" s="956" t="s">
        <v>200</v>
      </c>
      <c r="F4" s="396" t="s">
        <v>201</v>
      </c>
      <c r="G4" s="396" t="s">
        <v>203</v>
      </c>
      <c r="H4" s="396" t="s">
        <v>202</v>
      </c>
      <c r="I4" s="396" t="s">
        <v>204</v>
      </c>
      <c r="J4" s="396" t="s">
        <v>205</v>
      </c>
      <c r="K4" s="396" t="s">
        <v>206</v>
      </c>
      <c r="L4" s="396" t="s">
        <v>244</v>
      </c>
      <c r="M4" s="396" t="s">
        <v>248</v>
      </c>
      <c r="N4" s="396" t="s">
        <v>453</v>
      </c>
      <c r="O4" s="574" t="s">
        <v>779</v>
      </c>
      <c r="P4" s="574" t="s">
        <v>780</v>
      </c>
    </row>
    <row r="5" ht="15.5">
      <c r="B5" s="570" t="s">
        <v>1279</v>
      </c>
    </row>
    <row r="6" spans="3:16" ht="15.5">
      <c r="C6" s="573"/>
      <c r="D6" s="573" t="s">
        <v>84</v>
      </c>
      <c r="E6" s="573" t="s">
        <v>83</v>
      </c>
      <c r="F6" s="573" t="s">
        <v>171</v>
      </c>
      <c r="G6" s="573" t="s">
        <v>74</v>
      </c>
      <c r="H6" s="573" t="s">
        <v>73</v>
      </c>
      <c r="I6" s="573" t="s">
        <v>93</v>
      </c>
      <c r="J6" s="573" t="s">
        <v>81</v>
      </c>
      <c r="K6" s="573" t="s">
        <v>172</v>
      </c>
      <c r="L6" s="573" t="s">
        <v>79</v>
      </c>
      <c r="M6" s="573" t="s">
        <v>85</v>
      </c>
      <c r="N6" s="573" t="s">
        <v>78</v>
      </c>
      <c r="O6" s="573" t="s">
        <v>196</v>
      </c>
      <c r="P6" s="574" t="s">
        <v>13</v>
      </c>
    </row>
    <row r="7" spans="1:16" ht="15.5">
      <c r="A7" s="584">
        <v>1</v>
      </c>
      <c r="B7" s="570" t="s">
        <v>1224</v>
      </c>
      <c r="D7" s="352"/>
      <c r="E7" s="352"/>
      <c r="F7" s="352"/>
      <c r="G7" s="352"/>
      <c r="H7" s="352"/>
      <c r="I7" s="352"/>
      <c r="J7" s="352"/>
      <c r="K7" s="352"/>
      <c r="L7" s="352"/>
      <c r="M7" s="352"/>
      <c r="N7" s="352"/>
      <c r="O7" s="352"/>
      <c r="P7" s="575"/>
    </row>
    <row r="8" spans="1:16" s="352" customFormat="1" ht="15.5">
      <c r="A8" s="583">
        <f>A7+1</f>
        <v>2</v>
      </c>
      <c r="B8" s="589" t="s">
        <v>17</v>
      </c>
      <c r="D8" s="577">
        <v>62868.333333333336</v>
      </c>
      <c r="E8" s="577">
        <v>62868.333333333336</v>
      </c>
      <c r="F8" s="577">
        <v>62868.333333333336</v>
      </c>
      <c r="G8" s="577">
        <v>62868.333333333336</v>
      </c>
      <c r="H8" s="577">
        <v>62868.333333333336</v>
      </c>
      <c r="I8" s="577">
        <v>62868.333333333336</v>
      </c>
      <c r="J8" s="577">
        <v>62868.333333333336</v>
      </c>
      <c r="K8" s="577">
        <v>62868.333333333336</v>
      </c>
      <c r="L8" s="577">
        <v>62868.333333333336</v>
      </c>
      <c r="M8" s="577">
        <v>62868.333333333336</v>
      </c>
      <c r="N8" s="577">
        <v>62868.333333333336</v>
      </c>
      <c r="O8" s="577">
        <v>62868.333333333336</v>
      </c>
      <c r="P8" s="575">
        <f>SUM(D8:O8)</f>
        <v>754420.00000000012</v>
      </c>
    </row>
    <row r="9" spans="1:16" s="352" customFormat="1" ht="15.5">
      <c r="A9" s="583"/>
      <c r="P9" s="576"/>
    </row>
    <row r="10" spans="1:16" ht="15.5">
      <c r="A10" s="584">
        <f>A8+1</f>
        <v>3</v>
      </c>
      <c r="B10" s="589" t="s">
        <v>1219</v>
      </c>
      <c r="D10" s="577">
        <v>18332.083333333332</v>
      </c>
      <c r="E10" s="577">
        <v>18332.083333333332</v>
      </c>
      <c r="F10" s="577">
        <v>18332.083333333332</v>
      </c>
      <c r="G10" s="577">
        <v>18332.083333333332</v>
      </c>
      <c r="H10" s="577">
        <v>18332.083333333332</v>
      </c>
      <c r="I10" s="577">
        <v>18332.083333333332</v>
      </c>
      <c r="J10" s="577">
        <v>18332.083333333332</v>
      </c>
      <c r="K10" s="577">
        <v>18332.083333333332</v>
      </c>
      <c r="L10" s="577">
        <v>18332.083333333332</v>
      </c>
      <c r="M10" s="577">
        <v>18332.083333333332</v>
      </c>
      <c r="N10" s="577">
        <v>18332.083333333332</v>
      </c>
      <c r="O10" s="577">
        <v>18332.083333333332</v>
      </c>
      <c r="P10" s="575">
        <f>SUM(D10:O10)</f>
        <v>219985.00000000003</v>
      </c>
    </row>
    <row r="11" spans="1:16" ht="15.5">
      <c r="A11" s="583">
        <f t="shared" si="0" ref="A11:A12">A10+1</f>
        <v>4</v>
      </c>
      <c r="B11" s="589" t="s">
        <v>1393</v>
      </c>
      <c r="D11" s="590">
        <f>'Attachment H-7'!I197</f>
        <v>0.09880621410235467</v>
      </c>
      <c r="E11" s="575"/>
      <c r="F11" s="575"/>
      <c r="G11" s="575"/>
      <c r="H11" s="575"/>
      <c r="I11" s="575"/>
      <c r="J11" s="575"/>
      <c r="K11" s="575"/>
      <c r="L11" s="575"/>
      <c r="M11" s="575"/>
      <c r="N11" s="575"/>
      <c r="O11" s="575"/>
      <c r="P11" s="575"/>
    </row>
    <row r="12" spans="1:16" ht="15.5">
      <c r="A12" s="583">
        <f t="shared" si="0"/>
        <v>5</v>
      </c>
      <c r="B12" s="589" t="s">
        <v>1221</v>
      </c>
      <c r="D12" s="576">
        <f>D10*$D$11</f>
        <v>1811.3237507755409</v>
      </c>
      <c r="E12" s="576">
        <f t="shared" si="1" ref="E12:O12">E10*$D$11</f>
        <v>1811.3237507755409</v>
      </c>
      <c r="F12" s="576">
        <f t="shared" si="1"/>
        <v>1811.3237507755409</v>
      </c>
      <c r="G12" s="576">
        <f t="shared" si="1"/>
        <v>1811.3237507755409</v>
      </c>
      <c r="H12" s="576">
        <f t="shared" si="1"/>
        <v>1811.3237507755409</v>
      </c>
      <c r="I12" s="576">
        <f t="shared" si="1"/>
        <v>1811.3237507755409</v>
      </c>
      <c r="J12" s="576">
        <f t="shared" si="1"/>
        <v>1811.3237507755409</v>
      </c>
      <c r="K12" s="576">
        <f t="shared" si="1"/>
        <v>1811.3237507755409</v>
      </c>
      <c r="L12" s="576">
        <f t="shared" si="1"/>
        <v>1811.3237507755409</v>
      </c>
      <c r="M12" s="576">
        <f t="shared" si="1"/>
        <v>1811.3237507755409</v>
      </c>
      <c r="N12" s="576">
        <f t="shared" si="1"/>
        <v>1811.3237507755409</v>
      </c>
      <c r="O12" s="576">
        <f t="shared" si="1"/>
        <v>1811.3237507755409</v>
      </c>
      <c r="P12" s="575">
        <f>SUM(D12:O12)</f>
        <v>21735.885009306487</v>
      </c>
    </row>
    <row r="13" spans="2:16" ht="15.5">
      <c r="B13" s="352"/>
      <c r="C13" s="352"/>
      <c r="D13" s="352"/>
      <c r="E13" s="352"/>
      <c r="F13" s="352"/>
      <c r="G13" s="352"/>
      <c r="H13" s="352"/>
      <c r="I13" s="352"/>
      <c r="J13" s="352"/>
      <c r="K13" s="352"/>
      <c r="L13" s="352"/>
      <c r="M13" s="352"/>
      <c r="N13" s="352"/>
      <c r="O13" s="352"/>
      <c r="P13" s="576"/>
    </row>
    <row r="14" spans="1:16" ht="15.5">
      <c r="A14" s="584">
        <f>A12+1</f>
        <v>6</v>
      </c>
      <c r="B14" s="589" t="s">
        <v>1222</v>
      </c>
      <c r="D14" s="577">
        <f t="shared" si="2" ref="D14:O14">541371/12</f>
        <v>45114.25</v>
      </c>
      <c r="E14" s="577">
        <f t="shared" si="2"/>
        <v>45114.25</v>
      </c>
      <c r="F14" s="577">
        <f t="shared" si="2"/>
        <v>45114.25</v>
      </c>
      <c r="G14" s="577">
        <f t="shared" si="2"/>
        <v>45114.25</v>
      </c>
      <c r="H14" s="577">
        <f t="shared" si="2"/>
        <v>45114.25</v>
      </c>
      <c r="I14" s="577">
        <f t="shared" si="2"/>
        <v>45114.25</v>
      </c>
      <c r="J14" s="577">
        <f t="shared" si="2"/>
        <v>45114.25</v>
      </c>
      <c r="K14" s="577">
        <f t="shared" si="2"/>
        <v>45114.25</v>
      </c>
      <c r="L14" s="577">
        <f t="shared" si="2"/>
        <v>45114.25</v>
      </c>
      <c r="M14" s="577">
        <f t="shared" si="2"/>
        <v>45114.25</v>
      </c>
      <c r="N14" s="577">
        <f t="shared" si="2"/>
        <v>45114.25</v>
      </c>
      <c r="O14" s="577">
        <f t="shared" si="2"/>
        <v>45114.25</v>
      </c>
      <c r="P14" s="575">
        <f>SUM(D14:O14)</f>
        <v>541371</v>
      </c>
    </row>
    <row r="15" spans="1:16" ht="15.5">
      <c r="A15" s="583">
        <f t="shared" si="3" ref="A15:A16">A14+1</f>
        <v>7</v>
      </c>
      <c r="B15" s="589" t="s">
        <v>1265</v>
      </c>
      <c r="D15" s="590">
        <f>'Attachment H-7'!I197*0.7808</f>
        <v>0.077147891971118529</v>
      </c>
      <c r="E15" s="575"/>
      <c r="F15" s="575"/>
      <c r="G15" s="575"/>
      <c r="H15" s="575"/>
      <c r="I15" s="575"/>
      <c r="J15" s="575"/>
      <c r="K15" s="575"/>
      <c r="L15" s="575"/>
      <c r="M15" s="575"/>
      <c r="N15" s="575"/>
      <c r="O15" s="575"/>
      <c r="P15" s="575"/>
    </row>
    <row r="16" spans="1:16" ht="15.5">
      <c r="A16" s="583">
        <f t="shared" si="3"/>
        <v>8</v>
      </c>
      <c r="B16" s="589" t="s">
        <v>1221</v>
      </c>
      <c r="D16" s="576">
        <f>D14*$D$15</f>
        <v>3480.4692853580341</v>
      </c>
      <c r="E16" s="576">
        <f t="shared" si="4" ref="E16:O16">E14*$D$15</f>
        <v>3480.4692853580341</v>
      </c>
      <c r="F16" s="576">
        <f t="shared" si="4"/>
        <v>3480.4692853580341</v>
      </c>
      <c r="G16" s="576">
        <f t="shared" si="4"/>
        <v>3480.4692853580341</v>
      </c>
      <c r="H16" s="576">
        <f t="shared" si="4"/>
        <v>3480.4692853580341</v>
      </c>
      <c r="I16" s="576">
        <f t="shared" si="4"/>
        <v>3480.4692853580341</v>
      </c>
      <c r="J16" s="576">
        <f t="shared" si="4"/>
        <v>3480.4692853580341</v>
      </c>
      <c r="K16" s="576">
        <f t="shared" si="4"/>
        <v>3480.4692853580341</v>
      </c>
      <c r="L16" s="576">
        <f t="shared" si="4"/>
        <v>3480.4692853580341</v>
      </c>
      <c r="M16" s="576">
        <f t="shared" si="4"/>
        <v>3480.4692853580341</v>
      </c>
      <c r="N16" s="576">
        <f t="shared" si="4"/>
        <v>3480.4692853580341</v>
      </c>
      <c r="O16" s="576">
        <f t="shared" si="4"/>
        <v>3480.4692853580341</v>
      </c>
      <c r="P16" s="575">
        <f>SUM(D16:O16)</f>
        <v>41765.631424296407</v>
      </c>
    </row>
    <row r="17" spans="1:16" s="352" customFormat="1" ht="15.5">
      <c r="A17" s="583"/>
      <c r="B17" s="589"/>
      <c r="D17" s="576"/>
      <c r="E17" s="576"/>
      <c r="F17" s="576"/>
      <c r="G17" s="576"/>
      <c r="H17" s="576"/>
      <c r="I17" s="576"/>
      <c r="J17" s="576"/>
      <c r="K17" s="576"/>
      <c r="L17" s="576"/>
      <c r="M17" s="576"/>
      <c r="N17" s="576"/>
      <c r="O17" s="576"/>
      <c r="P17" s="576"/>
    </row>
    <row r="18" spans="1:16" ht="15.5">
      <c r="A18" s="584">
        <f>A16+1</f>
        <v>9</v>
      </c>
      <c r="B18" s="591" t="s">
        <v>1223</v>
      </c>
      <c r="D18" s="576">
        <f>D8+D12+D16</f>
        <v>68160.126369466903</v>
      </c>
      <c r="E18" s="576">
        <f t="shared" si="5" ref="E18:O18">E8+E12+E16</f>
        <v>68160.126369466903</v>
      </c>
      <c r="F18" s="576">
        <f t="shared" si="5"/>
        <v>68160.126369466903</v>
      </c>
      <c r="G18" s="576">
        <f t="shared" si="5"/>
        <v>68160.126369466903</v>
      </c>
      <c r="H18" s="576">
        <f t="shared" si="5"/>
        <v>68160.126369466903</v>
      </c>
      <c r="I18" s="576">
        <f t="shared" si="5"/>
        <v>68160.126369466903</v>
      </c>
      <c r="J18" s="576">
        <f t="shared" si="5"/>
        <v>68160.126369466903</v>
      </c>
      <c r="K18" s="576">
        <f t="shared" si="5"/>
        <v>68160.126369466903</v>
      </c>
      <c r="L18" s="576">
        <f t="shared" si="5"/>
        <v>68160.126369466903</v>
      </c>
      <c r="M18" s="576">
        <f t="shared" si="5"/>
        <v>68160.126369466903</v>
      </c>
      <c r="N18" s="576">
        <f t="shared" si="5"/>
        <v>68160.126369466903</v>
      </c>
      <c r="O18" s="576">
        <f t="shared" si="5"/>
        <v>68160.126369466903</v>
      </c>
      <c r="P18" s="575">
        <f>SUM(D18:O18)</f>
        <v>817921.51643360278</v>
      </c>
    </row>
    <row r="19" spans="1:16" s="352" customFormat="1" ht="15.5">
      <c r="A19" s="583"/>
      <c r="P19" s="576"/>
    </row>
    <row r="20" spans="1:16" ht="15.5">
      <c r="A20" s="584">
        <f>A18+1</f>
        <v>10</v>
      </c>
      <c r="B20" s="588" t="s">
        <v>1194</v>
      </c>
      <c r="D20" s="578">
        <v>201938.34523809524</v>
      </c>
      <c r="E20" s="577">
        <v>201938.34523809524</v>
      </c>
      <c r="F20" s="577">
        <v>201938.34523809524</v>
      </c>
      <c r="G20" s="577">
        <v>201938.34523809524</v>
      </c>
      <c r="H20" s="577">
        <v>201938.34523809524</v>
      </c>
      <c r="I20" s="577">
        <v>201938.34523809524</v>
      </c>
      <c r="J20" s="577">
        <v>201938.34523809524</v>
      </c>
      <c r="K20" s="577">
        <v>201938.34523809524</v>
      </c>
      <c r="L20" s="577">
        <v>201938.34523809524</v>
      </c>
      <c r="M20" s="577">
        <v>201938.34523809524</v>
      </c>
      <c r="N20" s="577">
        <v>201938.34523809524</v>
      </c>
      <c r="O20" s="577">
        <v>201938.34523809524</v>
      </c>
      <c r="P20" s="575">
        <f>SUM(D20:O20)</f>
        <v>2423260.1428571423</v>
      </c>
    </row>
    <row r="21" spans="1:16" s="352" customFormat="1" ht="15.5">
      <c r="A21" s="583"/>
      <c r="P21" s="576"/>
    </row>
    <row r="22" spans="1:16" ht="15.5">
      <c r="A22" s="584">
        <f>A20+1</f>
        <v>11</v>
      </c>
      <c r="B22" s="588" t="s">
        <v>1195</v>
      </c>
      <c r="D22" s="577">
        <v>74045.05</v>
      </c>
      <c r="E22" s="577">
        <v>74045.05</v>
      </c>
      <c r="F22" s="577">
        <v>74045.05</v>
      </c>
      <c r="G22" s="577">
        <v>74045.05</v>
      </c>
      <c r="H22" s="577">
        <v>74045.05</v>
      </c>
      <c r="I22" s="577">
        <v>74045.05</v>
      </c>
      <c r="J22" s="577">
        <v>74045.05</v>
      </c>
      <c r="K22" s="577">
        <v>74045.05</v>
      </c>
      <c r="L22" s="577">
        <v>74045.05</v>
      </c>
      <c r="M22" s="577">
        <v>74045.05</v>
      </c>
      <c r="N22" s="577">
        <v>74045.05</v>
      </c>
      <c r="O22" s="577">
        <v>74045.05</v>
      </c>
      <c r="P22" s="575">
        <f t="shared" si="6" ref="P22:P23">SUM(D22:O22)</f>
        <v>888540.60000000021</v>
      </c>
    </row>
    <row r="23" spans="1:16" ht="15.5">
      <c r="A23" s="583">
        <f t="shared" si="7" ref="A23:A24">A22+1</f>
        <v>12</v>
      </c>
      <c r="B23" s="588" t="s">
        <v>1196</v>
      </c>
      <c r="D23" s="577">
        <v>-78378.733333333337</v>
      </c>
      <c r="E23" s="577">
        <v>-78378.733333333337</v>
      </c>
      <c r="F23" s="577">
        <v>-78378.733333333337</v>
      </c>
      <c r="G23" s="577">
        <v>-78378.733333333337</v>
      </c>
      <c r="H23" s="577">
        <v>-78378.733333333337</v>
      </c>
      <c r="I23" s="577">
        <v>-78378.733333333337</v>
      </c>
      <c r="J23" s="577">
        <v>-78378.733333333337</v>
      </c>
      <c r="K23" s="577">
        <v>-78378.733333333337</v>
      </c>
      <c r="L23" s="577">
        <v>-78378.733333333337</v>
      </c>
      <c r="M23" s="577">
        <v>-78378.733333333337</v>
      </c>
      <c r="N23" s="577">
        <v>-78378.733333333337</v>
      </c>
      <c r="O23" s="577">
        <v>-78378.733333333337</v>
      </c>
      <c r="P23" s="575">
        <f t="shared" si="6"/>
        <v>-940544.80000000028</v>
      </c>
    </row>
    <row r="24" spans="1:16" ht="15.5">
      <c r="A24" s="583">
        <f t="shared" si="7"/>
        <v>13</v>
      </c>
      <c r="B24" s="588" t="s">
        <v>1197</v>
      </c>
      <c r="D24" s="575">
        <f t="shared" si="8" ref="D24:O24">SUM(D22:D23)</f>
        <v>-4333.6833333333343</v>
      </c>
      <c r="E24" s="575">
        <f t="shared" si="8"/>
        <v>-4333.6833333333343</v>
      </c>
      <c r="F24" s="575">
        <f t="shared" si="8"/>
        <v>-4333.6833333333343</v>
      </c>
      <c r="G24" s="575">
        <f t="shared" si="8"/>
        <v>-4333.6833333333343</v>
      </c>
      <c r="H24" s="575">
        <f t="shared" si="8"/>
        <v>-4333.6833333333343</v>
      </c>
      <c r="I24" s="575">
        <f t="shared" si="8"/>
        <v>-4333.6833333333343</v>
      </c>
      <c r="J24" s="575">
        <f t="shared" si="8"/>
        <v>-4333.6833333333343</v>
      </c>
      <c r="K24" s="575">
        <f t="shared" si="8"/>
        <v>-4333.6833333333343</v>
      </c>
      <c r="L24" s="575">
        <f t="shared" si="8"/>
        <v>-4333.6833333333343</v>
      </c>
      <c r="M24" s="575">
        <f t="shared" si="8"/>
        <v>-4333.6833333333343</v>
      </c>
      <c r="N24" s="575">
        <f t="shared" si="8"/>
        <v>-4333.6833333333343</v>
      </c>
      <c r="O24" s="575">
        <f t="shared" si="8"/>
        <v>-4333.6833333333343</v>
      </c>
      <c r="P24" s="575">
        <f>SUM(P22:P23)</f>
        <v>-52004.20000000007</v>
      </c>
    </row>
    <row r="25" spans="2:15" ht="15.5">
      <c r="B25" s="572"/>
      <c r="D25" s="352"/>
      <c r="E25" s="352"/>
      <c r="F25" s="352"/>
      <c r="G25" s="352"/>
      <c r="H25" s="352"/>
      <c r="I25" s="352"/>
      <c r="J25" s="352"/>
      <c r="K25" s="352"/>
      <c r="L25" s="352"/>
      <c r="M25" s="352"/>
      <c r="N25" s="352"/>
      <c r="O25" s="352"/>
    </row>
    <row r="26" spans="2:15" ht="15.5">
      <c r="B26" s="572"/>
      <c r="D26" s="352"/>
      <c r="E26" s="352"/>
      <c r="F26" s="352"/>
      <c r="G26" s="352"/>
      <c r="H26" s="352"/>
      <c r="I26" s="352"/>
      <c r="J26" s="352"/>
      <c r="K26" s="352"/>
      <c r="L26" s="352"/>
      <c r="M26" s="352"/>
      <c r="N26" s="352"/>
      <c r="O26" s="352"/>
    </row>
    <row r="27" spans="2:15" ht="15.5">
      <c r="B27" s="570" t="s">
        <v>1280</v>
      </c>
      <c r="D27" s="352"/>
      <c r="E27" s="352"/>
      <c r="F27" s="352"/>
      <c r="G27" s="352"/>
      <c r="H27" s="352"/>
      <c r="I27" s="352"/>
      <c r="J27" s="352"/>
      <c r="K27" s="352"/>
      <c r="L27" s="352"/>
      <c r="M27" s="352"/>
      <c r="N27" s="352"/>
      <c r="O27" s="352"/>
    </row>
    <row r="28" spans="3:16" ht="41.5" customHeight="1">
      <c r="C28" s="573" t="s">
        <v>195</v>
      </c>
      <c r="D28" s="573" t="s">
        <v>84</v>
      </c>
      <c r="E28" s="573" t="s">
        <v>83</v>
      </c>
      <c r="F28" s="573" t="s">
        <v>171</v>
      </c>
      <c r="G28" s="573" t="s">
        <v>74</v>
      </c>
      <c r="H28" s="573" t="s">
        <v>73</v>
      </c>
      <c r="I28" s="573" t="s">
        <v>93</v>
      </c>
      <c r="J28" s="573" t="s">
        <v>81</v>
      </c>
      <c r="K28" s="573" t="s">
        <v>172</v>
      </c>
      <c r="L28" s="573" t="s">
        <v>79</v>
      </c>
      <c r="M28" s="573" t="s">
        <v>85</v>
      </c>
      <c r="N28" s="573" t="s">
        <v>78</v>
      </c>
      <c r="O28" s="573" t="s">
        <v>196</v>
      </c>
      <c r="P28" s="932" t="s">
        <v>1281</v>
      </c>
    </row>
    <row r="29" spans="1:2" ht="15.5">
      <c r="A29" s="584">
        <f>A24+1</f>
        <v>14</v>
      </c>
      <c r="B29" s="570" t="s">
        <v>1224</v>
      </c>
    </row>
    <row r="30" spans="1:16" ht="15.5">
      <c r="A30" s="583">
        <f>A29+1</f>
        <v>15</v>
      </c>
      <c r="B30" s="589" t="s">
        <v>17</v>
      </c>
      <c r="C30" s="577">
        <v>79726712</v>
      </c>
      <c r="D30" s="597">
        <f t="shared" si="9" ref="D30:O30">C30-D8</f>
        <v>79663843.666666672</v>
      </c>
      <c r="E30" s="597">
        <f t="shared" si="9"/>
        <v>79600975.333333343</v>
      </c>
      <c r="F30" s="597">
        <f t="shared" si="9"/>
        <v>79538107.000000015</v>
      </c>
      <c r="G30" s="597">
        <f t="shared" si="9"/>
        <v>79475238.666666687</v>
      </c>
      <c r="H30" s="597">
        <f t="shared" si="9"/>
        <v>79412370.333333358</v>
      </c>
      <c r="I30" s="597">
        <f t="shared" si="9"/>
        <v>79349502.00000003</v>
      </c>
      <c r="J30" s="597">
        <f t="shared" si="9"/>
        <v>79286633.666666701</v>
      </c>
      <c r="K30" s="597">
        <f t="shared" si="9"/>
        <v>79223765.333333373</v>
      </c>
      <c r="L30" s="597">
        <f t="shared" si="9"/>
        <v>79160897.000000045</v>
      </c>
      <c r="M30" s="597">
        <f t="shared" si="9"/>
        <v>79098028.666666716</v>
      </c>
      <c r="N30" s="597">
        <f t="shared" si="9"/>
        <v>79035160.333333388</v>
      </c>
      <c r="O30" s="597">
        <f t="shared" si="9"/>
        <v>78972292.00000006</v>
      </c>
      <c r="P30" s="598">
        <f>AVERAGE(C30,O30)</f>
        <v>79349502.00000003</v>
      </c>
    </row>
    <row r="31" spans="1:16" ht="15.5">
      <c r="A31" s="583"/>
      <c r="B31" s="352"/>
      <c r="C31" s="576"/>
      <c r="D31" s="597"/>
      <c r="E31" s="597"/>
      <c r="F31" s="597"/>
      <c r="G31" s="597"/>
      <c r="H31" s="597"/>
      <c r="I31" s="597"/>
      <c r="J31" s="597"/>
      <c r="K31" s="597"/>
      <c r="L31" s="597"/>
      <c r="M31" s="597"/>
      <c r="N31" s="597"/>
      <c r="O31" s="597"/>
      <c r="P31" s="599"/>
    </row>
    <row r="32" spans="1:16" ht="15.5">
      <c r="A32" s="584">
        <f>A30+1</f>
        <v>16</v>
      </c>
      <c r="B32" s="589" t="s">
        <v>1219</v>
      </c>
      <c r="C32" s="577">
        <v>1683749</v>
      </c>
      <c r="D32" s="597">
        <f>C32-D10</f>
        <v>1665416.9166666667</v>
      </c>
      <c r="E32" s="597">
        <f t="shared" si="10" ref="E32:O32">D32-E10</f>
        <v>1647084.8333333335</v>
      </c>
      <c r="F32" s="597">
        <f t="shared" si="10"/>
        <v>1628752.7500000002</v>
      </c>
      <c r="G32" s="597">
        <f t="shared" si="10"/>
        <v>1610420.666666667</v>
      </c>
      <c r="H32" s="597">
        <f t="shared" si="10"/>
        <v>1592088.5833333337</v>
      </c>
      <c r="I32" s="597">
        <f t="shared" si="10"/>
        <v>1573756.5000000005</v>
      </c>
      <c r="J32" s="597">
        <f t="shared" si="10"/>
        <v>1555424.4166666672</v>
      </c>
      <c r="K32" s="597">
        <f t="shared" si="10"/>
        <v>1537092.333333334</v>
      </c>
      <c r="L32" s="597">
        <f t="shared" si="10"/>
        <v>1518760.2500000007</v>
      </c>
      <c r="M32" s="597">
        <f t="shared" si="10"/>
        <v>1500428.1666666674</v>
      </c>
      <c r="N32" s="597">
        <f t="shared" si="10"/>
        <v>1482096.0833333342</v>
      </c>
      <c r="O32" s="597">
        <f t="shared" si="10"/>
        <v>1463764.0000000009</v>
      </c>
      <c r="P32" s="598">
        <f>AVERAGE(C32,O32)</f>
        <v>1573756.5000000005</v>
      </c>
    </row>
    <row r="33" spans="1:16" ht="15.5">
      <c r="A33" s="583">
        <f t="shared" si="11" ref="A33:A34">A32+1</f>
        <v>17</v>
      </c>
      <c r="B33" s="589" t="s">
        <v>1220</v>
      </c>
      <c r="C33" s="590">
        <f>D11</f>
        <v>0.09880621410235467</v>
      </c>
      <c r="D33" s="597"/>
      <c r="E33" s="597"/>
      <c r="F33" s="597"/>
      <c r="G33" s="597"/>
      <c r="H33" s="597"/>
      <c r="I33" s="597"/>
      <c r="J33" s="597"/>
      <c r="K33" s="597"/>
      <c r="L33" s="597"/>
      <c r="M33" s="597"/>
      <c r="N33" s="597"/>
      <c r="O33" s="597"/>
      <c r="P33" s="598"/>
    </row>
    <row r="34" spans="1:16" ht="15.5">
      <c r="A34" s="583">
        <f t="shared" si="11"/>
        <v>18</v>
      </c>
      <c r="B34" s="589" t="s">
        <v>1221</v>
      </c>
      <c r="C34" s="576">
        <f>C32*$C$33</f>
        <v>166364.86418862557</v>
      </c>
      <c r="D34" s="598">
        <f t="shared" si="12" ref="D34:O34">D32*$C$33</f>
        <v>164553.54043785005</v>
      </c>
      <c r="E34" s="598">
        <f t="shared" si="12"/>
        <v>162742.21668707451</v>
      </c>
      <c r="F34" s="598">
        <f t="shared" si="12"/>
        <v>160930.89293629897</v>
      </c>
      <c r="G34" s="598">
        <f t="shared" si="12"/>
        <v>159119.56918552343</v>
      </c>
      <c r="H34" s="598">
        <f t="shared" si="12"/>
        <v>157308.24543474789</v>
      </c>
      <c r="I34" s="598">
        <f t="shared" si="12"/>
        <v>155496.92168397238</v>
      </c>
      <c r="J34" s="598">
        <f t="shared" si="12"/>
        <v>153685.59793319684</v>
      </c>
      <c r="K34" s="598">
        <f t="shared" si="12"/>
        <v>151874.2741824213</v>
      </c>
      <c r="L34" s="598">
        <f t="shared" si="12"/>
        <v>150062.95043164576</v>
      </c>
      <c r="M34" s="598">
        <f t="shared" si="12"/>
        <v>148251.62668087025</v>
      </c>
      <c r="N34" s="598">
        <f t="shared" si="12"/>
        <v>146440.30293009471</v>
      </c>
      <c r="O34" s="598">
        <f t="shared" si="12"/>
        <v>144628.97917931917</v>
      </c>
      <c r="P34" s="598">
        <f>AVERAGE(C34,O34)</f>
        <v>155496.92168397235</v>
      </c>
    </row>
    <row r="35" spans="2:16" ht="15.5">
      <c r="B35" s="352"/>
      <c r="C35" s="576"/>
      <c r="D35" s="597"/>
      <c r="E35" s="597"/>
      <c r="F35" s="597"/>
      <c r="G35" s="597"/>
      <c r="H35" s="597"/>
      <c r="I35" s="597"/>
      <c r="J35" s="597"/>
      <c r="K35" s="597"/>
      <c r="L35" s="597"/>
      <c r="M35" s="597"/>
      <c r="N35" s="597"/>
      <c r="O35" s="597"/>
      <c r="P35" s="599"/>
    </row>
    <row r="36" spans="1:16" ht="15.5">
      <c r="A36" s="584">
        <f>A34+1</f>
        <v>19</v>
      </c>
      <c r="B36" s="589" t="s">
        <v>1222</v>
      </c>
      <c r="C36" s="577">
        <v>11901494</v>
      </c>
      <c r="D36" s="597">
        <f>C36-D14</f>
        <v>11856379.75</v>
      </c>
      <c r="E36" s="597">
        <f t="shared" si="13" ref="E36:O36">D36-E14</f>
        <v>11811265.5</v>
      </c>
      <c r="F36" s="597">
        <f t="shared" si="13"/>
        <v>11766151.25</v>
      </c>
      <c r="G36" s="597">
        <f t="shared" si="13"/>
        <v>11721037</v>
      </c>
      <c r="H36" s="597">
        <f t="shared" si="13"/>
        <v>11675922.75</v>
      </c>
      <c r="I36" s="597">
        <f t="shared" si="13"/>
        <v>11630808.5</v>
      </c>
      <c r="J36" s="597">
        <f t="shared" si="13"/>
        <v>11585694.25</v>
      </c>
      <c r="K36" s="597">
        <f t="shared" si="13"/>
        <v>11540580</v>
      </c>
      <c r="L36" s="597">
        <f t="shared" si="13"/>
        <v>11495465.75</v>
      </c>
      <c r="M36" s="597">
        <f t="shared" si="13"/>
        <v>11450351.5</v>
      </c>
      <c r="N36" s="597">
        <f t="shared" si="13"/>
        <v>11405237.25</v>
      </c>
      <c r="O36" s="597">
        <f t="shared" si="13"/>
        <v>11360123</v>
      </c>
      <c r="P36" s="598">
        <f>AVERAGE(C36,O36)</f>
        <v>11630808.5</v>
      </c>
    </row>
    <row r="37" spans="1:16" ht="15.5">
      <c r="A37" s="583">
        <f t="shared" si="14" ref="A37:A38">A36+1</f>
        <v>20</v>
      </c>
      <c r="B37" s="589" t="s">
        <v>1220</v>
      </c>
      <c r="C37" s="590">
        <f>D15</f>
        <v>0.077147891971118529</v>
      </c>
      <c r="D37" s="597"/>
      <c r="E37" s="597"/>
      <c r="F37" s="597"/>
      <c r="G37" s="597"/>
      <c r="H37" s="597"/>
      <c r="I37" s="597"/>
      <c r="J37" s="597"/>
      <c r="K37" s="597"/>
      <c r="L37" s="597"/>
      <c r="M37" s="597"/>
      <c r="N37" s="597"/>
      <c r="O37" s="597"/>
      <c r="P37" s="598"/>
    </row>
    <row r="38" spans="1:16" ht="15.5">
      <c r="A38" s="583">
        <f t="shared" si="14"/>
        <v>21</v>
      </c>
      <c r="B38" s="589" t="s">
        <v>1221</v>
      </c>
      <c r="C38" s="576">
        <f>C36*$C$37</f>
        <v>918175.17340691539</v>
      </c>
      <c r="D38" s="598">
        <f t="shared" si="15" ref="D38:O38">D36*$C$37</f>
        <v>914694.7041215573</v>
      </c>
      <c r="E38" s="598">
        <f t="shared" si="15"/>
        <v>911214.23483619932</v>
      </c>
      <c r="F38" s="598">
        <f t="shared" si="15"/>
        <v>907733.76555084123</v>
      </c>
      <c r="G38" s="598">
        <f t="shared" si="15"/>
        <v>904253.29626548325</v>
      </c>
      <c r="H38" s="598">
        <f t="shared" si="15"/>
        <v>900772.82698012516</v>
      </c>
      <c r="I38" s="598">
        <f t="shared" si="15"/>
        <v>897292.35769476718</v>
      </c>
      <c r="J38" s="598">
        <f t="shared" si="15"/>
        <v>893811.88840940909</v>
      </c>
      <c r="K38" s="598">
        <f t="shared" si="15"/>
        <v>890331.41912405111</v>
      </c>
      <c r="L38" s="598">
        <f t="shared" si="15"/>
        <v>886850.94983869302</v>
      </c>
      <c r="M38" s="598">
        <f t="shared" si="15"/>
        <v>883370.48055333504</v>
      </c>
      <c r="N38" s="598">
        <f t="shared" si="15"/>
        <v>879890.01126797695</v>
      </c>
      <c r="O38" s="598">
        <f t="shared" si="15"/>
        <v>876409.54198261898</v>
      </c>
      <c r="P38" s="598">
        <f>AVERAGE(C38,O38)</f>
        <v>897292.35769476718</v>
      </c>
    </row>
    <row r="39" spans="1:16" ht="15.5">
      <c r="A39" s="583"/>
      <c r="B39" s="570"/>
      <c r="C39" s="576"/>
      <c r="D39" s="597"/>
      <c r="E39" s="597"/>
      <c r="F39" s="597"/>
      <c r="G39" s="597"/>
      <c r="H39" s="597"/>
      <c r="I39" s="597"/>
      <c r="J39" s="597"/>
      <c r="K39" s="597"/>
      <c r="L39" s="597"/>
      <c r="M39" s="597"/>
      <c r="N39" s="597"/>
      <c r="O39" s="597"/>
      <c r="P39" s="599"/>
    </row>
    <row r="40" spans="1:16" ht="15.5">
      <c r="A40" s="584">
        <f>A38+1</f>
        <v>22</v>
      </c>
      <c r="B40" s="591" t="s">
        <v>1223</v>
      </c>
      <c r="C40" s="576">
        <f>C30+C34+C38</f>
        <v>80811252.03759554</v>
      </c>
      <c r="D40" s="598">
        <f t="shared" si="16" ref="D40:O40">D30+D34+D38</f>
        <v>80743091.911226079</v>
      </c>
      <c r="E40" s="598">
        <f t="shared" si="16"/>
        <v>80674931.784856617</v>
      </c>
      <c r="F40" s="598">
        <f t="shared" si="16"/>
        <v>80606771.658487156</v>
      </c>
      <c r="G40" s="598">
        <f t="shared" si="16"/>
        <v>80538611.532117695</v>
      </c>
      <c r="H40" s="598">
        <f t="shared" si="16"/>
        <v>80470451.405748233</v>
      </c>
      <c r="I40" s="598">
        <f t="shared" si="16"/>
        <v>80402291.279378757</v>
      </c>
      <c r="J40" s="598">
        <f t="shared" si="16"/>
        <v>80334131.15300931</v>
      </c>
      <c r="K40" s="598">
        <f t="shared" si="16"/>
        <v>80265971.026639849</v>
      </c>
      <c r="L40" s="598">
        <f t="shared" si="16"/>
        <v>80197810.900270388</v>
      </c>
      <c r="M40" s="598">
        <f t="shared" si="16"/>
        <v>80129650.773900911</v>
      </c>
      <c r="N40" s="598">
        <f t="shared" si="16"/>
        <v>80061490.647531465</v>
      </c>
      <c r="O40" s="598">
        <f t="shared" si="16"/>
        <v>79993330.521162003</v>
      </c>
      <c r="P40" s="598">
        <f>AVERAGE(C40,O40)</f>
        <v>80402291.279378772</v>
      </c>
    </row>
    <row r="41" spans="1:16" s="352" customFormat="1" ht="15.5">
      <c r="A41" s="583"/>
      <c r="C41" s="571"/>
      <c r="D41" s="600"/>
      <c r="E41" s="600"/>
      <c r="F41" s="600"/>
      <c r="G41" s="600"/>
      <c r="H41" s="600"/>
      <c r="I41" s="600"/>
      <c r="J41" s="600"/>
      <c r="K41" s="600"/>
      <c r="L41" s="600"/>
      <c r="M41" s="600"/>
      <c r="N41" s="600"/>
      <c r="O41" s="600"/>
      <c r="P41" s="600"/>
    </row>
    <row r="42" spans="1:16" ht="15.5">
      <c r="A42" s="584">
        <f>A40+1</f>
        <v>23</v>
      </c>
      <c r="B42" s="588" t="s">
        <v>1194</v>
      </c>
      <c r="C42" s="577">
        <v>16962821</v>
      </c>
      <c r="D42" s="597">
        <f t="shared" si="17" ref="D42:O42">C42-D20</f>
        <v>16760882.654761905</v>
      </c>
      <c r="E42" s="597">
        <f t="shared" si="17"/>
        <v>16558944.30952381</v>
      </c>
      <c r="F42" s="597">
        <f t="shared" si="17"/>
        <v>16357005.964285715</v>
      </c>
      <c r="G42" s="597">
        <f t="shared" si="17"/>
        <v>16155067.619047619</v>
      </c>
      <c r="H42" s="597">
        <f t="shared" si="17"/>
        <v>15953129.273809524</v>
      </c>
      <c r="I42" s="597">
        <f t="shared" si="17"/>
        <v>15751190.928571429</v>
      </c>
      <c r="J42" s="597">
        <f t="shared" si="17"/>
        <v>15549252.583333334</v>
      </c>
      <c r="K42" s="597">
        <f t="shared" si="17"/>
        <v>15347314.238095239</v>
      </c>
      <c r="L42" s="597">
        <f t="shared" si="17"/>
        <v>15145375.892857144</v>
      </c>
      <c r="M42" s="597">
        <f t="shared" si="17"/>
        <v>14943437.547619049</v>
      </c>
      <c r="N42" s="597">
        <f t="shared" si="17"/>
        <v>14741499.202380953</v>
      </c>
      <c r="O42" s="597">
        <f t="shared" si="17"/>
        <v>14539560.857142858</v>
      </c>
      <c r="P42" s="598">
        <f>AVERAGE(C42,O42)</f>
        <v>15751190.928571429</v>
      </c>
    </row>
    <row r="43" spans="1:16" s="352" customFormat="1" ht="15.5">
      <c r="A43" s="583"/>
      <c r="C43" s="571"/>
      <c r="D43" s="600"/>
      <c r="E43" s="600"/>
      <c r="F43" s="600"/>
      <c r="G43" s="600"/>
      <c r="H43" s="600"/>
      <c r="I43" s="600"/>
      <c r="J43" s="600"/>
      <c r="K43" s="600"/>
      <c r="L43" s="600"/>
      <c r="M43" s="600"/>
      <c r="N43" s="600"/>
      <c r="O43" s="600"/>
      <c r="P43" s="600"/>
    </row>
    <row r="44" spans="1:16" ht="15.5">
      <c r="A44" s="584">
        <f>A42+1</f>
        <v>24</v>
      </c>
      <c r="B44" s="588" t="s">
        <v>1195</v>
      </c>
      <c r="C44" s="577">
        <v>4442703</v>
      </c>
      <c r="D44" s="597">
        <f t="shared" si="18" ref="D44:O44">C44-D22</f>
        <v>4368657.95</v>
      </c>
      <c r="E44" s="597">
        <f t="shared" si="18"/>
        <v>4294612.9000000004</v>
      </c>
      <c r="F44" s="597">
        <f t="shared" si="18"/>
        <v>4220567.8500000006</v>
      </c>
      <c r="G44" s="597">
        <f t="shared" si="18"/>
        <v>4146522.8000000007</v>
      </c>
      <c r="H44" s="597">
        <f t="shared" si="18"/>
        <v>4072477.7500000009</v>
      </c>
      <c r="I44" s="597">
        <f t="shared" si="18"/>
        <v>3998432.7000000011</v>
      </c>
      <c r="J44" s="597">
        <f t="shared" si="18"/>
        <v>3924387.6500000013</v>
      </c>
      <c r="K44" s="597">
        <f t="shared" si="18"/>
        <v>3850342.6000000015</v>
      </c>
      <c r="L44" s="597">
        <f t="shared" si="18"/>
        <v>3776297.5500000017</v>
      </c>
      <c r="M44" s="597">
        <f t="shared" si="18"/>
        <v>3702252.5000000019</v>
      </c>
      <c r="N44" s="597">
        <f t="shared" si="18"/>
        <v>3628207.450000002</v>
      </c>
      <c r="O44" s="597">
        <f t="shared" si="18"/>
        <v>3554162.4000000022</v>
      </c>
      <c r="P44" s="598">
        <f>AVERAGE(C44,O44)</f>
        <v>3998432.7000000011</v>
      </c>
    </row>
    <row r="45" spans="1:16" ht="15.5">
      <c r="A45" s="583">
        <f t="shared" si="19" ref="A45:A46">A44+1</f>
        <v>25</v>
      </c>
      <c r="B45" s="588" t="s">
        <v>1196</v>
      </c>
      <c r="C45" s="577">
        <v>-4702724</v>
      </c>
      <c r="D45" s="597">
        <f t="shared" si="20" ref="D45:O45">C45-D23</f>
        <v>-4624345.2666666666</v>
      </c>
      <c r="E45" s="597">
        <f t="shared" si="20"/>
        <v>-4545966.5333333332</v>
      </c>
      <c r="F45" s="597">
        <f t="shared" si="20"/>
        <v>-4467587.80</v>
      </c>
      <c r="G45" s="597">
        <f t="shared" si="20"/>
        <v>-4389209.0666666664</v>
      </c>
      <c r="H45" s="597">
        <f t="shared" si="20"/>
        <v>-4310830.333333333</v>
      </c>
      <c r="I45" s="597">
        <f t="shared" si="20"/>
        <v>-4232451.5999999996</v>
      </c>
      <c r="J45" s="597">
        <f t="shared" si="20"/>
        <v>-4154072.8666666662</v>
      </c>
      <c r="K45" s="597">
        <f t="shared" si="20"/>
        <v>-4075694.1333333328</v>
      </c>
      <c r="L45" s="597">
        <f t="shared" si="20"/>
        <v>-3997315.3999999994</v>
      </c>
      <c r="M45" s="597">
        <f t="shared" si="20"/>
        <v>-3918936.666666666</v>
      </c>
      <c r="N45" s="597">
        <f t="shared" si="20"/>
        <v>-3840557.9333333327</v>
      </c>
      <c r="O45" s="597">
        <f t="shared" si="20"/>
        <v>-3762179.1999999993</v>
      </c>
      <c r="P45" s="598">
        <f>AVERAGE(C45,O45)</f>
        <v>-4232451.5999999996</v>
      </c>
    </row>
    <row r="46" spans="1:16" ht="15.5">
      <c r="A46" s="583">
        <f t="shared" si="19"/>
        <v>26</v>
      </c>
      <c r="B46" s="588" t="s">
        <v>1197</v>
      </c>
      <c r="C46" s="575">
        <f t="shared" si="21" ref="C46">SUM(C44:C45)</f>
        <v>-260021</v>
      </c>
      <c r="D46" s="599">
        <f t="shared" si="22" ref="D46">SUM(D44:D45)</f>
        <v>-255687.31666666642</v>
      </c>
      <c r="E46" s="599">
        <f t="shared" si="23" ref="E46">SUM(E44:E45)</f>
        <v>-251353.63333333284</v>
      </c>
      <c r="F46" s="599">
        <f t="shared" si="24" ref="F46">SUM(F44:F45)</f>
        <v>-247019.94999999926</v>
      </c>
      <c r="G46" s="599">
        <f t="shared" si="25" ref="G46">SUM(G44:G45)</f>
        <v>-242686.26666666567</v>
      </c>
      <c r="H46" s="599">
        <f t="shared" si="26" ref="H46">SUM(H44:H45)</f>
        <v>-238352.58333333209</v>
      </c>
      <c r="I46" s="599">
        <f t="shared" si="27" ref="I46">SUM(I44:I45)</f>
        <v>-234018.89999999851</v>
      </c>
      <c r="J46" s="599">
        <f t="shared" si="28" ref="J46">SUM(J44:J45)</f>
        <v>-229685.21666666493</v>
      </c>
      <c r="K46" s="599">
        <f t="shared" si="29" ref="K46">SUM(K44:K45)</f>
        <v>-225351.53333333135</v>
      </c>
      <c r="L46" s="599">
        <f t="shared" si="30" ref="L46">SUM(L44:L45)</f>
        <v>-221017.84999999777</v>
      </c>
      <c r="M46" s="599">
        <f t="shared" si="31" ref="M46">SUM(M44:M45)</f>
        <v>-216684.16666666418</v>
      </c>
      <c r="N46" s="599">
        <f t="shared" si="32" ref="N46">SUM(N44:N45)</f>
        <v>-212350.4833333306</v>
      </c>
      <c r="O46" s="599">
        <f t="shared" si="33" ref="O46:P46">SUM(O44:O45)</f>
        <v>-208016.79999999702</v>
      </c>
      <c r="P46" s="599">
        <f t="shared" si="33"/>
        <v>-234018.89999999851</v>
      </c>
    </row>
    <row r="47" spans="4:15" ht="15.5">
      <c r="D47" s="571"/>
      <c r="E47" s="571"/>
      <c r="F47" s="571"/>
      <c r="G47" s="571"/>
      <c r="H47" s="571"/>
      <c r="I47" s="571"/>
      <c r="J47" s="571"/>
      <c r="K47" s="571"/>
      <c r="L47" s="571"/>
      <c r="M47" s="571"/>
      <c r="N47" s="571"/>
      <c r="O47" s="571"/>
    </row>
    <row r="48" spans="4:15" ht="15.5">
      <c r="D48" s="571"/>
      <c r="E48" s="571"/>
      <c r="F48" s="571"/>
      <c r="G48" s="571"/>
      <c r="H48" s="571"/>
      <c r="I48" s="571"/>
      <c r="J48" s="571"/>
      <c r="K48" s="571"/>
      <c r="L48" s="571"/>
      <c r="M48" s="571"/>
      <c r="N48" s="571"/>
      <c r="O48" s="571"/>
    </row>
    <row r="49" ht="16" thickBot="1">
      <c r="A49" s="928" t="s">
        <v>182</v>
      </c>
    </row>
    <row r="50" spans="1:16" ht="45" customHeight="1">
      <c r="A50" s="572" t="s">
        <v>58</v>
      </c>
      <c r="B50" s="1101" t="s">
        <v>1573</v>
      </c>
      <c r="C50" s="1101"/>
      <c r="D50" s="1101"/>
      <c r="E50" s="1101"/>
      <c r="F50" s="1101"/>
      <c r="G50" s="1101"/>
      <c r="H50" s="1101"/>
      <c r="I50" s="1101"/>
      <c r="J50" s="1101"/>
      <c r="K50" s="1101"/>
      <c r="L50" s="1101"/>
      <c r="M50" s="1101"/>
      <c r="N50" s="1101"/>
      <c r="O50" s="1101"/>
      <c r="P50" s="1101"/>
    </row>
    <row r="51" spans="1:2" ht="15.5">
      <c r="A51" s="117" t="s">
        <v>59</v>
      </c>
      <c r="B51" s="117" t="s">
        <v>1278</v>
      </c>
    </row>
    <row r="52" spans="1:6" ht="15.5">
      <c r="A52" s="930"/>
      <c r="B52" s="931" t="s">
        <v>1201</v>
      </c>
      <c r="C52" s="572" t="s">
        <v>1198</v>
      </c>
      <c r="F52" s="617"/>
    </row>
    <row r="53" spans="1:4" ht="15.5">
      <c r="A53" s="930"/>
      <c r="B53" s="931" t="s">
        <v>1193</v>
      </c>
      <c r="C53" s="572" t="s">
        <v>1192</v>
      </c>
      <c r="D53" s="617"/>
    </row>
    <row r="54" spans="1:3" ht="15.5">
      <c r="A54" s="930"/>
      <c r="B54" s="931" t="s">
        <v>1199</v>
      </c>
      <c r="C54" s="572" t="s">
        <v>1200</v>
      </c>
    </row>
    <row r="55" spans="1:2" ht="15.5">
      <c r="A55" s="117"/>
      <c r="B55" s="117" t="s">
        <v>1405</v>
      </c>
    </row>
    <row r="56" spans="1:12" ht="15.5">
      <c r="A56" s="352" t="s">
        <v>60</v>
      </c>
      <c r="B56" s="352" t="s">
        <v>1277</v>
      </c>
      <c r="C56" s="352"/>
      <c r="D56" s="352"/>
      <c r="E56" s="352"/>
      <c r="F56" s="352"/>
      <c r="G56" s="352"/>
      <c r="H56" s="352"/>
      <c r="I56" s="352"/>
      <c r="J56" s="352"/>
      <c r="K56" s="352"/>
      <c r="L56" s="352"/>
    </row>
    <row r="57" spans="1:2" ht="15.5">
      <c r="A57" s="929" t="s">
        <v>61</v>
      </c>
      <c r="B57" s="352" t="s">
        <v>1401</v>
      </c>
    </row>
  </sheetData>
  <mergeCells count="4">
    <mergeCell ref="B3:P3"/>
    <mergeCell ref="B1:P1"/>
    <mergeCell ref="B2:P2"/>
    <mergeCell ref="B50:P50"/>
  </mergeCells>
  <pageMargins left="0.7" right="0.7" top="0.75" bottom="0.75" header="0.3" footer="0.3"/>
  <pageSetup orientation="landscape" scale="1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8"/>
  <sheetViews>
    <sheetView zoomScale="80" zoomScaleNormal="80" workbookViewId="0" topLeftCell="A1"/>
  </sheetViews>
  <sheetFormatPr defaultColWidth="8.765625" defaultRowHeight="15.5"/>
  <cols>
    <col min="1" max="1" width="4.78571428571429" style="584" customWidth="1"/>
    <col min="2" max="2" width="5.07142857142857" style="117" customWidth="1"/>
    <col min="3" max="3" width="17.2857142857143" style="117" customWidth="1"/>
    <col min="4" max="8" width="8.78571428571429" style="117"/>
    <col min="9" max="9" width="15.2857142857143" style="117" bestFit="1" customWidth="1"/>
    <col min="10" max="16384" width="8.78571428571429" style="117"/>
  </cols>
  <sheetData>
    <row r="1" spans="1:13" s="352" customFormat="1" ht="15" customHeight="1">
      <c r="A1" s="583"/>
      <c r="B1" s="1102" t="s">
        <v>1214</v>
      </c>
      <c r="C1" s="1102"/>
      <c r="D1" s="1102"/>
      <c r="E1" s="1102"/>
      <c r="F1" s="1102"/>
      <c r="G1" s="1102"/>
      <c r="H1" s="1102"/>
      <c r="I1" s="1102"/>
      <c r="J1" s="580"/>
      <c r="M1" s="581"/>
    </row>
    <row r="2" spans="1:13" s="352" customFormat="1" ht="15" customHeight="1">
      <c r="A2" s="583"/>
      <c r="B2" s="1103" t="s">
        <v>1212</v>
      </c>
      <c r="C2" s="1103"/>
      <c r="D2" s="1103"/>
      <c r="E2" s="1103"/>
      <c r="F2" s="1103"/>
      <c r="G2" s="1103"/>
      <c r="H2" s="1103"/>
      <c r="I2" s="1103"/>
      <c r="J2" s="580"/>
      <c r="K2" s="580"/>
      <c r="M2" s="582"/>
    </row>
    <row r="3" spans="1:11" s="352" customFormat="1" ht="15" customHeight="1">
      <c r="A3" s="583"/>
      <c r="B3" s="1104" t="str">
        <f>+'Attachment H-7'!D5</f>
        <v>PECO Energy Company</v>
      </c>
      <c r="C3" s="1104"/>
      <c r="D3" s="1104"/>
      <c r="E3" s="1104"/>
      <c r="F3" s="1104"/>
      <c r="G3" s="1104"/>
      <c r="H3" s="1104"/>
      <c r="I3" s="1104"/>
      <c r="J3" s="580"/>
      <c r="K3" s="580"/>
    </row>
    <row r="4" ht="15.5">
      <c r="J4" s="117" t="s">
        <v>207</v>
      </c>
    </row>
    <row r="5" spans="1:10" ht="15.5">
      <c r="A5" s="584">
        <v>1</v>
      </c>
      <c r="B5" s="117" t="s">
        <v>1204</v>
      </c>
      <c r="I5" s="148">
        <f>IF('4- Rate Base'!J44&gt;33000000,33000000,'4- Rate Base'!J44)</f>
        <v>27945369.123580255</v>
      </c>
      <c r="J5" s="593" t="s">
        <v>1380</v>
      </c>
    </row>
    <row r="7" ht="15.5">
      <c r="B7" s="117" t="s">
        <v>1384</v>
      </c>
    </row>
    <row r="8" spans="1:10" ht="15.5">
      <c r="A8" s="584">
        <v>2</v>
      </c>
      <c r="C8" s="117" t="s">
        <v>1207</v>
      </c>
      <c r="I8" s="578">
        <f>'4B - ADIT BOY'!G161*'4A - ADIT Summary'!$L$12</f>
        <v>-8901111.5398797635</v>
      </c>
      <c r="J8" s="593" t="s">
        <v>1381</v>
      </c>
    </row>
    <row r="9" spans="1:10" ht="15.5">
      <c r="A9" s="584">
        <v>3</v>
      </c>
      <c r="C9" s="117" t="s">
        <v>1208</v>
      </c>
      <c r="I9" s="579">
        <f>'4C - ADIT EOY'!G156*'4A - ADIT Summary'!$L$12</f>
        <v>-9156348.9378235359</v>
      </c>
      <c r="J9" s="593" t="s">
        <v>1382</v>
      </c>
    </row>
    <row r="10" spans="1:10" ht="15.5">
      <c r="A10" s="584">
        <v>4</v>
      </c>
      <c r="C10" s="117" t="s">
        <v>1206</v>
      </c>
      <c r="I10" s="148">
        <f>AVERAGE(I8:I9)</f>
        <v>-9028730.2388516497</v>
      </c>
      <c r="J10" s="569" t="s">
        <v>1383</v>
      </c>
    </row>
    <row r="11" ht="15.5">
      <c r="J11" s="569"/>
    </row>
    <row r="12" spans="1:10" ht="15.5">
      <c r="A12" s="584">
        <v>5</v>
      </c>
      <c r="B12" s="117" t="s">
        <v>1385</v>
      </c>
      <c r="I12" s="575">
        <f>-'9 - EDIT'!P44</f>
        <v>-3998432.7000000011</v>
      </c>
      <c r="J12" s="593" t="s">
        <v>1379</v>
      </c>
    </row>
    <row r="13" ht="15.5">
      <c r="J13" s="569"/>
    </row>
    <row r="14" spans="1:10" ht="15.5">
      <c r="A14" s="584">
        <v>6</v>
      </c>
      <c r="B14" s="117" t="s">
        <v>1209</v>
      </c>
      <c r="I14" s="575">
        <f>I5+I10+I12</f>
        <v>14918206.184728602</v>
      </c>
      <c r="J14" s="569" t="s">
        <v>1386</v>
      </c>
    </row>
    <row r="15" ht="15.5">
      <c r="J15" s="569"/>
    </row>
    <row r="16" spans="1:10" ht="15.5">
      <c r="A16" s="584">
        <v>7</v>
      </c>
      <c r="B16" s="117" t="s">
        <v>1210</v>
      </c>
      <c r="I16" s="148">
        <f>I14*'Attachment H-7'!I206*(1+'Attachment H-7'!D153)</f>
        <v>1450229.0625178048</v>
      </c>
      <c r="J16" s="593" t="s">
        <v>1387</v>
      </c>
    </row>
    <row r="17" ht="15.5">
      <c r="J17" s="569"/>
    </row>
    <row r="18" spans="1:9" ht="15.5">
      <c r="A18" s="584">
        <v>8</v>
      </c>
      <c r="B18" s="117" t="s">
        <v>1402</v>
      </c>
      <c r="I18" s="592">
        <v>0.60</v>
      </c>
    </row>
    <row r="20" spans="1:10" ht="15.5">
      <c r="A20" s="584">
        <v>9</v>
      </c>
      <c r="B20" s="117" t="s">
        <v>1211</v>
      </c>
      <c r="I20" s="575">
        <f>I16*I18</f>
        <v>870137.43751068285</v>
      </c>
      <c r="J20" s="117" t="s">
        <v>1388</v>
      </c>
    </row>
    <row r="27" ht="16" thickBot="1">
      <c r="A27" s="927" t="s">
        <v>324</v>
      </c>
    </row>
    <row r="28" spans="1:17" ht="18" customHeight="1">
      <c r="A28" s="1105" t="s">
        <v>1205</v>
      </c>
      <c r="B28" s="1105"/>
      <c r="C28" s="1105"/>
      <c r="D28" s="1105"/>
      <c r="E28" s="1105"/>
      <c r="F28" s="1105"/>
      <c r="G28" s="1105"/>
      <c r="H28" s="1105"/>
      <c r="I28" s="1105"/>
      <c r="J28" s="1105"/>
      <c r="K28" s="1105"/>
      <c r="L28" s="1105"/>
      <c r="M28" s="1105"/>
      <c r="N28" s="1105"/>
      <c r="O28" s="1105"/>
      <c r="P28" s="1105"/>
      <c r="Q28" s="1105"/>
    </row>
  </sheetData>
  <mergeCells count="4">
    <mergeCell ref="B1:I1"/>
    <mergeCell ref="B2:I2"/>
    <mergeCell ref="B3:I3"/>
    <mergeCell ref="A28:Q28"/>
  </mergeCells>
  <pageMargins left="0.7" right="0.7" top="0.75" bottom="0.75" header="0.3" footer="0.3"/>
  <pageSetup orientation="landscape" scale="1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pageSetUpPr fitToPage="1"/>
  </sheetPr>
  <dimension ref="A1:Q44"/>
  <sheetViews>
    <sheetView zoomScale="50" zoomScaleNormal="50" workbookViewId="0" topLeftCell="A1"/>
  </sheetViews>
  <sheetFormatPr defaultColWidth="8.765625" defaultRowHeight="15.5"/>
  <cols>
    <col min="1" max="1" width="8.78571428571429" style="584"/>
    <col min="2" max="2" width="62.2857142857143" style="117" customWidth="1"/>
    <col min="3" max="3" width="20.4285714285714" style="117" customWidth="1"/>
    <col min="4" max="15" width="19.5" style="117" bestFit="1" customWidth="1"/>
    <col min="16" max="16" width="19.8571428571429" style="117" bestFit="1" customWidth="1"/>
    <col min="17" max="18" width="15.5" style="117" customWidth="1"/>
    <col min="19" max="16384" width="8.78571428571429" style="117"/>
  </cols>
  <sheetData>
    <row r="1" spans="1:17" s="569" customFormat="1" ht="20.5" customHeight="1">
      <c r="A1" s="584"/>
      <c r="B1" s="584"/>
      <c r="C1" s="1092" t="s">
        <v>1284</v>
      </c>
      <c r="D1" s="1092"/>
      <c r="E1" s="1092"/>
      <c r="F1" s="1092"/>
      <c r="G1" s="1092"/>
      <c r="H1" s="1092"/>
      <c r="I1" s="1092"/>
      <c r="J1" s="1092"/>
      <c r="K1" s="1092"/>
      <c r="L1" s="1092"/>
      <c r="M1" s="1092"/>
      <c r="N1" s="1092"/>
      <c r="O1" s="1092"/>
      <c r="P1" s="1092"/>
      <c r="Q1" s="1092"/>
    </row>
    <row r="2" spans="1:17" s="569" customFormat="1" ht="20.5" customHeight="1">
      <c r="A2" s="584"/>
      <c r="B2" s="584"/>
      <c r="C2" s="1092" t="s">
        <v>1285</v>
      </c>
      <c r="D2" s="1092"/>
      <c r="E2" s="1092"/>
      <c r="F2" s="1092"/>
      <c r="G2" s="1092"/>
      <c r="H2" s="1092"/>
      <c r="I2" s="1092"/>
      <c r="J2" s="1092"/>
      <c r="K2" s="1092"/>
      <c r="L2" s="1092"/>
      <c r="M2" s="1092"/>
      <c r="N2" s="1092"/>
      <c r="O2" s="1092"/>
      <c r="P2" s="1092"/>
      <c r="Q2" s="1092"/>
    </row>
    <row r="3" spans="1:17" s="569" customFormat="1" ht="20.5" customHeight="1">
      <c r="A3" s="584"/>
      <c r="B3" s="584"/>
      <c r="C3" s="1092" t="s">
        <v>681</v>
      </c>
      <c r="D3" s="1092"/>
      <c r="E3" s="1092"/>
      <c r="F3" s="1092"/>
      <c r="G3" s="1092"/>
      <c r="H3" s="1092"/>
      <c r="I3" s="1092"/>
      <c r="J3" s="1092"/>
      <c r="K3" s="1092"/>
      <c r="L3" s="1092"/>
      <c r="M3" s="1092"/>
      <c r="N3" s="1092"/>
      <c r="O3" s="1092"/>
      <c r="P3" s="1092"/>
      <c r="Q3" s="1092"/>
    </row>
    <row r="4" ht="20.5" customHeight="1">
      <c r="A4" s="946" t="s">
        <v>8</v>
      </c>
    </row>
    <row r="5" ht="20.5" customHeight="1">
      <c r="B5" s="947" t="s">
        <v>1286</v>
      </c>
    </row>
    <row r="6" spans="1:7" ht="20.5" customHeight="1">
      <c r="A6" s="584">
        <v>1</v>
      </c>
      <c r="B6" s="117" t="s">
        <v>1287</v>
      </c>
      <c r="G6" s="578">
        <v>112709164</v>
      </c>
    </row>
    <row r="7" spans="1:7" ht="20.5" customHeight="1">
      <c r="A7" s="584">
        <f>A6+1</f>
        <v>2</v>
      </c>
      <c r="B7" s="117" t="s">
        <v>1288</v>
      </c>
      <c r="G7" s="578">
        <v>2054564</v>
      </c>
    </row>
    <row r="8" spans="1:7" ht="20.5" customHeight="1">
      <c r="A8" s="584">
        <f t="shared" si="0" ref="A8:A13">A7+1</f>
        <v>3</v>
      </c>
      <c r="B8" s="117" t="s">
        <v>1590</v>
      </c>
      <c r="G8" s="578">
        <v>650246</v>
      </c>
    </row>
    <row r="9" spans="1:7" ht="20.5" customHeight="1">
      <c r="A9" s="584">
        <f t="shared" si="0"/>
        <v>4</v>
      </c>
      <c r="B9" s="117" t="s">
        <v>1289</v>
      </c>
      <c r="G9" s="578"/>
    </row>
    <row r="10" spans="1:7" ht="20.5" customHeight="1">
      <c r="A10" s="584">
        <f t="shared" si="0"/>
        <v>5</v>
      </c>
      <c r="B10" s="117" t="s">
        <v>1591</v>
      </c>
      <c r="G10" s="578"/>
    </row>
    <row r="11" spans="1:7" ht="20.5" customHeight="1">
      <c r="A11" s="584">
        <f t="shared" si="0"/>
        <v>6</v>
      </c>
      <c r="B11" s="117" t="s">
        <v>1290</v>
      </c>
      <c r="G11" s="578">
        <v>13848752</v>
      </c>
    </row>
    <row r="12" spans="1:7" ht="20.5" customHeight="1">
      <c r="A12" s="584">
        <f t="shared" si="0"/>
        <v>7</v>
      </c>
      <c r="B12" s="117" t="s">
        <v>1291</v>
      </c>
      <c r="G12" s="578">
        <v>1112.8599999999999</v>
      </c>
    </row>
    <row r="13" spans="1:7" ht="20.5" customHeight="1">
      <c r="A13" s="584">
        <f t="shared" si="0"/>
        <v>8</v>
      </c>
      <c r="B13" s="570" t="s">
        <v>1292</v>
      </c>
      <c r="G13" s="948">
        <f>G6+G7+G8-G9-G10+G11-G12</f>
        <v>129261613.14</v>
      </c>
    </row>
    <row r="14" ht="20.5" customHeight="1"/>
    <row r="15" ht="20.5" customHeight="1">
      <c r="B15" s="570" t="s">
        <v>1293</v>
      </c>
    </row>
    <row r="16" ht="20.5" customHeight="1">
      <c r="B16" s="570"/>
    </row>
    <row r="17" spans="2:16" ht="20.5" customHeight="1">
      <c r="B17" s="570" t="s">
        <v>1294</v>
      </c>
      <c r="C17" s="573" t="s">
        <v>195</v>
      </c>
      <c r="D17" s="573" t="s">
        <v>84</v>
      </c>
      <c r="E17" s="573" t="s">
        <v>83</v>
      </c>
      <c r="F17" s="573" t="s">
        <v>171</v>
      </c>
      <c r="G17" s="573" t="s">
        <v>74</v>
      </c>
      <c r="H17" s="573" t="s">
        <v>73</v>
      </c>
      <c r="I17" s="573" t="s">
        <v>93</v>
      </c>
      <c r="J17" s="573" t="s">
        <v>81</v>
      </c>
      <c r="K17" s="573" t="s">
        <v>172</v>
      </c>
      <c r="L17" s="573" t="s">
        <v>79</v>
      </c>
      <c r="M17" s="573" t="s">
        <v>85</v>
      </c>
      <c r="N17" s="573" t="s">
        <v>78</v>
      </c>
      <c r="O17" s="573" t="s">
        <v>196</v>
      </c>
      <c r="P17" s="574" t="s">
        <v>1295</v>
      </c>
    </row>
    <row r="18" spans="1:16" ht="15.5">
      <c r="A18" s="584">
        <f>A13+1</f>
        <v>9</v>
      </c>
      <c r="B18" s="117" t="s">
        <v>1296</v>
      </c>
      <c r="C18" s="578">
        <v>2925000000</v>
      </c>
      <c r="D18" s="578">
        <v>2925000000</v>
      </c>
      <c r="E18" s="578">
        <v>3250000000</v>
      </c>
      <c r="F18" s="578">
        <v>2750000000</v>
      </c>
      <c r="G18" s="578">
        <v>2750000000</v>
      </c>
      <c r="H18" s="578">
        <v>2750000000</v>
      </c>
      <c r="I18" s="578">
        <v>2800000000</v>
      </c>
      <c r="J18" s="578">
        <v>2800000000</v>
      </c>
      <c r="K18" s="578">
        <v>2800000000</v>
      </c>
      <c r="L18" s="578">
        <v>3125000000</v>
      </c>
      <c r="M18" s="578">
        <v>3125000000</v>
      </c>
      <c r="N18" s="578">
        <v>3125000000</v>
      </c>
      <c r="O18" s="578">
        <v>3125000000</v>
      </c>
      <c r="P18" s="148">
        <f>AVERAGE(C18:O18)</f>
        <v>2942307692.3076925</v>
      </c>
    </row>
    <row r="19" spans="1:16" ht="15.5">
      <c r="A19" s="584">
        <f t="shared" si="1" ref="A19:A22">A18+1</f>
        <v>10</v>
      </c>
      <c r="B19" s="117" t="s">
        <v>1592</v>
      </c>
      <c r="C19" s="578">
        <v>0</v>
      </c>
      <c r="D19" s="578">
        <v>0</v>
      </c>
      <c r="E19" s="578">
        <v>0</v>
      </c>
      <c r="F19" s="578">
        <v>0</v>
      </c>
      <c r="G19" s="578">
        <v>0</v>
      </c>
      <c r="H19" s="578">
        <v>0</v>
      </c>
      <c r="I19" s="578">
        <v>0</v>
      </c>
      <c r="J19" s="578">
        <v>0</v>
      </c>
      <c r="K19" s="578">
        <v>0</v>
      </c>
      <c r="L19" s="578">
        <v>0</v>
      </c>
      <c r="M19" s="578">
        <v>0</v>
      </c>
      <c r="N19" s="578">
        <v>0</v>
      </c>
      <c r="O19" s="578">
        <v>0</v>
      </c>
      <c r="P19" s="148">
        <f t="shared" si="2" ref="P19:P21">AVERAGE(C19:O19)</f>
        <v>0</v>
      </c>
    </row>
    <row r="20" spans="1:16" ht="15.5">
      <c r="A20" s="584">
        <f t="shared" si="1"/>
        <v>11</v>
      </c>
      <c r="B20" s="117" t="s">
        <v>1297</v>
      </c>
      <c r="C20" s="578">
        <v>184418609</v>
      </c>
      <c r="D20" s="578">
        <v>184418609</v>
      </c>
      <c r="E20" s="578">
        <v>184418609</v>
      </c>
      <c r="F20" s="578">
        <v>184418609</v>
      </c>
      <c r="G20" s="578">
        <v>184418609</v>
      </c>
      <c r="H20" s="578">
        <v>184418609</v>
      </c>
      <c r="I20" s="578">
        <v>184418609</v>
      </c>
      <c r="J20" s="578">
        <v>184418609</v>
      </c>
      <c r="K20" s="578">
        <v>184418609</v>
      </c>
      <c r="L20" s="578">
        <v>184418609</v>
      </c>
      <c r="M20" s="578">
        <v>184418609</v>
      </c>
      <c r="N20" s="578">
        <v>184418609</v>
      </c>
      <c r="O20" s="578">
        <v>184418609</v>
      </c>
      <c r="P20" s="148">
        <f t="shared" si="2"/>
        <v>184418609</v>
      </c>
    </row>
    <row r="21" spans="1:16" ht="15.5">
      <c r="A21" s="584">
        <f t="shared" si="1"/>
        <v>12</v>
      </c>
      <c r="B21" s="117" t="s">
        <v>1298</v>
      </c>
      <c r="C21" s="579">
        <v>0</v>
      </c>
      <c r="D21" s="579">
        <v>0</v>
      </c>
      <c r="E21" s="579">
        <v>0</v>
      </c>
      <c r="F21" s="579">
        <v>0</v>
      </c>
      <c r="G21" s="579">
        <v>0</v>
      </c>
      <c r="H21" s="579">
        <v>0</v>
      </c>
      <c r="I21" s="579">
        <v>0</v>
      </c>
      <c r="J21" s="579">
        <v>0</v>
      </c>
      <c r="K21" s="579">
        <v>0</v>
      </c>
      <c r="L21" s="579">
        <v>0</v>
      </c>
      <c r="M21" s="579">
        <v>0</v>
      </c>
      <c r="N21" s="579">
        <v>0</v>
      </c>
      <c r="O21" s="579">
        <v>0</v>
      </c>
      <c r="P21" s="559">
        <f t="shared" si="2"/>
        <v>0</v>
      </c>
    </row>
    <row r="22" spans="1:16" ht="15.5">
      <c r="A22" s="584">
        <f t="shared" si="1"/>
        <v>13</v>
      </c>
      <c r="B22" s="570" t="s">
        <v>1299</v>
      </c>
      <c r="C22" s="949">
        <f>C18+C20+C21-C19</f>
        <v>3109418609</v>
      </c>
      <c r="D22" s="949">
        <f t="shared" si="3" ref="D22:O22">D18+D20+D21-D19</f>
        <v>3109418609</v>
      </c>
      <c r="E22" s="949">
        <f t="shared" si="3"/>
        <v>3434418609</v>
      </c>
      <c r="F22" s="949">
        <f t="shared" si="3"/>
        <v>2934418609</v>
      </c>
      <c r="G22" s="949">
        <f t="shared" si="3"/>
        <v>2934418609</v>
      </c>
      <c r="H22" s="949">
        <f t="shared" si="3"/>
        <v>2934418609</v>
      </c>
      <c r="I22" s="949">
        <f t="shared" si="3"/>
        <v>2984418609</v>
      </c>
      <c r="J22" s="949">
        <f t="shared" si="3"/>
        <v>2984418609</v>
      </c>
      <c r="K22" s="949">
        <f t="shared" si="3"/>
        <v>2984418609</v>
      </c>
      <c r="L22" s="949">
        <f t="shared" si="3"/>
        <v>3309418609</v>
      </c>
      <c r="M22" s="949">
        <f t="shared" si="3"/>
        <v>3309418609</v>
      </c>
      <c r="N22" s="949">
        <f t="shared" si="3"/>
        <v>3309418609</v>
      </c>
      <c r="O22" s="949">
        <f t="shared" si="3"/>
        <v>3309418609</v>
      </c>
      <c r="P22" s="949">
        <f>AVERAGE(C22:O22)</f>
        <v>3126726301.3076925</v>
      </c>
    </row>
    <row r="27" ht="15.5">
      <c r="B27" s="570" t="s">
        <v>1300</v>
      </c>
    </row>
    <row r="28" spans="1:16" ht="15.5">
      <c r="A28" s="584">
        <f>A22+1</f>
        <v>14</v>
      </c>
      <c r="B28" s="117" t="s">
        <v>1301</v>
      </c>
      <c r="C28" s="578">
        <v>1423004250.6500001</v>
      </c>
      <c r="D28" s="578">
        <v>1423004250.6500001</v>
      </c>
      <c r="E28" s="578">
        <v>1423004250.6500001</v>
      </c>
      <c r="F28" s="578">
        <v>1423004250.6500001</v>
      </c>
      <c r="G28" s="578">
        <v>1423004250.6500001</v>
      </c>
      <c r="H28" s="578">
        <v>1423004250.6500001</v>
      </c>
      <c r="I28" s="578">
        <v>1423004250.6500001</v>
      </c>
      <c r="J28" s="578">
        <v>1423004250.6500001</v>
      </c>
      <c r="K28" s="578">
        <v>1423004250.6500001</v>
      </c>
      <c r="L28" s="578">
        <v>1423004250.6500001</v>
      </c>
      <c r="M28" s="578">
        <v>1423004250.6500001</v>
      </c>
      <c r="N28" s="578">
        <v>1423004250.6500001</v>
      </c>
      <c r="O28" s="578">
        <v>1423004250.6500001</v>
      </c>
      <c r="P28" s="135">
        <f t="shared" si="4" ref="P28:P42">AVERAGE(C28:O28)</f>
        <v>1423004250.6499999</v>
      </c>
    </row>
    <row r="29" spans="1:16" ht="15.5">
      <c r="A29" s="584">
        <f t="shared" si="5" ref="A29:A42">A28+1</f>
        <v>15</v>
      </c>
      <c r="B29" s="950" t="s">
        <v>1302</v>
      </c>
      <c r="C29" s="578">
        <v>0</v>
      </c>
      <c r="D29" s="578">
        <v>0</v>
      </c>
      <c r="E29" s="578">
        <v>0</v>
      </c>
      <c r="F29" s="578">
        <v>0</v>
      </c>
      <c r="G29" s="578">
        <v>0</v>
      </c>
      <c r="H29" s="578">
        <v>0</v>
      </c>
      <c r="I29" s="578">
        <v>0</v>
      </c>
      <c r="J29" s="578">
        <v>0</v>
      </c>
      <c r="K29" s="578">
        <v>0</v>
      </c>
      <c r="L29" s="578">
        <v>0</v>
      </c>
      <c r="M29" s="578">
        <v>0</v>
      </c>
      <c r="N29" s="578">
        <v>0</v>
      </c>
      <c r="O29" s="578">
        <v>0</v>
      </c>
      <c r="P29" s="135">
        <f t="shared" si="4"/>
        <v>0</v>
      </c>
    </row>
    <row r="30" spans="1:16" ht="15.5">
      <c r="A30" s="584">
        <f t="shared" si="5"/>
        <v>16</v>
      </c>
      <c r="B30" s="950" t="s">
        <v>1303</v>
      </c>
      <c r="C30" s="578">
        <v>0</v>
      </c>
      <c r="D30" s="578">
        <v>0</v>
      </c>
      <c r="E30" s="578">
        <v>0</v>
      </c>
      <c r="F30" s="578">
        <v>0</v>
      </c>
      <c r="G30" s="578">
        <v>0</v>
      </c>
      <c r="H30" s="578">
        <v>0</v>
      </c>
      <c r="I30" s="578">
        <v>0</v>
      </c>
      <c r="J30" s="578">
        <v>0</v>
      </c>
      <c r="K30" s="578">
        <v>0</v>
      </c>
      <c r="L30" s="578">
        <v>0</v>
      </c>
      <c r="M30" s="578">
        <v>0</v>
      </c>
      <c r="N30" s="578">
        <v>0</v>
      </c>
      <c r="O30" s="578">
        <v>0</v>
      </c>
      <c r="P30" s="135">
        <f t="shared" si="4"/>
        <v>0</v>
      </c>
    </row>
    <row r="31" spans="1:16" ht="15.5">
      <c r="A31" s="584">
        <f t="shared" si="5"/>
        <v>17</v>
      </c>
      <c r="B31" s="950" t="s">
        <v>1304</v>
      </c>
      <c r="C31" s="578">
        <v>0</v>
      </c>
      <c r="D31" s="578">
        <v>0</v>
      </c>
      <c r="E31" s="578">
        <v>0</v>
      </c>
      <c r="F31" s="578">
        <v>0</v>
      </c>
      <c r="G31" s="578">
        <v>0</v>
      </c>
      <c r="H31" s="578">
        <v>0</v>
      </c>
      <c r="I31" s="578">
        <v>0</v>
      </c>
      <c r="J31" s="578">
        <v>0</v>
      </c>
      <c r="K31" s="578">
        <v>0</v>
      </c>
      <c r="L31" s="578">
        <v>0</v>
      </c>
      <c r="M31" s="578">
        <v>0</v>
      </c>
      <c r="N31" s="578">
        <v>0</v>
      </c>
      <c r="O31" s="578">
        <v>0</v>
      </c>
      <c r="P31" s="135">
        <f t="shared" si="4"/>
        <v>0</v>
      </c>
    </row>
    <row r="32" spans="1:16" ht="15.5">
      <c r="A32" s="584">
        <f t="shared" si="5"/>
        <v>18</v>
      </c>
      <c r="B32" s="950" t="s">
        <v>1305</v>
      </c>
      <c r="C32" s="578">
        <v>0</v>
      </c>
      <c r="D32" s="578">
        <v>0</v>
      </c>
      <c r="E32" s="578">
        <v>0</v>
      </c>
      <c r="F32" s="578">
        <v>0</v>
      </c>
      <c r="G32" s="578">
        <v>0</v>
      </c>
      <c r="H32" s="578">
        <v>0</v>
      </c>
      <c r="I32" s="578">
        <v>0</v>
      </c>
      <c r="J32" s="578">
        <v>0</v>
      </c>
      <c r="K32" s="578">
        <v>0</v>
      </c>
      <c r="L32" s="578">
        <v>0</v>
      </c>
      <c r="M32" s="578">
        <v>0</v>
      </c>
      <c r="N32" s="578">
        <v>0</v>
      </c>
      <c r="O32" s="578">
        <v>0</v>
      </c>
      <c r="P32" s="135">
        <f t="shared" si="4"/>
        <v>0</v>
      </c>
    </row>
    <row r="33" spans="1:16" ht="15.5">
      <c r="A33" s="584">
        <f t="shared" si="5"/>
        <v>19</v>
      </c>
      <c r="B33" s="117" t="s">
        <v>1306</v>
      </c>
      <c r="C33" s="578">
        <v>1066200302.6100001</v>
      </c>
      <c r="D33" s="578">
        <v>1066200302.61</v>
      </c>
      <c r="E33" s="578">
        <v>1066200302.61</v>
      </c>
      <c r="F33" s="578">
        <v>1066200302.61</v>
      </c>
      <c r="G33" s="578">
        <v>1066200302.61</v>
      </c>
      <c r="H33" s="578">
        <v>1066200302.61</v>
      </c>
      <c r="I33" s="578">
        <v>1107200302.6100001</v>
      </c>
      <c r="J33" s="578">
        <v>1107200302.6100001</v>
      </c>
      <c r="K33" s="578">
        <v>1107200302.6100001</v>
      </c>
      <c r="L33" s="578">
        <v>1137051225.96</v>
      </c>
      <c r="M33" s="578">
        <v>1137051225.96</v>
      </c>
      <c r="N33" s="578">
        <v>1155155243.8899999</v>
      </c>
      <c r="O33" s="578">
        <v>1155155243.8899999</v>
      </c>
      <c r="P33" s="135">
        <f t="shared" si="4"/>
        <v>1100247358.706923</v>
      </c>
    </row>
    <row r="34" spans="1:16" ht="15.5">
      <c r="A34" s="584">
        <f t="shared" si="5"/>
        <v>20</v>
      </c>
      <c r="B34" s="117" t="s">
        <v>1307</v>
      </c>
      <c r="C34" s="578">
        <v>0</v>
      </c>
      <c r="D34" s="578">
        <v>0</v>
      </c>
      <c r="E34" s="578">
        <v>0</v>
      </c>
      <c r="F34" s="578">
        <v>0</v>
      </c>
      <c r="G34" s="578">
        <v>0</v>
      </c>
      <c r="H34" s="578">
        <v>0</v>
      </c>
      <c r="I34" s="578">
        <v>0</v>
      </c>
      <c r="J34" s="578">
        <v>0</v>
      </c>
      <c r="K34" s="578">
        <v>0</v>
      </c>
      <c r="L34" s="578">
        <v>0</v>
      </c>
      <c r="M34" s="578">
        <v>0</v>
      </c>
      <c r="N34" s="578">
        <v>0</v>
      </c>
      <c r="O34" s="578">
        <v>0</v>
      </c>
      <c r="P34" s="135">
        <f t="shared" si="4"/>
        <v>0</v>
      </c>
    </row>
    <row r="35" spans="1:16" ht="15.5">
      <c r="A35" s="584">
        <f t="shared" si="5"/>
        <v>21</v>
      </c>
      <c r="B35" s="117" t="s">
        <v>1308</v>
      </c>
      <c r="C35" s="578">
        <v>0</v>
      </c>
      <c r="D35" s="578">
        <v>0</v>
      </c>
      <c r="E35" s="578">
        <v>0</v>
      </c>
      <c r="F35" s="578">
        <v>0</v>
      </c>
      <c r="G35" s="578">
        <v>0</v>
      </c>
      <c r="H35" s="578">
        <v>0</v>
      </c>
      <c r="I35" s="578">
        <v>0</v>
      </c>
      <c r="J35" s="578">
        <v>0</v>
      </c>
      <c r="K35" s="578">
        <v>0</v>
      </c>
      <c r="L35" s="578">
        <v>0</v>
      </c>
      <c r="M35" s="578">
        <v>0</v>
      </c>
      <c r="N35" s="578">
        <v>0</v>
      </c>
      <c r="O35" s="578">
        <v>0</v>
      </c>
      <c r="P35" s="135">
        <f t="shared" si="4"/>
        <v>0</v>
      </c>
    </row>
    <row r="36" spans="1:16" ht="15.5">
      <c r="A36" s="584">
        <f t="shared" si="5"/>
        <v>22</v>
      </c>
      <c r="B36" s="117" t="s">
        <v>1309</v>
      </c>
      <c r="C36" s="578">
        <v>86741.790000000037</v>
      </c>
      <c r="D36" s="578">
        <v>86741.789999999994</v>
      </c>
      <c r="E36" s="578">
        <v>86741.789999999994</v>
      </c>
      <c r="F36" s="578">
        <v>86741.789999999994</v>
      </c>
      <c r="G36" s="578">
        <v>86741.789999999994</v>
      </c>
      <c r="H36" s="578">
        <v>86741.789999999994</v>
      </c>
      <c r="I36" s="578">
        <v>86741.789999999994</v>
      </c>
      <c r="J36" s="578">
        <v>86741.789999999994</v>
      </c>
      <c r="K36" s="578">
        <v>86741.789999999994</v>
      </c>
      <c r="L36" s="578">
        <v>86741.789999999994</v>
      </c>
      <c r="M36" s="578">
        <v>86741.789999999994</v>
      </c>
      <c r="N36" s="578">
        <v>86741.789999999994</v>
      </c>
      <c r="O36" s="578">
        <v>86741.789999999994</v>
      </c>
      <c r="P36" s="135">
        <f t="shared" si="4"/>
        <v>86741.790000000008</v>
      </c>
    </row>
    <row r="37" spans="1:16" ht="15.5">
      <c r="A37" s="584">
        <f t="shared" si="5"/>
        <v>23</v>
      </c>
      <c r="B37" s="117" t="s">
        <v>1310</v>
      </c>
      <c r="C37" s="578">
        <v>4227597761</v>
      </c>
      <c r="D37" s="578">
        <v>4299291661.0178833</v>
      </c>
      <c r="E37" s="578">
        <v>4357045985.7541008</v>
      </c>
      <c r="F37" s="578">
        <v>4066950505.3600006</v>
      </c>
      <c r="G37" s="578">
        <v>4105090464.3000145</v>
      </c>
      <c r="H37" s="578">
        <v>4139722925.387836</v>
      </c>
      <c r="I37" s="578">
        <v>4166509309.5700011</v>
      </c>
      <c r="J37" s="578">
        <v>4224779300.1907463</v>
      </c>
      <c r="K37" s="578">
        <v>4275044605.861794</v>
      </c>
      <c r="L37" s="578">
        <v>4298806792.1100016</v>
      </c>
      <c r="M37" s="578">
        <v>4339234909.8827162</v>
      </c>
      <c r="N37" s="578">
        <v>4397663092.3884592</v>
      </c>
      <c r="O37" s="578">
        <v>4427930434.2300024</v>
      </c>
      <c r="P37" s="135">
        <f t="shared" si="4"/>
        <v>4255820595.927196</v>
      </c>
    </row>
    <row r="38" spans="1:16" ht="15.5">
      <c r="A38" s="584">
        <f t="shared" si="5"/>
        <v>24</v>
      </c>
      <c r="B38" s="117" t="s">
        <v>1311</v>
      </c>
      <c r="C38" s="578">
        <v>-3140935576.2000008</v>
      </c>
      <c r="D38" s="578">
        <v>-3148411598.567884</v>
      </c>
      <c r="E38" s="578">
        <v>-3154451282.764101</v>
      </c>
      <c r="F38" s="578">
        <v>-3153419425.9100008</v>
      </c>
      <c r="G38" s="578">
        <v>-3157227753.0300145</v>
      </c>
      <c r="H38" s="578">
        <v>-3160609576.9878359</v>
      </c>
      <c r="I38" s="578">
        <v>-3163332756.8500009</v>
      </c>
      <c r="J38" s="578">
        <v>-3168962834.5207462</v>
      </c>
      <c r="K38" s="578">
        <v>-3173812612.3717937</v>
      </c>
      <c r="L38" s="578">
        <v>-3176205267.0400009</v>
      </c>
      <c r="M38" s="578">
        <v>-3179661758.3027148</v>
      </c>
      <c r="N38" s="578">
        <v>-3183634004.3484573</v>
      </c>
      <c r="O38" s="578">
        <v>-3187402047.9300008</v>
      </c>
      <c r="P38" s="135">
        <f>AVERAGE(C38:O38)</f>
        <v>-3165235884.217196</v>
      </c>
    </row>
    <row r="39" spans="1:16" ht="15.5">
      <c r="A39" s="584">
        <f t="shared" si="5"/>
        <v>25</v>
      </c>
      <c r="B39" s="117" t="s">
        <v>1593</v>
      </c>
      <c r="C39" s="578">
        <v>0</v>
      </c>
      <c r="D39" s="578">
        <v>0</v>
      </c>
      <c r="E39" s="578">
        <v>0</v>
      </c>
      <c r="F39" s="578">
        <v>0</v>
      </c>
      <c r="G39" s="578">
        <v>0</v>
      </c>
      <c r="H39" s="578">
        <v>0</v>
      </c>
      <c r="I39" s="578">
        <v>0</v>
      </c>
      <c r="J39" s="578">
        <v>0</v>
      </c>
      <c r="K39" s="578">
        <v>0</v>
      </c>
      <c r="L39" s="578">
        <v>0</v>
      </c>
      <c r="M39" s="578">
        <v>0</v>
      </c>
      <c r="N39" s="578">
        <v>0</v>
      </c>
      <c r="O39" s="578">
        <v>0</v>
      </c>
      <c r="P39" s="135">
        <f t="shared" si="4"/>
        <v>0</v>
      </c>
    </row>
    <row r="40" spans="1:16" ht="15.5">
      <c r="A40" s="584">
        <f t="shared" si="5"/>
        <v>26</v>
      </c>
      <c r="B40" s="117" t="s">
        <v>1312</v>
      </c>
      <c r="C40" s="578">
        <v>0</v>
      </c>
      <c r="D40" s="578">
        <v>0</v>
      </c>
      <c r="E40" s="578">
        <v>0</v>
      </c>
      <c r="F40" s="578">
        <v>0</v>
      </c>
      <c r="G40" s="578">
        <v>0</v>
      </c>
      <c r="H40" s="578">
        <v>0</v>
      </c>
      <c r="I40" s="578">
        <v>0</v>
      </c>
      <c r="J40" s="578">
        <v>0</v>
      </c>
      <c r="K40" s="578">
        <v>0</v>
      </c>
      <c r="L40" s="578">
        <v>0</v>
      </c>
      <c r="M40" s="578">
        <v>0</v>
      </c>
      <c r="N40" s="578">
        <v>0</v>
      </c>
      <c r="O40" s="578">
        <v>0</v>
      </c>
      <c r="P40" s="135">
        <f t="shared" si="4"/>
        <v>0</v>
      </c>
    </row>
    <row r="41" spans="1:16" ht="15.5">
      <c r="A41" s="584">
        <f t="shared" si="5"/>
        <v>27</v>
      </c>
      <c r="B41" s="117" t="s">
        <v>1313</v>
      </c>
      <c r="C41" s="579">
        <v>1630458.2400000002</v>
      </c>
      <c r="D41" s="579">
        <v>1630458.24</v>
      </c>
      <c r="E41" s="579">
        <v>1630458.24</v>
      </c>
      <c r="F41" s="579">
        <v>1660837.8999999999</v>
      </c>
      <c r="G41" s="579">
        <v>1660837.8999999999</v>
      </c>
      <c r="H41" s="579">
        <v>1660837.8999999999</v>
      </c>
      <c r="I41" s="579">
        <v>1636632.4299999999</v>
      </c>
      <c r="J41" s="579">
        <v>1636632.4299999999</v>
      </c>
      <c r="K41" s="579">
        <v>1636632.4299999999</v>
      </c>
      <c r="L41" s="579">
        <v>1842582.5499999998</v>
      </c>
      <c r="M41" s="579">
        <v>1842582.5499999998</v>
      </c>
      <c r="N41" s="579">
        <v>1845757.5799999998</v>
      </c>
      <c r="O41" s="579">
        <v>1674805.6399999999</v>
      </c>
      <c r="P41" s="559">
        <f t="shared" si="4"/>
        <v>1691501.0792307693</v>
      </c>
    </row>
    <row r="42" spans="1:16" ht="62.5" customHeight="1">
      <c r="A42" s="584">
        <f t="shared" si="5"/>
        <v>28</v>
      </c>
      <c r="B42" s="951" t="s">
        <v>1314</v>
      </c>
      <c r="C42" s="148">
        <f>C28+C29+C30+C31+C32+C33+C34-C35-C36+C37+C38-C39+C40+C41</f>
        <v>3577410454.5099993</v>
      </c>
      <c r="D42" s="123">
        <f t="shared" si="6" ref="D42:O42">D28+D29+D30+D31+D32+D33+D34-D35-D36+D37+D38-D39+D40+D41</f>
        <v>3641628332.1599994</v>
      </c>
      <c r="E42" s="123">
        <f t="shared" si="6"/>
        <v>3693342972.6999998</v>
      </c>
      <c r="F42" s="123">
        <f t="shared" si="6"/>
        <v>3404309728.8200002</v>
      </c>
      <c r="G42" s="123">
        <f t="shared" si="6"/>
        <v>3438641360.6400003</v>
      </c>
      <c r="H42" s="123">
        <f t="shared" si="6"/>
        <v>3469891997.77</v>
      </c>
      <c r="I42" s="123">
        <f t="shared" si="6"/>
        <v>3534930996.6199999</v>
      </c>
      <c r="J42" s="123">
        <f t="shared" si="6"/>
        <v>3587570909.5700002</v>
      </c>
      <c r="K42" s="123">
        <f t="shared" si="6"/>
        <v>3632986437.3900008</v>
      </c>
      <c r="L42" s="123">
        <f t="shared" si="6"/>
        <v>3684412842.4400015</v>
      </c>
      <c r="M42" s="123">
        <f t="shared" si="6"/>
        <v>3721384468.9500022</v>
      </c>
      <c r="N42" s="123">
        <f t="shared" si="6"/>
        <v>3793947598.3700018</v>
      </c>
      <c r="O42" s="123">
        <f t="shared" si="6"/>
        <v>3820275944.6900015</v>
      </c>
      <c r="P42" s="148">
        <f t="shared" si="4"/>
        <v>3615441080.3561544</v>
      </c>
    </row>
    <row r="43" spans="1:16" ht="15.5">
      <c r="A43" s="584">
        <v>29</v>
      </c>
      <c r="B43" s="570" t="s">
        <v>1315</v>
      </c>
      <c r="C43" s="949">
        <f>+C29</f>
        <v>0</v>
      </c>
      <c r="D43" s="949">
        <f t="shared" si="7" ref="D43:P43">+D29</f>
        <v>0</v>
      </c>
      <c r="E43" s="949">
        <f t="shared" si="7"/>
        <v>0</v>
      </c>
      <c r="F43" s="949">
        <f t="shared" si="7"/>
        <v>0</v>
      </c>
      <c r="G43" s="949">
        <f t="shared" si="7"/>
        <v>0</v>
      </c>
      <c r="H43" s="949">
        <f t="shared" si="7"/>
        <v>0</v>
      </c>
      <c r="I43" s="949">
        <f t="shared" si="7"/>
        <v>0</v>
      </c>
      <c r="J43" s="949">
        <f t="shared" si="7"/>
        <v>0</v>
      </c>
      <c r="K43" s="949">
        <f t="shared" si="7"/>
        <v>0</v>
      </c>
      <c r="L43" s="949">
        <f t="shared" si="7"/>
        <v>0</v>
      </c>
      <c r="M43" s="949">
        <f t="shared" si="7"/>
        <v>0</v>
      </c>
      <c r="N43" s="949">
        <f t="shared" si="7"/>
        <v>0</v>
      </c>
      <c r="O43" s="949">
        <f t="shared" si="7"/>
        <v>0</v>
      </c>
      <c r="P43" s="949">
        <f t="shared" si="7"/>
        <v>0</v>
      </c>
    </row>
    <row r="44" spans="1:16" ht="15.5">
      <c r="A44" s="584">
        <v>30</v>
      </c>
      <c r="B44" s="570" t="s">
        <v>1316</v>
      </c>
      <c r="C44" s="949">
        <f>+C42-C43</f>
        <v>3577410454.5099993</v>
      </c>
      <c r="D44" s="949">
        <f t="shared" si="8" ref="D44:P44">+D42-D43</f>
        <v>3641628332.1599994</v>
      </c>
      <c r="E44" s="949">
        <f t="shared" si="8"/>
        <v>3693342972.6999998</v>
      </c>
      <c r="F44" s="949">
        <f t="shared" si="8"/>
        <v>3404309728.8200002</v>
      </c>
      <c r="G44" s="949">
        <f t="shared" si="8"/>
        <v>3438641360.6400003</v>
      </c>
      <c r="H44" s="949">
        <f t="shared" si="8"/>
        <v>3469891997.77</v>
      </c>
      <c r="I44" s="949">
        <f t="shared" si="8"/>
        <v>3534930996.6199999</v>
      </c>
      <c r="J44" s="949">
        <f t="shared" si="8"/>
        <v>3587570909.5700002</v>
      </c>
      <c r="K44" s="949">
        <f t="shared" si="8"/>
        <v>3632986437.3900008</v>
      </c>
      <c r="L44" s="949">
        <f t="shared" si="8"/>
        <v>3684412842.4400015</v>
      </c>
      <c r="M44" s="949">
        <f t="shared" si="8"/>
        <v>3721384468.9500022</v>
      </c>
      <c r="N44" s="949">
        <f t="shared" si="8"/>
        <v>3793947598.3700018</v>
      </c>
      <c r="O44" s="949">
        <f t="shared" si="8"/>
        <v>3820275944.6900015</v>
      </c>
      <c r="P44" s="949">
        <f t="shared" si="8"/>
        <v>3615441080.3561544</v>
      </c>
    </row>
  </sheetData>
  <mergeCells count="3">
    <mergeCell ref="C1:Q1"/>
    <mergeCell ref="C2:Q2"/>
    <mergeCell ref="C3:Q3"/>
  </mergeCells>
  <pageMargins left="0.7" right="0.7" top="0.75" bottom="0.75" header="0.3" footer="0.3"/>
  <pageSetup orientation="landscape" scale="10"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