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sheltonr\Desktop\ODEC 2020 Annual Update\"/>
    </mc:Choice>
  </mc:AlternateContent>
  <bookViews>
    <workbookView xWindow="-90" yWindow="-90" windowWidth="16605" windowHeight="10530" tabRatio="828"/>
  </bookViews>
  <sheets>
    <sheet name="Workpaper page 1" sheetId="8" r:id="rId1"/>
    <sheet name="Workpaper page 2" sheetId="2" r:id="rId2"/>
    <sheet name="Workpaper page 3_CWIP" sheetId="5" r:id="rId3"/>
    <sheet name="Workpaper page 3_In Service" sheetId="10" r:id="rId4"/>
    <sheet name="Workpaper page 4" sheetId="9" r:id="rId5"/>
  </sheets>
  <externalReferences>
    <externalReference r:id="rId6"/>
  </externalReferences>
  <definedNames>
    <definedName name="_xlnm.Print_Area" localSheetId="0">'Workpaper page 1'!$A$1:$J$38</definedName>
    <definedName name="_xlnm.Print_Area" localSheetId="1">'Workpaper page 2'!$A$1:$F$27</definedName>
    <definedName name="_xlnm.Print_Area" localSheetId="2">'Workpaper page 3_CWIP'!$B$1:$P$21</definedName>
    <definedName name="_xlnm.Print_Area" localSheetId="3">'Workpaper page 3_In Service'!$A$1:$V$16</definedName>
    <definedName name="_xlnm.Print_Area" localSheetId="4">'Workpaper page 4'!$A$1:$S$51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 i="8" l="1"/>
  <c r="F26" i="2" l="1"/>
  <c r="V7" i="10" l="1"/>
  <c r="B3" i="10"/>
  <c r="F6" i="10"/>
  <c r="T7" i="10"/>
  <c r="S7" i="10"/>
  <c r="R7" i="10"/>
  <c r="Q7" i="10"/>
  <c r="P7" i="10"/>
  <c r="O7" i="10"/>
  <c r="N7" i="10"/>
  <c r="M7" i="10"/>
  <c r="L7" i="10"/>
  <c r="K7" i="10"/>
  <c r="J7" i="10"/>
  <c r="I7" i="10"/>
  <c r="P7" i="5"/>
  <c r="N7" i="5"/>
  <c r="M7" i="5"/>
  <c r="L7" i="5"/>
  <c r="K7" i="5"/>
  <c r="J7" i="5"/>
  <c r="I7" i="5"/>
  <c r="H7" i="5"/>
  <c r="G7" i="5"/>
  <c r="F7" i="5"/>
  <c r="E7" i="5"/>
  <c r="D7" i="5"/>
  <c r="C7" i="5"/>
  <c r="N8" i="9"/>
  <c r="M8" i="9"/>
  <c r="L8" i="9"/>
  <c r="K8" i="9"/>
  <c r="J8" i="9"/>
  <c r="I8" i="9"/>
  <c r="H8" i="9"/>
  <c r="G8" i="9"/>
  <c r="F8" i="9"/>
  <c r="E8" i="9"/>
  <c r="D8" i="9"/>
  <c r="C8" i="9"/>
  <c r="B3" i="5" l="1"/>
  <c r="N27" i="9"/>
  <c r="M38" i="9"/>
  <c r="L27" i="9"/>
  <c r="K38" i="9"/>
  <c r="J27" i="9"/>
  <c r="I27" i="9"/>
  <c r="H27" i="9"/>
  <c r="G38" i="9"/>
  <c r="F27" i="9"/>
  <c r="E38" i="9"/>
  <c r="D27" i="9"/>
  <c r="C27" i="9"/>
  <c r="R8" i="9"/>
  <c r="P8" i="9"/>
  <c r="P27" i="9" s="1"/>
  <c r="A38" i="9"/>
  <c r="A27" i="9"/>
  <c r="A10" i="9"/>
  <c r="N49" i="9"/>
  <c r="M49" i="9"/>
  <c r="L49" i="9"/>
  <c r="K49" i="9"/>
  <c r="J49" i="9"/>
  <c r="I49" i="9"/>
  <c r="H49" i="9"/>
  <c r="G49" i="9"/>
  <c r="F49" i="9"/>
  <c r="E49" i="9"/>
  <c r="D49" i="9"/>
  <c r="C49" i="9"/>
  <c r="P47" i="9"/>
  <c r="P49" i="9" s="1"/>
  <c r="N44" i="9"/>
  <c r="M44" i="9"/>
  <c r="L44" i="9"/>
  <c r="L51" i="9" s="1"/>
  <c r="K44" i="9"/>
  <c r="K51" i="9" s="1"/>
  <c r="J44" i="9"/>
  <c r="I44" i="9"/>
  <c r="H44" i="9"/>
  <c r="H51" i="9" s="1"/>
  <c r="G44" i="9"/>
  <c r="G51" i="9" s="1"/>
  <c r="F44" i="9"/>
  <c r="E44" i="9"/>
  <c r="D44" i="9"/>
  <c r="D51" i="9" s="1"/>
  <c r="C44" i="9"/>
  <c r="C51" i="9" s="1"/>
  <c r="P42" i="9"/>
  <c r="P41" i="9"/>
  <c r="N32" i="9"/>
  <c r="N34" i="9" s="1"/>
  <c r="M32" i="9"/>
  <c r="M34" i="9" s="1"/>
  <c r="L32" i="9"/>
  <c r="L34" i="9" s="1"/>
  <c r="K32" i="9"/>
  <c r="K34" i="9" s="1"/>
  <c r="J32" i="9"/>
  <c r="J34" i="9" s="1"/>
  <c r="I32" i="9"/>
  <c r="I34" i="9" s="1"/>
  <c r="H32" i="9"/>
  <c r="H34" i="9" s="1"/>
  <c r="G32" i="9"/>
  <c r="G34" i="9" s="1"/>
  <c r="F32" i="9"/>
  <c r="F34" i="9" s="1"/>
  <c r="E32" i="9"/>
  <c r="E34" i="9" s="1"/>
  <c r="D32" i="9"/>
  <c r="D34" i="9" s="1"/>
  <c r="C32" i="9"/>
  <c r="C34" i="9" s="1"/>
  <c r="P30" i="9"/>
  <c r="P32" i="9" s="1"/>
  <c r="P34" i="9" s="1"/>
  <c r="N23" i="9"/>
  <c r="N25" i="9" s="1"/>
  <c r="M23" i="9"/>
  <c r="L23" i="9"/>
  <c r="K23" i="9"/>
  <c r="J23" i="9"/>
  <c r="I23" i="9"/>
  <c r="H23" i="9"/>
  <c r="G23" i="9"/>
  <c r="F23" i="9"/>
  <c r="F25" i="9" s="1"/>
  <c r="E23" i="9"/>
  <c r="D23" i="9"/>
  <c r="C23" i="9"/>
  <c r="P21" i="9"/>
  <c r="P20" i="9"/>
  <c r="N16" i="9"/>
  <c r="M16" i="9"/>
  <c r="L16" i="9"/>
  <c r="L25" i="9" s="1"/>
  <c r="K16" i="9"/>
  <c r="J16" i="9"/>
  <c r="I16" i="9"/>
  <c r="I25" i="9" s="1"/>
  <c r="H16" i="9"/>
  <c r="H25" i="9" s="1"/>
  <c r="G16" i="9"/>
  <c r="F16" i="9"/>
  <c r="E16" i="9"/>
  <c r="D16" i="9"/>
  <c r="D25" i="9" s="1"/>
  <c r="C16" i="9"/>
  <c r="P14" i="9"/>
  <c r="P13" i="9"/>
  <c r="P16" i="9" s="1"/>
  <c r="S16" i="10"/>
  <c r="R16" i="10"/>
  <c r="Q16" i="10"/>
  <c r="O16" i="10"/>
  <c r="L16" i="10"/>
  <c r="K16" i="10"/>
  <c r="J16" i="10"/>
  <c r="I16" i="10"/>
  <c r="F14" i="10"/>
  <c r="G14" i="10" s="1"/>
  <c r="N14" i="10" s="1"/>
  <c r="V14" i="10" s="1"/>
  <c r="F13" i="10"/>
  <c r="G13" i="10" s="1"/>
  <c r="N13" i="10" s="1"/>
  <c r="F12" i="10"/>
  <c r="G12" i="10" s="1"/>
  <c r="M12" i="10" s="1"/>
  <c r="F11" i="10"/>
  <c r="G11" i="10" s="1"/>
  <c r="P11" i="10" s="1"/>
  <c r="F10" i="10"/>
  <c r="G10" i="10" s="1"/>
  <c r="T10" i="10" s="1"/>
  <c r="V10" i="10" s="1"/>
  <c r="F9" i="10"/>
  <c r="G9" i="10" s="1"/>
  <c r="N21" i="5"/>
  <c r="M21" i="5"/>
  <c r="L21" i="5"/>
  <c r="K21" i="5"/>
  <c r="J21" i="5"/>
  <c r="I21" i="5"/>
  <c r="H21" i="5"/>
  <c r="G21" i="5"/>
  <c r="F21" i="5"/>
  <c r="E21" i="5"/>
  <c r="D21" i="5"/>
  <c r="C21" i="5"/>
  <c r="P19" i="5"/>
  <c r="P18" i="5"/>
  <c r="P17" i="5"/>
  <c r="P16" i="5"/>
  <c r="P15" i="5"/>
  <c r="P14" i="5"/>
  <c r="P13" i="5"/>
  <c r="P12" i="5"/>
  <c r="P11" i="5"/>
  <c r="P10" i="5"/>
  <c r="P9" i="5"/>
  <c r="F51" i="9" l="1"/>
  <c r="J51" i="9"/>
  <c r="N51" i="9"/>
  <c r="P44" i="9"/>
  <c r="P51" i="9" s="1"/>
  <c r="S51" i="9" s="1"/>
  <c r="E25" i="9"/>
  <c r="E51" i="9"/>
  <c r="I51" i="9"/>
  <c r="M51" i="9"/>
  <c r="N38" i="9"/>
  <c r="M27" i="9"/>
  <c r="L38" i="9"/>
  <c r="K27" i="9"/>
  <c r="J38" i="9"/>
  <c r="I38" i="9"/>
  <c r="H38" i="9"/>
  <c r="G27" i="9"/>
  <c r="F38" i="9"/>
  <c r="E27" i="9"/>
  <c r="D38" i="9"/>
  <c r="C38" i="9"/>
  <c r="P38" i="9"/>
  <c r="J25" i="9"/>
  <c r="C25" i="9"/>
  <c r="K25" i="9"/>
  <c r="M25" i="9"/>
  <c r="G25" i="9"/>
  <c r="P23" i="9"/>
  <c r="P25" i="9" s="1"/>
  <c r="S25" i="9" s="1"/>
  <c r="V12" i="10"/>
  <c r="M16" i="10"/>
  <c r="P16" i="10"/>
  <c r="V11" i="10"/>
  <c r="V13" i="10"/>
  <c r="N16" i="10"/>
  <c r="T9" i="10"/>
  <c r="G16" i="10"/>
  <c r="P21" i="5"/>
  <c r="V9" i="10" l="1"/>
  <c r="V16" i="10" s="1"/>
  <c r="T16" i="10"/>
  <c r="F19" i="8" l="1"/>
  <c r="F19" i="2"/>
  <c r="F16" i="8" l="1"/>
  <c r="F27" i="2" l="1"/>
  <c r="F21" i="2"/>
  <c r="E24" i="8"/>
  <c r="G23" i="8"/>
  <c r="G21" i="8"/>
  <c r="G20" i="8"/>
  <c r="G19" i="8"/>
  <c r="G18" i="8"/>
  <c r="G17" i="8"/>
  <c r="G15" i="8"/>
  <c r="A15" i="8"/>
  <c r="A16" i="8" s="1"/>
  <c r="A17" i="8" s="1"/>
  <c r="A18" i="8" s="1"/>
  <c r="A19" i="8" s="1"/>
  <c r="A20" i="8" s="1"/>
  <c r="G9" i="8"/>
  <c r="E9" i="8"/>
  <c r="A21" i="8" l="1"/>
  <c r="A24" i="8" s="1"/>
  <c r="A22" i="8"/>
  <c r="F14" i="2"/>
  <c r="F24" i="8"/>
  <c r="G16" i="8"/>
  <c r="G24" i="8" s="1"/>
</calcChain>
</file>

<file path=xl/comments1.xml><?xml version="1.0" encoding="utf-8"?>
<comments xmlns="http://schemas.openxmlformats.org/spreadsheetml/2006/main">
  <authors>
    <author>Millett, Jennifer</author>
    <author>Yarbrough, Kevin</author>
  </authors>
  <commentList>
    <comment ref="F14" authorId="0" shapeId="0">
      <text>
        <r>
          <rPr>
            <b/>
            <sz val="9"/>
            <color indexed="81"/>
            <rFont val="Tahoma"/>
            <family val="2"/>
          </rPr>
          <t>Millett, Jennifer:</t>
        </r>
        <r>
          <rPr>
            <sz val="9"/>
            <color indexed="81"/>
            <rFont val="Tahoma"/>
            <family val="2"/>
          </rPr>
          <t xml:space="preserve">
Excludes Intangible Plant for Transmission project
 </t>
        </r>
      </text>
    </comment>
    <comment ref="F19" authorId="1" shapeId="0">
      <text>
        <r>
          <rPr>
            <b/>
            <sz val="9"/>
            <color indexed="81"/>
            <rFont val="Tahoma"/>
            <family val="2"/>
          </rPr>
          <t>Yarbrough, Kevin:</t>
        </r>
        <r>
          <rPr>
            <sz val="9"/>
            <color indexed="81"/>
            <rFont val="Tahoma"/>
            <family val="2"/>
          </rPr>
          <t xml:space="preserve">
Includes $31,731 from FERC 362
</t>
        </r>
      </text>
    </comment>
    <comment ref="F20" authorId="0" shapeId="0">
      <text>
        <r>
          <rPr>
            <b/>
            <sz val="9"/>
            <color indexed="81"/>
            <rFont val="Tahoma"/>
            <family val="2"/>
          </rPr>
          <t>Millett, Jennifer:</t>
        </r>
        <r>
          <rPr>
            <sz val="9"/>
            <color indexed="81"/>
            <rFont val="Tahoma"/>
            <family val="2"/>
          </rPr>
          <t xml:space="preserve">
Wildcat portion $28,550,243.</t>
        </r>
      </text>
    </comment>
    <comment ref="F26" authorId="0" shapeId="0">
      <text>
        <r>
          <rPr>
            <b/>
            <sz val="9"/>
            <color indexed="81"/>
            <rFont val="Tahoma"/>
            <family val="2"/>
          </rPr>
          <t>Millett, Jennifer:</t>
        </r>
        <r>
          <rPr>
            <sz val="9"/>
            <color indexed="81"/>
            <rFont val="Tahoma"/>
            <family val="2"/>
          </rPr>
          <t xml:space="preserve">
Excludes Intangible Plant of $232,321.</t>
        </r>
      </text>
    </comment>
  </commentList>
</comments>
</file>

<file path=xl/sharedStrings.xml><?xml version="1.0" encoding="utf-8"?>
<sst xmlns="http://schemas.openxmlformats.org/spreadsheetml/2006/main" count="133" uniqueCount="108">
  <si>
    <t>Old Dominion Electric Cooperative</t>
  </si>
  <si>
    <t>Form 1</t>
  </si>
  <si>
    <t>Transmission O&amp;M</t>
  </si>
  <si>
    <t>Adjs.</t>
  </si>
  <si>
    <t>Adjusted</t>
  </si>
  <si>
    <t>Reference</t>
  </si>
  <si>
    <t>Pg. 321.96.b</t>
  </si>
  <si>
    <t>Source of Adjustments</t>
  </si>
  <si>
    <t>Note 1</t>
  </si>
  <si>
    <t>Pg. 321.93.b</t>
  </si>
  <si>
    <t>Net Transmission O&amp;M in Template</t>
  </si>
  <si>
    <t>Notes:</t>
  </si>
  <si>
    <t>template ln. 66</t>
  </si>
  <si>
    <t>Expense Items</t>
  </si>
  <si>
    <t>(Template Entries)</t>
  </si>
  <si>
    <t>Clover</t>
  </si>
  <si>
    <t>North Anna</t>
  </si>
  <si>
    <t>Asset Balance</t>
  </si>
  <si>
    <t>Removed per formula</t>
  </si>
  <si>
    <t>Description</t>
  </si>
  <si>
    <t>Line</t>
  </si>
  <si>
    <t>No.</t>
  </si>
  <si>
    <t>(a)</t>
  </si>
  <si>
    <t>(b)</t>
  </si>
  <si>
    <t>(c)</t>
  </si>
  <si>
    <t>(d)</t>
  </si>
  <si>
    <t>(e)</t>
  </si>
  <si>
    <t>(f)</t>
  </si>
  <si>
    <t>(g)</t>
  </si>
  <si>
    <t>Template Workpapers</t>
  </si>
  <si>
    <t>Transmission Account Balances</t>
  </si>
  <si>
    <t>ODEC- Static Var</t>
  </si>
  <si>
    <t>Excluded Facilities:</t>
  </si>
  <si>
    <t>Included Facilities:</t>
  </si>
  <si>
    <t>Transmission Original Cost Workpaper for</t>
  </si>
  <si>
    <t>Excluded Plant Cost Support</t>
  </si>
  <si>
    <t>Attachment 5 - Line 149</t>
  </si>
  <si>
    <t>Eastern Shore Facilities</t>
  </si>
  <si>
    <t>Total Excluded Facilities</t>
  </si>
  <si>
    <t>Total Included Facilities (template line 150)</t>
  </si>
  <si>
    <t>Pg. 321.88.b</t>
  </si>
  <si>
    <t>(560) Operation Supervision and Engineering</t>
  </si>
  <si>
    <t>Pg. 321.83.b</t>
  </si>
  <si>
    <t>(561.4) Scheduling, Sys Control and Dispatch</t>
  </si>
  <si>
    <t>(561.7) Generation Interconnection Studies</t>
  </si>
  <si>
    <t>Pg. 321.91.b</t>
  </si>
  <si>
    <t>(561.8) Reliability, Planning and Standards Development</t>
  </si>
  <si>
    <t>Pg. 321.92.b</t>
  </si>
  <si>
    <t>(562) Station Expenses</t>
  </si>
  <si>
    <t>(563) Overhead Lines Expenses</t>
  </si>
  <si>
    <t>Pg. 321.94.b</t>
  </si>
  <si>
    <t>(564) Underground Lines Expenses</t>
  </si>
  <si>
    <t>Pg. 321.95.b</t>
  </si>
  <si>
    <t>(565) Transmission of Electricity by Others</t>
  </si>
  <si>
    <r>
      <t xml:space="preserve">Total Transmission Assets </t>
    </r>
    <r>
      <rPr>
        <sz val="12"/>
        <rFont val="Arial"/>
        <family val="2"/>
      </rPr>
      <t>(FF1 p. 207.58.g)</t>
    </r>
  </si>
  <si>
    <t>Capital Transmission Additions</t>
  </si>
  <si>
    <t>Transmission</t>
  </si>
  <si>
    <t>Total Transmission</t>
  </si>
  <si>
    <t>Capital Transmission Additions, Retirements, and CWIP</t>
  </si>
  <si>
    <t>Transmission - included facilities</t>
  </si>
  <si>
    <t>Total Additions - included facilities</t>
  </si>
  <si>
    <t>Total Transmission additions</t>
  </si>
  <si>
    <t>Total Additions - excluded facilities</t>
  </si>
  <si>
    <t>Transmission - excluded facilities</t>
  </si>
  <si>
    <t>Plantation Delivery Point</t>
  </si>
  <si>
    <t>Island Detection Using Synchrophasors</t>
  </si>
  <si>
    <t>Relay Transfer trip for line 6750</t>
  </si>
  <si>
    <t>Replace Structures on Circuit 6750</t>
  </si>
  <si>
    <t>Replace Insulators on Chincoteague Causeway</t>
  </si>
  <si>
    <t>R/P Strs. Cir. 6745/6 Yr 2019-2020</t>
  </si>
  <si>
    <t>R/P Strs. Cir. 6778 Yr 2019-2020</t>
  </si>
  <si>
    <t>Clover-R/P CCVTs L9P1,P1P1,&amp; G2P1</t>
  </si>
  <si>
    <t>D946258</t>
  </si>
  <si>
    <t>Delta</t>
  </si>
  <si>
    <t xml:space="preserve">     through the exclusion/inclusion factor in the formula.</t>
  </si>
  <si>
    <t xml:space="preserve">      cost of facilities that ODEC does not own and, thus, would otherwise not be properly excluded from the transmission revenue requirements</t>
  </si>
  <si>
    <t>CTs - Louisa/Marsh Run/Wildcat/Diesels</t>
  </si>
  <si>
    <t>Wildcat</t>
  </si>
  <si>
    <t>Total Retirements - included facilities</t>
  </si>
  <si>
    <t>Total Retirements - excluded facilities</t>
  </si>
  <si>
    <t>Total Transmission Retirements</t>
  </si>
  <si>
    <t>Total Transmission Transfers</t>
  </si>
  <si>
    <t>Total Transfers - excluded facilities</t>
  </si>
  <si>
    <t>OLD DOMINION ELECTRIC COOPERATIVE</t>
  </si>
  <si>
    <t>Transmission Capital Projects</t>
  </si>
  <si>
    <t>Summary of 2019 Formulary Transmission Expenses &amp; Adjustments</t>
  </si>
  <si>
    <t>1.  Excluded $797,030 ($579,824 in wheeling charges and $217,205 in facility charges) from account 562 related to Virginia mainland</t>
  </si>
  <si>
    <t>R/P Circuit 6745 OH Str 79 to 89</t>
  </si>
  <si>
    <t>Kellam to Bayview 2nd Line</t>
  </si>
  <si>
    <t>Wallops Line Undergrounding</t>
  </si>
  <si>
    <t>Replace Belle Haven STATCOM Air Conditiioning</t>
  </si>
  <si>
    <t>Estimated</t>
  </si>
  <si>
    <t xml:space="preserve">Total </t>
  </si>
  <si>
    <t>Total</t>
  </si>
  <si>
    <t>In Service</t>
  </si>
  <si>
    <t>Priors</t>
  </si>
  <si>
    <t>Budget</t>
  </si>
  <si>
    <t>Project</t>
  </si>
  <si>
    <t>SOURCE: Annual Plant In Service (PIS) Report for 10K support (Plant In Service Summary) for project set and PowerPlan for Monthly Cash Flows. PowerPlan Report 1201 run monthly was also used for Retirements</t>
  </si>
  <si>
    <t>Weirwood Del Pt Improvements</t>
  </si>
  <si>
    <t>253010</t>
  </si>
  <si>
    <t>241325</t>
  </si>
  <si>
    <t>Structure 32B Wood 70ft Line 6745 1/1/1983</t>
  </si>
  <si>
    <t>Structure 32A Wood 65ft Line 6746 1/1/1983</t>
  </si>
  <si>
    <t>Actuals Year</t>
  </si>
  <si>
    <t>Budget Year</t>
  </si>
  <si>
    <t>Trans-Line 6745-Structure Repl (FERC 355)</t>
  </si>
  <si>
    <t>(570) Maintenance of Station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</si>
</sst>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0.000%"/>
    <numFmt numFmtId="166" formatCode="_(* #,##0_);_(* \(#,##0\);_(* &quot;-&quot;??_);_(@_)"/>
    <numFmt numFmtId="167" formatCode="General_)"/>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u/>
      <sz val="10"/>
      <name val="Arial"/>
      <family val="2"/>
    </font>
    <font>
      <u val="singleAccounting"/>
      <sz val="10"/>
      <name val="Arial"/>
      <family val="2"/>
    </font>
    <font>
      <b/>
      <sz val="10"/>
      <name val="Arial"/>
      <family val="2"/>
    </font>
    <font>
      <b/>
      <sz val="12"/>
      <name val="Arial"/>
      <family val="2"/>
    </font>
    <font>
      <b/>
      <i/>
      <sz val="10"/>
      <name val="Arial"/>
      <family val="2"/>
    </font>
    <font>
      <b/>
      <sz val="16"/>
      <name val="Arial"/>
      <family val="2"/>
    </font>
    <font>
      <sz val="12"/>
      <name val="Arial"/>
      <family val="2"/>
    </font>
    <font>
      <sz val="12"/>
      <name val="Arial"/>
      <family val="2"/>
    </font>
    <font>
      <u/>
      <sz val="12"/>
      <name val="Arial"/>
      <family val="2"/>
    </font>
    <font>
      <u val="singleAccounting"/>
      <sz val="12"/>
      <name val="Arial"/>
      <family val="2"/>
    </font>
    <font>
      <b/>
      <u/>
      <sz val="12"/>
      <name val="Arial"/>
      <family val="2"/>
    </font>
    <font>
      <b/>
      <u val="singleAccounting"/>
      <sz val="12"/>
      <name val="Arial"/>
      <family val="2"/>
    </font>
    <font>
      <b/>
      <i/>
      <u/>
      <sz val="12"/>
      <name val="Arial"/>
      <family val="2"/>
    </font>
    <font>
      <b/>
      <i/>
      <sz val="12"/>
      <name val="Arial"/>
      <family val="2"/>
    </font>
    <font>
      <b/>
      <u val="singleAccounting"/>
      <sz val="10"/>
      <name val="Arial"/>
      <family val="2"/>
    </font>
    <font>
      <sz val="10"/>
      <name val="Arial"/>
      <family val="2"/>
    </font>
    <font>
      <b/>
      <sz val="11"/>
      <color theme="1"/>
      <name val="Calibri"/>
      <family val="2"/>
      <scheme val="minor"/>
    </font>
    <font>
      <b/>
      <sz val="12"/>
      <color theme="1"/>
      <name val="Arial"/>
      <family val="2"/>
    </font>
    <font>
      <sz val="10"/>
      <name val="Helv"/>
    </font>
    <font>
      <sz val="9"/>
      <color indexed="81"/>
      <name val="Tahoma"/>
      <family val="2"/>
    </font>
    <font>
      <b/>
      <sz val="9"/>
      <color indexed="81"/>
      <name val="Tahoma"/>
      <family val="2"/>
    </font>
    <font>
      <sz val="12"/>
      <color theme="1"/>
      <name val="Arial"/>
      <family val="2"/>
    </font>
    <font>
      <sz val="11"/>
      <color theme="1"/>
      <name val="Arial"/>
      <family val="2"/>
    </font>
    <font>
      <sz val="10"/>
      <name val="Arial"/>
      <family val="2"/>
    </font>
    <font>
      <u/>
      <sz val="10"/>
      <name val="Arial"/>
      <family val="2"/>
    </font>
    <font>
      <b/>
      <sz val="12"/>
      <color theme="1"/>
      <name val="Calibri"/>
      <family val="2"/>
      <scheme val="minor"/>
    </font>
    <font>
      <i/>
      <sz val="12"/>
      <name val="Arial"/>
      <family val="2"/>
    </font>
    <font>
      <sz val="10"/>
      <name val="Tms Rmn"/>
    </font>
    <font>
      <b/>
      <i/>
      <sz val="11"/>
      <name val="Arial"/>
      <family val="2"/>
    </font>
    <font>
      <b/>
      <i/>
      <u/>
      <sz val="11"/>
      <name val="Arial"/>
      <family val="2"/>
    </font>
    <font>
      <sz val="11"/>
      <name val="Arial"/>
      <family val="2"/>
    </font>
    <font>
      <b/>
      <sz val="11"/>
      <name val="Arial"/>
      <family val="2"/>
    </font>
    <font>
      <sz val="10"/>
      <color rgb="FF0070C0"/>
      <name val="Arial"/>
      <family val="2"/>
    </font>
    <font>
      <b/>
      <sz val="12"/>
      <color rgb="FF0070C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14">
    <xf numFmtId="0" fontId="0" fillId="0" borderId="0"/>
    <xf numFmtId="43" fontId="4" fillId="0" borderId="0" applyFont="0" applyFill="0" applyBorder="0" applyAlignment="0" applyProtection="0"/>
    <xf numFmtId="43" fontId="21" fillId="0" borderId="0" applyFont="0" applyFill="0" applyBorder="0" applyAlignment="0" applyProtection="0"/>
    <xf numFmtId="44" fontId="4" fillId="0" borderId="0" applyFont="0" applyFill="0" applyBorder="0" applyAlignment="0" applyProtection="0"/>
    <xf numFmtId="44" fontId="21" fillId="0" borderId="0" applyFont="0" applyFill="0" applyBorder="0" applyAlignment="0" applyProtection="0"/>
    <xf numFmtId="9" fontId="4" fillId="0" borderId="0" applyFont="0" applyFill="0" applyBorder="0" applyAlignment="0" applyProtection="0"/>
    <xf numFmtId="167" fontId="24"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37" fontId="33" fillId="0" borderId="0"/>
    <xf numFmtId="37" fontId="33" fillId="0" borderId="0"/>
  </cellStyleXfs>
  <cellXfs count="133">
    <xf numFmtId="0" fontId="0" fillId="0" borderId="0" xfId="0"/>
    <xf numFmtId="0" fontId="0" fillId="0" borderId="0" xfId="0" quotePrefix="1" applyAlignment="1">
      <alignment horizontal="left"/>
    </xf>
    <xf numFmtId="0" fontId="0" fillId="0" borderId="0" xfId="0" applyAlignment="1">
      <alignment horizontal="center"/>
    </xf>
    <xf numFmtId="0" fontId="6" fillId="0" borderId="0" xfId="0" applyFont="1" applyAlignment="1">
      <alignment horizontal="center"/>
    </xf>
    <xf numFmtId="0" fontId="9" fillId="0" borderId="0" xfId="0" quotePrefix="1" applyFont="1" applyAlignment="1">
      <alignment horizontal="centerContinuous"/>
    </xf>
    <xf numFmtId="0" fontId="9" fillId="0" borderId="0" xfId="0" applyFont="1" applyAlignment="1">
      <alignment horizontal="centerContinuous"/>
    </xf>
    <xf numFmtId="0" fontId="0" fillId="0" borderId="0" xfId="0" quotePrefix="1" applyAlignment="1">
      <alignment horizontal="center"/>
    </xf>
    <xf numFmtId="43" fontId="0" fillId="0" borderId="0" xfId="0" applyNumberFormat="1"/>
    <xf numFmtId="0" fontId="11" fillId="0" borderId="0" xfId="0" quotePrefix="1" applyFont="1" applyAlignment="1">
      <alignment horizontal="centerContinuous"/>
    </xf>
    <xf numFmtId="0" fontId="11" fillId="0" borderId="0" xfId="0" applyFont="1" applyAlignment="1">
      <alignment horizontal="centerContinuous"/>
    </xf>
    <xf numFmtId="0" fontId="9" fillId="0" borderId="1" xfId="0" applyFont="1" applyBorder="1"/>
    <xf numFmtId="0" fontId="12" fillId="0" borderId="1" xfId="0" applyFont="1" applyBorder="1"/>
    <xf numFmtId="0" fontId="12" fillId="0" borderId="0" xfId="0" applyFont="1"/>
    <xf numFmtId="43" fontId="12" fillId="0" borderId="0" xfId="1" applyFont="1"/>
    <xf numFmtId="0" fontId="0" fillId="0" borderId="0" xfId="0" applyAlignment="1">
      <alignment horizontal="centerContinuous"/>
    </xf>
    <xf numFmtId="0" fontId="12" fillId="0" borderId="0" xfId="0" quotePrefix="1" applyFont="1" applyAlignment="1">
      <alignment horizontal="left"/>
    </xf>
    <xf numFmtId="0" fontId="13" fillId="0" borderId="0" xfId="0" applyFont="1"/>
    <xf numFmtId="0" fontId="13" fillId="0" borderId="0" xfId="0" applyFont="1" applyAlignment="1">
      <alignment horizontal="center"/>
    </xf>
    <xf numFmtId="14" fontId="13" fillId="0" borderId="0" xfId="0" applyNumberFormat="1" applyFont="1" applyAlignment="1">
      <alignment horizontal="center"/>
    </xf>
    <xf numFmtId="0" fontId="14" fillId="0" borderId="0" xfId="0" applyFont="1" applyAlignment="1">
      <alignment horizontal="center"/>
    </xf>
    <xf numFmtId="43" fontId="15" fillId="0" borderId="0" xfId="1" applyFont="1" applyAlignment="1">
      <alignment horizontal="center"/>
    </xf>
    <xf numFmtId="0" fontId="13" fillId="0" borderId="0" xfId="0" quotePrefix="1" applyFont="1" applyAlignment="1">
      <alignment horizontal="center"/>
    </xf>
    <xf numFmtId="0" fontId="16" fillId="0" borderId="0" xfId="0" applyFont="1" applyAlignment="1">
      <alignment horizontal="left"/>
    </xf>
    <xf numFmtId="43" fontId="13" fillId="0" borderId="0" xfId="1" applyFont="1"/>
    <xf numFmtId="165" fontId="13" fillId="0" borderId="0" xfId="5" applyNumberFormat="1" applyFont="1"/>
    <xf numFmtId="43" fontId="17" fillId="0" borderId="0" xfId="1" applyFont="1"/>
    <xf numFmtId="0" fontId="9" fillId="0" borderId="0" xfId="0" quotePrefix="1" applyFont="1" applyAlignment="1">
      <alignment horizontal="left"/>
    </xf>
    <xf numFmtId="0" fontId="22" fillId="0" borderId="0" xfId="0" applyFont="1" applyAlignment="1">
      <alignment horizontal="center"/>
    </xf>
    <xf numFmtId="167" fontId="18" fillId="0" borderId="0" xfId="0" applyNumberFormat="1" applyFont="1"/>
    <xf numFmtId="167" fontId="12" fillId="0" borderId="0" xfId="0" applyNumberFormat="1" applyFont="1"/>
    <xf numFmtId="0" fontId="23" fillId="0" borderId="0" xfId="0" applyFont="1" applyAlignment="1">
      <alignment horizontal="centerContinuous"/>
    </xf>
    <xf numFmtId="10" fontId="0" fillId="0" borderId="0" xfId="0" applyNumberFormat="1"/>
    <xf numFmtId="164" fontId="13" fillId="0" borderId="0" xfId="3" applyNumberFormat="1" applyFont="1" applyFill="1"/>
    <xf numFmtId="166" fontId="12" fillId="0" borderId="0" xfId="2" applyNumberFormat="1" applyFont="1" applyBorder="1"/>
    <xf numFmtId="164" fontId="12" fillId="0" borderId="0" xfId="4" applyNumberFormat="1" applyFont="1" applyBorder="1"/>
    <xf numFmtId="164" fontId="19" fillId="0" borderId="0" xfId="4" applyNumberFormat="1" applyFont="1" applyAlignment="1">
      <alignment horizontal="right"/>
    </xf>
    <xf numFmtId="164" fontId="9" fillId="0" borderId="2" xfId="4" applyNumberFormat="1" applyFont="1" applyBorder="1"/>
    <xf numFmtId="164" fontId="0" fillId="0" borderId="0" xfId="0" applyNumberFormat="1"/>
    <xf numFmtId="0" fontId="0" fillId="0" borderId="0" xfId="0" applyFill="1"/>
    <xf numFmtId="0" fontId="12" fillId="0" borderId="0" xfId="7" applyFont="1" applyFill="1" applyBorder="1"/>
    <xf numFmtId="167" fontId="12" fillId="0" borderId="0" xfId="0" applyNumberFormat="1" applyFont="1" applyFill="1"/>
    <xf numFmtId="166" fontId="12" fillId="0" borderId="0" xfId="1" applyNumberFormat="1" applyFont="1" applyBorder="1"/>
    <xf numFmtId="3" fontId="12" fillId="0" borderId="0" xfId="0" applyNumberFormat="1" applyFont="1"/>
    <xf numFmtId="0" fontId="12" fillId="0" borderId="0" xfId="7" applyNumberFormat="1" applyFont="1" applyFill="1" applyBorder="1" applyAlignment="1">
      <alignment horizontal="left"/>
    </xf>
    <xf numFmtId="164" fontId="12" fillId="0" borderId="0" xfId="3" applyNumberFormat="1" applyFont="1" applyFill="1"/>
    <xf numFmtId="164" fontId="12" fillId="0" borderId="0" xfId="8" applyNumberFormat="1" applyFont="1" applyFill="1"/>
    <xf numFmtId="164" fontId="12" fillId="0" borderId="0" xfId="8" applyNumberFormat="1" applyFont="1" applyFill="1" applyBorder="1"/>
    <xf numFmtId="0" fontId="32" fillId="0" borderId="0" xfId="7" applyFont="1" applyFill="1" applyBorder="1"/>
    <xf numFmtId="0" fontId="12" fillId="0" borderId="0" xfId="12" applyNumberFormat="1" applyFont="1" applyFill="1" applyBorder="1"/>
    <xf numFmtId="0" fontId="35" fillId="0" borderId="0" xfId="13" applyNumberFormat="1" applyFont="1" applyFill="1" applyBorder="1" applyAlignment="1">
      <alignment horizontal="left"/>
    </xf>
    <xf numFmtId="37" fontId="36" fillId="0" borderId="0" xfId="13" applyNumberFormat="1" applyFont="1" applyFill="1" applyBorder="1" applyAlignment="1">
      <alignment horizontal="right"/>
    </xf>
    <xf numFmtId="0" fontId="36" fillId="0" borderId="0" xfId="12" applyNumberFormat="1" applyFont="1" applyFill="1" applyBorder="1" applyAlignment="1" applyProtection="1">
      <alignment horizontal="left"/>
    </xf>
    <xf numFmtId="37" fontId="36" fillId="0" borderId="0" xfId="13" applyFont="1" applyFill="1" applyBorder="1"/>
    <xf numFmtId="164" fontId="37" fillId="0" borderId="0" xfId="4" applyNumberFormat="1" applyFont="1" applyFill="1" applyBorder="1" applyProtection="1"/>
    <xf numFmtId="37" fontId="36" fillId="0" borderId="0" xfId="13" applyFont="1" applyFill="1" applyBorder="1" applyAlignment="1">
      <alignment horizontal="right"/>
    </xf>
    <xf numFmtId="0" fontId="19" fillId="0" borderId="0" xfId="7" applyNumberFormat="1" applyFont="1" applyFill="1" applyBorder="1" applyAlignment="1"/>
    <xf numFmtId="0" fontId="34" fillId="0" borderId="0" xfId="13" applyNumberFormat="1" applyFont="1" applyFill="1" applyBorder="1" applyAlignment="1">
      <alignment horizontal="left"/>
    </xf>
    <xf numFmtId="0" fontId="37" fillId="0" borderId="0" xfId="12" applyNumberFormat="1" applyFont="1" applyFill="1" applyBorder="1" applyAlignment="1">
      <alignment horizontal="left"/>
    </xf>
    <xf numFmtId="0" fontId="36" fillId="0" borderId="0" xfId="12" applyNumberFormat="1" applyFont="1" applyFill="1" applyBorder="1" applyAlignment="1">
      <alignment horizontal="left"/>
    </xf>
    <xf numFmtId="0" fontId="36" fillId="0" borderId="0" xfId="12" applyNumberFormat="1" applyFont="1" applyFill="1" applyBorder="1"/>
    <xf numFmtId="0" fontId="12" fillId="0" borderId="0" xfId="12" applyNumberFormat="1" applyFont="1" applyFill="1" applyBorder="1" applyAlignment="1">
      <alignment horizontal="left"/>
    </xf>
    <xf numFmtId="0" fontId="0" fillId="0" borderId="0" xfId="0" applyFill="1" applyBorder="1"/>
    <xf numFmtId="37" fontId="12" fillId="0" borderId="0" xfId="12" applyFont="1" applyFill="1" applyBorder="1"/>
    <xf numFmtId="37" fontId="12" fillId="0" borderId="0" xfId="12" applyFont="1" applyFill="1" applyBorder="1" applyAlignment="1">
      <alignment horizontal="left"/>
    </xf>
    <xf numFmtId="1" fontId="9" fillId="0" borderId="0" xfId="6" applyNumberFormat="1" applyFont="1" applyFill="1" applyBorder="1" applyAlignment="1" applyProtection="1">
      <alignment horizontal="center" vertical="center"/>
    </xf>
    <xf numFmtId="167" fontId="9" fillId="0" borderId="0" xfId="6" applyFont="1" applyFill="1" applyBorder="1" applyAlignment="1">
      <alignment horizontal="center" vertical="center"/>
    </xf>
    <xf numFmtId="37" fontId="37" fillId="0" borderId="0" xfId="12" applyFont="1" applyFill="1" applyBorder="1"/>
    <xf numFmtId="0" fontId="2" fillId="0" borderId="0" xfId="7" applyNumberFormat="1" applyFont="1" applyFill="1" applyBorder="1" applyAlignment="1">
      <alignment horizontal="left"/>
    </xf>
    <xf numFmtId="0" fontId="2" fillId="0" borderId="0" xfId="7" applyNumberFormat="1" applyFont="1" applyFill="1" applyBorder="1"/>
    <xf numFmtId="0" fontId="9" fillId="0" borderId="0" xfId="7" applyNumberFormat="1" applyFont="1" applyFill="1" applyBorder="1" applyAlignment="1"/>
    <xf numFmtId="164" fontId="13" fillId="0" borderId="0" xfId="0" applyNumberFormat="1" applyFont="1"/>
    <xf numFmtId="0" fontId="38" fillId="0" borderId="0" xfId="0" applyFont="1" applyAlignment="1">
      <alignment horizontal="left"/>
    </xf>
    <xf numFmtId="167" fontId="12" fillId="0" borderId="0" xfId="0" applyNumberFormat="1" applyFont="1" applyAlignment="1">
      <alignment horizontal="left"/>
    </xf>
    <xf numFmtId="0" fontId="12" fillId="0" borderId="0" xfId="0" applyNumberFormat="1" applyFont="1" applyAlignment="1">
      <alignment horizontal="left"/>
    </xf>
    <xf numFmtId="14" fontId="12" fillId="0" borderId="0" xfId="0" applyNumberFormat="1" applyFont="1"/>
    <xf numFmtId="37" fontId="0" fillId="0" borderId="0" xfId="0" applyNumberFormat="1" applyFill="1" applyBorder="1"/>
    <xf numFmtId="14" fontId="12" fillId="0" borderId="0" xfId="0" applyNumberFormat="1" applyFont="1" applyFill="1"/>
    <xf numFmtId="0" fontId="8" fillId="0" borderId="1" xfId="0" applyFont="1" applyBorder="1" applyAlignment="1">
      <alignment horizontal="center"/>
    </xf>
    <xf numFmtId="17" fontId="31" fillId="0" borderId="1" xfId="7" applyNumberFormat="1" applyFont="1" applyBorder="1" applyAlignment="1">
      <alignment horizontal="center"/>
    </xf>
    <xf numFmtId="17" fontId="8" fillId="0" borderId="0" xfId="0" applyNumberFormat="1" applyFont="1" applyBorder="1" applyAlignment="1">
      <alignment horizontal="center"/>
    </xf>
    <xf numFmtId="17" fontId="8" fillId="0" borderId="1" xfId="0" applyNumberFormat="1" applyFont="1" applyBorder="1" applyAlignment="1">
      <alignment horizontal="center"/>
    </xf>
    <xf numFmtId="0" fontId="8" fillId="0" borderId="0" xfId="0" applyNumberFormat="1" applyFont="1" applyBorder="1" applyAlignment="1">
      <alignment horizontal="center"/>
    </xf>
    <xf numFmtId="0" fontId="0" fillId="0" borderId="0" xfId="0" applyFill="1" applyAlignment="1">
      <alignment horizontal="center"/>
    </xf>
    <xf numFmtId="0" fontId="0" fillId="0" borderId="0" xfId="0" quotePrefix="1" applyFill="1" applyAlignment="1">
      <alignment horizontal="center"/>
    </xf>
    <xf numFmtId="0" fontId="6" fillId="0" borderId="0" xfId="0" applyFont="1" applyFill="1" applyAlignment="1">
      <alignment horizontal="center"/>
    </xf>
    <xf numFmtId="0" fontId="30" fillId="0" borderId="0" xfId="0" applyFont="1" applyFill="1" applyAlignment="1">
      <alignment horizontal="center"/>
    </xf>
    <xf numFmtId="0" fontId="6" fillId="0" borderId="0" xfId="0" quotePrefix="1" applyFont="1" applyFill="1" applyAlignment="1">
      <alignment horizontal="left"/>
    </xf>
    <xf numFmtId="0" fontId="0" fillId="0" borderId="0" xfId="0" quotePrefix="1" applyFill="1" applyAlignment="1">
      <alignment horizontal="left"/>
    </xf>
    <xf numFmtId="164" fontId="0" fillId="0" borderId="0" xfId="10" applyNumberFormat="1" applyFont="1" applyFill="1"/>
    <xf numFmtId="0" fontId="10" fillId="0" borderId="0" xfId="0" quotePrefix="1" applyFont="1" applyFill="1" applyAlignment="1">
      <alignment horizontal="center"/>
    </xf>
    <xf numFmtId="164" fontId="0" fillId="0" borderId="0" xfId="10" applyNumberFormat="1" applyFont="1" applyFill="1" applyAlignment="1">
      <alignment horizontal="left"/>
    </xf>
    <xf numFmtId="0" fontId="0" fillId="0" borderId="0" xfId="0" applyFill="1" applyAlignment="1">
      <alignment horizontal="left"/>
    </xf>
    <xf numFmtId="164" fontId="29" fillId="0" borderId="0" xfId="10" applyNumberFormat="1" applyFont="1" applyFill="1"/>
    <xf numFmtId="164" fontId="8" fillId="0" borderId="0" xfId="10" applyNumberFormat="1" applyFont="1" applyFill="1"/>
    <xf numFmtId="164" fontId="29" fillId="0" borderId="0" xfId="11" applyNumberFormat="1" applyFont="1" applyFill="1"/>
    <xf numFmtId="164" fontId="4" fillId="0" borderId="0" xfId="10" quotePrefix="1" applyNumberFormat="1" applyFont="1" applyFill="1" applyAlignment="1">
      <alignment horizontal="left"/>
    </xf>
    <xf numFmtId="164" fontId="4" fillId="0" borderId="0" xfId="10" applyNumberFormat="1" applyFont="1" applyFill="1" applyAlignment="1">
      <alignment horizontal="left"/>
    </xf>
    <xf numFmtId="0" fontId="4" fillId="0" borderId="0" xfId="0" applyFont="1" applyFill="1" applyAlignment="1">
      <alignment horizontal="left"/>
    </xf>
    <xf numFmtId="164" fontId="7" fillId="0" borderId="0" xfId="10" applyNumberFormat="1" applyFont="1" applyFill="1"/>
    <xf numFmtId="164" fontId="20" fillId="0" borderId="0" xfId="10" applyNumberFormat="1" applyFont="1" applyFill="1"/>
    <xf numFmtId="164" fontId="0" fillId="0" borderId="0" xfId="10" quotePrefix="1" applyNumberFormat="1" applyFont="1" applyFill="1" applyAlignment="1">
      <alignment horizontal="left"/>
    </xf>
    <xf numFmtId="164" fontId="0" fillId="0" borderId="0" xfId="0" applyNumberFormat="1" applyFill="1"/>
    <xf numFmtId="0" fontId="4" fillId="0" borderId="0" xfId="0" quotePrefix="1" applyFont="1" applyFill="1" applyAlignment="1">
      <alignment horizontal="left"/>
    </xf>
    <xf numFmtId="43" fontId="15" fillId="0" borderId="0" xfId="1" applyFont="1" applyFill="1" applyAlignment="1">
      <alignment horizontal="center"/>
    </xf>
    <xf numFmtId="0" fontId="13" fillId="0" borderId="0" xfId="0" quotePrefix="1" applyFont="1" applyFill="1" applyAlignment="1">
      <alignment horizontal="center"/>
    </xf>
    <xf numFmtId="164" fontId="13" fillId="0" borderId="0" xfId="3" quotePrefix="1" applyNumberFormat="1" applyFont="1" applyFill="1" applyAlignment="1">
      <alignment horizontal="center"/>
    </xf>
    <xf numFmtId="164" fontId="15" fillId="0" borderId="0" xfId="3" applyNumberFormat="1" applyFont="1" applyFill="1"/>
    <xf numFmtId="0" fontId="13" fillId="0" borderId="0" xfId="0" applyFont="1" applyFill="1"/>
    <xf numFmtId="0" fontId="12" fillId="0" borderId="0" xfId="0" applyFont="1" applyFill="1"/>
    <xf numFmtId="43" fontId="12" fillId="0" borderId="0" xfId="0" applyNumberFormat="1" applyFont="1" applyFill="1"/>
    <xf numFmtId="0" fontId="23" fillId="0" borderId="0" xfId="7" applyFont="1" applyFill="1"/>
    <xf numFmtId="0" fontId="3" fillId="0" borderId="0" xfId="7" applyFill="1"/>
    <xf numFmtId="0" fontId="1" fillId="0" borderId="0" xfId="7" applyFont="1" applyFill="1"/>
    <xf numFmtId="0" fontId="22" fillId="0" borderId="0" xfId="7" applyFont="1" applyFill="1" applyAlignment="1">
      <alignment horizontal="center"/>
    </xf>
    <xf numFmtId="17" fontId="31" fillId="0" borderId="0" xfId="7" applyNumberFormat="1" applyFont="1" applyFill="1" applyAlignment="1">
      <alignment horizontal="center"/>
    </xf>
    <xf numFmtId="0" fontId="31" fillId="0" borderId="0" xfId="7" applyFont="1" applyFill="1" applyAlignment="1">
      <alignment horizontal="center"/>
    </xf>
    <xf numFmtId="167" fontId="18" fillId="0" borderId="0" xfId="7" applyNumberFormat="1" applyFont="1" applyFill="1"/>
    <xf numFmtId="164" fontId="12" fillId="0" borderId="0" xfId="8" applyNumberFormat="1" applyFont="1" applyFill="1" applyAlignment="1">
      <alignment horizontal="left"/>
    </xf>
    <xf numFmtId="164" fontId="27" fillId="0" borderId="0" xfId="8" applyNumberFormat="1" applyFont="1" applyFill="1"/>
    <xf numFmtId="164" fontId="19" fillId="0" borderId="0" xfId="8" applyNumberFormat="1" applyFont="1" applyFill="1" applyAlignment="1">
      <alignment horizontal="right"/>
    </xf>
    <xf numFmtId="164" fontId="9" fillId="0" borderId="3" xfId="8" applyNumberFormat="1" applyFont="1" applyFill="1" applyBorder="1"/>
    <xf numFmtId="164" fontId="9" fillId="0" borderId="0" xfId="8" applyNumberFormat="1" applyFont="1" applyFill="1" applyBorder="1"/>
    <xf numFmtId="164" fontId="9" fillId="0" borderId="0" xfId="8" applyNumberFormat="1" applyFont="1" applyFill="1"/>
    <xf numFmtId="164" fontId="12" fillId="0" borderId="0" xfId="8" applyNumberFormat="1" applyFont="1" applyFill="1" applyAlignment="1">
      <alignment horizontal="left" indent="3"/>
    </xf>
    <xf numFmtId="164" fontId="23" fillId="0" borderId="3" xfId="7" applyNumberFormat="1" applyFont="1" applyFill="1" applyBorder="1"/>
    <xf numFmtId="0" fontId="23" fillId="0" borderId="3" xfId="7" applyFont="1" applyFill="1" applyBorder="1"/>
    <xf numFmtId="164" fontId="23" fillId="0" borderId="0" xfId="7" applyNumberFormat="1" applyFont="1" applyFill="1" applyBorder="1"/>
    <xf numFmtId="0" fontId="28" fillId="0" borderId="0" xfId="7" applyFont="1" applyFill="1"/>
    <xf numFmtId="164" fontId="9" fillId="0" borderId="0" xfId="8" applyNumberFormat="1" applyFont="1" applyFill="1" applyAlignment="1">
      <alignment horizontal="left"/>
    </xf>
    <xf numFmtId="164" fontId="9" fillId="0" borderId="2" xfId="8" applyNumberFormat="1" applyFont="1" applyFill="1" applyBorder="1"/>
    <xf numFmtId="164" fontId="39" fillId="0" borderId="2" xfId="8" applyNumberFormat="1" applyFont="1" applyFill="1" applyBorder="1"/>
    <xf numFmtId="0" fontId="9" fillId="0" borderId="0" xfId="7" applyNumberFormat="1" applyFont="1" applyFill="1" applyBorder="1" applyAlignment="1">
      <alignment horizontal="center"/>
    </xf>
    <xf numFmtId="0" fontId="19" fillId="0" borderId="0" xfId="7" applyNumberFormat="1" applyFont="1" applyFill="1" applyBorder="1" applyAlignment="1">
      <alignment horizontal="center"/>
    </xf>
  </cellXfs>
  <cellStyles count="14">
    <cellStyle name="Comma" xfId="1" builtinId="3"/>
    <cellStyle name="Comma 2" xfId="2"/>
    <cellStyle name="Comma 3" xfId="9"/>
    <cellStyle name="Currency" xfId="3" builtinId="4"/>
    <cellStyle name="Currency 2" xfId="4"/>
    <cellStyle name="Currency 2 2" xfId="11"/>
    <cellStyle name="Currency 3" xfId="8"/>
    <cellStyle name="Currency 4" xfId="10"/>
    <cellStyle name="Normal" xfId="0" builtinId="0"/>
    <cellStyle name="Normal 2" xfId="7"/>
    <cellStyle name="Normal 2 4" xfId="6"/>
    <cellStyle name="Normal 4" xfId="13"/>
    <cellStyle name="Normal_Capital Admin Assets 08" xfId="12"/>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Accounting\Public\Transmission\Transmission%20Filing%20Workpapers\2020%20Filing\ISL%20Support\2020%20Transmission%20filing%20workpapers_ISL%20TA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paper page 1"/>
      <sheetName val="Workpaper page 2"/>
      <sheetName val="Workpaper page 3_CWIP_ISL"/>
      <sheetName val="Workpaper page 3_In Service_ISL"/>
      <sheetName val="Workpaper page 4_ISL"/>
      <sheetName val="Q&amp;A"/>
    </sheetNames>
    <sheetDataSet>
      <sheetData sheetId="0"/>
      <sheetData sheetId="1"/>
      <sheetData sheetId="2">
        <row r="10">
          <cell r="P10">
            <v>190000</v>
          </cell>
        </row>
        <row r="11">
          <cell r="P11">
            <v>960000</v>
          </cell>
        </row>
        <row r="12">
          <cell r="P12">
            <v>3000000</v>
          </cell>
        </row>
        <row r="15">
          <cell r="P15">
            <v>100000</v>
          </cell>
        </row>
        <row r="17">
          <cell r="P17">
            <v>375000</v>
          </cell>
        </row>
        <row r="19">
          <cell r="P19">
            <v>150000</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abSelected="1" zoomScaleNormal="100" workbookViewId="0"/>
  </sheetViews>
  <sheetFormatPr defaultRowHeight="12.75" x14ac:dyDescent="0.2"/>
  <cols>
    <col min="2" max="2" width="31.42578125" customWidth="1"/>
    <col min="3" max="3" width="20.42578125" customWidth="1"/>
    <col min="4" max="4" width="15.85546875" customWidth="1"/>
    <col min="5" max="5" width="16" customWidth="1"/>
    <col min="6" max="6" width="14.5703125" customWidth="1"/>
    <col min="7" max="7" width="17.85546875" customWidth="1"/>
  </cols>
  <sheetData>
    <row r="1" spans="1:12" ht="20.25" x14ac:dyDescent="0.3">
      <c r="B1" s="8" t="s">
        <v>0</v>
      </c>
      <c r="C1" s="4"/>
      <c r="D1" s="5"/>
      <c r="E1" s="5"/>
      <c r="F1" s="5"/>
      <c r="G1" s="5"/>
      <c r="H1" s="5"/>
      <c r="I1" s="5"/>
    </row>
    <row r="2" spans="1:12" ht="20.25" x14ac:dyDescent="0.3">
      <c r="B2" s="9" t="s">
        <v>29</v>
      </c>
      <c r="C2" s="5"/>
      <c r="D2" s="5"/>
      <c r="E2" s="5"/>
      <c r="F2" s="5"/>
      <c r="G2" s="5"/>
      <c r="H2" s="5"/>
      <c r="I2" s="5"/>
    </row>
    <row r="3" spans="1:12" ht="20.25" x14ac:dyDescent="0.3">
      <c r="B3" s="9" t="s">
        <v>85</v>
      </c>
      <c r="C3" s="14"/>
      <c r="D3" s="14"/>
      <c r="E3" s="14"/>
      <c r="F3" s="14"/>
      <c r="G3" s="14"/>
      <c r="H3" s="14"/>
      <c r="I3" s="14"/>
    </row>
    <row r="5" spans="1:12" x14ac:dyDescent="0.2">
      <c r="C5" s="38"/>
    </row>
    <row r="6" spans="1:12" x14ac:dyDescent="0.2">
      <c r="F6" s="2"/>
      <c r="G6" s="2"/>
    </row>
    <row r="7" spans="1:12" x14ac:dyDescent="0.2">
      <c r="B7" s="38"/>
      <c r="C7" s="38"/>
      <c r="D7" s="38"/>
      <c r="E7" s="38"/>
      <c r="F7" s="82"/>
      <c r="G7" s="82"/>
      <c r="H7" s="38"/>
      <c r="I7" s="38"/>
      <c r="J7" s="38"/>
      <c r="K7" s="38"/>
      <c r="L7" s="38"/>
    </row>
    <row r="8" spans="1:12" x14ac:dyDescent="0.2">
      <c r="B8" s="38"/>
      <c r="C8" s="38"/>
      <c r="D8" s="82">
        <v>2019</v>
      </c>
      <c r="E8" s="38"/>
      <c r="F8" s="82"/>
      <c r="G8" s="83" t="s">
        <v>14</v>
      </c>
      <c r="H8" s="38"/>
      <c r="I8" s="38"/>
      <c r="J8" s="38"/>
      <c r="K8" s="38"/>
      <c r="L8" s="38"/>
    </row>
    <row r="9" spans="1:12" x14ac:dyDescent="0.2">
      <c r="A9" s="2" t="s">
        <v>20</v>
      </c>
      <c r="B9" s="38"/>
      <c r="C9" s="38"/>
      <c r="D9" s="82" t="s">
        <v>1</v>
      </c>
      <c r="E9" s="82">
        <f>+D8</f>
        <v>2019</v>
      </c>
      <c r="F9" s="82"/>
      <c r="G9" s="82">
        <f>+E9</f>
        <v>2019</v>
      </c>
      <c r="H9" s="38"/>
      <c r="I9" s="38"/>
      <c r="J9" s="38"/>
      <c r="K9" s="38"/>
      <c r="L9" s="38"/>
    </row>
    <row r="10" spans="1:12" x14ac:dyDescent="0.2">
      <c r="A10" s="3" t="s">
        <v>21</v>
      </c>
      <c r="B10" s="84" t="s">
        <v>19</v>
      </c>
      <c r="C10" s="38"/>
      <c r="D10" s="84" t="s">
        <v>5</v>
      </c>
      <c r="E10" s="84" t="s">
        <v>1</v>
      </c>
      <c r="F10" s="85" t="s">
        <v>3</v>
      </c>
      <c r="G10" s="84" t="s">
        <v>4</v>
      </c>
      <c r="H10" s="86" t="s">
        <v>7</v>
      </c>
      <c r="I10" s="38"/>
      <c r="J10" s="38"/>
      <c r="K10" s="38"/>
      <c r="L10" s="38"/>
    </row>
    <row r="11" spans="1:12" x14ac:dyDescent="0.2">
      <c r="A11" s="6" t="s">
        <v>22</v>
      </c>
      <c r="B11" s="83" t="s">
        <v>23</v>
      </c>
      <c r="C11" s="38"/>
      <c r="D11" s="83" t="s">
        <v>24</v>
      </c>
      <c r="E11" s="83" t="s">
        <v>25</v>
      </c>
      <c r="F11" s="83" t="s">
        <v>26</v>
      </c>
      <c r="G11" s="83" t="s">
        <v>27</v>
      </c>
      <c r="H11" s="83" t="s">
        <v>28</v>
      </c>
      <c r="I11" s="38"/>
      <c r="J11" s="38"/>
      <c r="K11" s="38"/>
      <c r="L11" s="38"/>
    </row>
    <row r="12" spans="1:12" x14ac:dyDescent="0.2">
      <c r="A12" s="2"/>
      <c r="B12" s="87"/>
      <c r="C12" s="38"/>
      <c r="D12" s="87"/>
      <c r="E12" s="88"/>
      <c r="F12" s="88"/>
      <c r="G12" s="88"/>
      <c r="H12" s="38"/>
      <c r="I12" s="38"/>
      <c r="J12" s="38"/>
      <c r="K12" s="38"/>
      <c r="L12" s="38"/>
    </row>
    <row r="13" spans="1:12" x14ac:dyDescent="0.2">
      <c r="A13" s="2"/>
      <c r="B13" s="89" t="s">
        <v>13</v>
      </c>
      <c r="C13" s="38"/>
      <c r="D13" s="38"/>
      <c r="E13" s="88"/>
      <c r="F13" s="88"/>
      <c r="G13" s="88"/>
      <c r="H13" s="38"/>
      <c r="I13" s="38"/>
      <c r="J13" s="38"/>
      <c r="K13" s="38"/>
      <c r="L13" s="38"/>
    </row>
    <row r="14" spans="1:12" x14ac:dyDescent="0.2">
      <c r="A14" s="2">
        <v>1</v>
      </c>
      <c r="B14" s="38" t="s">
        <v>2</v>
      </c>
      <c r="C14" s="38"/>
      <c r="D14" s="38"/>
      <c r="E14" s="88"/>
      <c r="F14" s="88"/>
      <c r="G14" s="88"/>
      <c r="H14" s="90"/>
      <c r="I14" s="38"/>
      <c r="J14" s="38"/>
      <c r="K14" s="38"/>
      <c r="L14" s="38"/>
    </row>
    <row r="15" spans="1:12" x14ac:dyDescent="0.2">
      <c r="A15" s="2">
        <f>A14+1</f>
        <v>2</v>
      </c>
      <c r="B15" s="91" t="s">
        <v>41</v>
      </c>
      <c r="C15" s="87"/>
      <c r="D15" s="87" t="s">
        <v>42</v>
      </c>
      <c r="E15" s="92">
        <v>471907</v>
      </c>
      <c r="F15" s="92"/>
      <c r="G15" s="93">
        <f t="shared" ref="G15:G23" si="0">F15+E15</f>
        <v>471907</v>
      </c>
      <c r="H15" s="88"/>
      <c r="I15" s="38"/>
      <c r="J15" s="38"/>
      <c r="K15" s="38"/>
      <c r="L15" s="38"/>
    </row>
    <row r="16" spans="1:12" x14ac:dyDescent="0.2">
      <c r="A16" s="2">
        <f t="shared" ref="A16:A24" si="1">A15+1</f>
        <v>3</v>
      </c>
      <c r="B16" s="91" t="s">
        <v>43</v>
      </c>
      <c r="C16" s="87"/>
      <c r="D16" s="87" t="s">
        <v>40</v>
      </c>
      <c r="E16" s="92">
        <v>3403223</v>
      </c>
      <c r="F16" s="92">
        <f>-E16</f>
        <v>-3403223</v>
      </c>
      <c r="G16" s="93">
        <f t="shared" si="0"/>
        <v>0</v>
      </c>
      <c r="H16" s="88" t="s">
        <v>18</v>
      </c>
      <c r="I16" s="38"/>
      <c r="J16" s="38"/>
      <c r="K16" s="38"/>
      <c r="L16" s="38"/>
    </row>
    <row r="17" spans="1:12" x14ac:dyDescent="0.2">
      <c r="A17" s="2">
        <f t="shared" si="1"/>
        <v>4</v>
      </c>
      <c r="B17" s="91" t="s">
        <v>44</v>
      </c>
      <c r="C17" s="87"/>
      <c r="D17" s="87" t="s">
        <v>45</v>
      </c>
      <c r="E17" s="92">
        <v>0</v>
      </c>
      <c r="F17" s="92"/>
      <c r="G17" s="93">
        <f t="shared" si="0"/>
        <v>0</v>
      </c>
      <c r="H17" s="88"/>
      <c r="I17" s="38"/>
      <c r="J17" s="38"/>
      <c r="K17" s="38"/>
      <c r="L17" s="38"/>
    </row>
    <row r="18" spans="1:12" x14ac:dyDescent="0.2">
      <c r="A18" s="2">
        <f t="shared" si="1"/>
        <v>5</v>
      </c>
      <c r="B18" s="91" t="s">
        <v>46</v>
      </c>
      <c r="C18" s="87"/>
      <c r="D18" s="87" t="s">
        <v>47</v>
      </c>
      <c r="E18" s="92">
        <v>148005</v>
      </c>
      <c r="F18" s="92"/>
      <c r="G18" s="93">
        <f t="shared" si="0"/>
        <v>148005</v>
      </c>
      <c r="H18" s="88"/>
      <c r="I18" s="38"/>
      <c r="J18" s="38"/>
      <c r="K18" s="38"/>
      <c r="L18" s="38"/>
    </row>
    <row r="19" spans="1:12" x14ac:dyDescent="0.2">
      <c r="A19" s="2">
        <f t="shared" si="1"/>
        <v>6</v>
      </c>
      <c r="B19" s="91" t="s">
        <v>48</v>
      </c>
      <c r="C19" s="87"/>
      <c r="D19" s="87" t="s">
        <v>9</v>
      </c>
      <c r="E19" s="92">
        <v>1040359</v>
      </c>
      <c r="F19" s="94">
        <f>-240284.71-339539.56-156372.6-60832.78</f>
        <v>-797029.65</v>
      </c>
      <c r="G19" s="93">
        <f t="shared" si="0"/>
        <v>243329.34999999998</v>
      </c>
      <c r="H19" s="95" t="s">
        <v>8</v>
      </c>
      <c r="I19" s="38"/>
      <c r="J19" s="38"/>
      <c r="K19" s="38"/>
      <c r="L19" s="38"/>
    </row>
    <row r="20" spans="1:12" x14ac:dyDescent="0.2">
      <c r="A20" s="2">
        <f t="shared" si="1"/>
        <v>7</v>
      </c>
      <c r="B20" s="91" t="s">
        <v>49</v>
      </c>
      <c r="C20" s="87"/>
      <c r="D20" s="87" t="s">
        <v>50</v>
      </c>
      <c r="E20" s="92">
        <v>726058</v>
      </c>
      <c r="F20" s="92"/>
      <c r="G20" s="93">
        <f t="shared" si="0"/>
        <v>726058</v>
      </c>
      <c r="H20" s="88"/>
      <c r="I20" s="38"/>
      <c r="J20" s="38"/>
      <c r="K20" s="38"/>
      <c r="L20" s="38"/>
    </row>
    <row r="21" spans="1:12" x14ac:dyDescent="0.2">
      <c r="A21" s="2">
        <f t="shared" si="1"/>
        <v>8</v>
      </c>
      <c r="B21" s="87" t="s">
        <v>51</v>
      </c>
      <c r="C21" s="87"/>
      <c r="D21" s="87" t="s">
        <v>52</v>
      </c>
      <c r="E21" s="92">
        <v>13040</v>
      </c>
      <c r="F21" s="92"/>
      <c r="G21" s="93">
        <f t="shared" si="0"/>
        <v>13040</v>
      </c>
      <c r="H21" s="88"/>
      <c r="I21" s="38"/>
      <c r="J21" s="38"/>
      <c r="K21" s="38"/>
      <c r="L21" s="38"/>
    </row>
    <row r="22" spans="1:12" x14ac:dyDescent="0.2">
      <c r="A22" s="2">
        <f>A20+1</f>
        <v>8</v>
      </c>
      <c r="B22" s="91" t="s">
        <v>53</v>
      </c>
      <c r="C22" s="87"/>
      <c r="D22" s="87" t="s">
        <v>6</v>
      </c>
      <c r="E22" s="92">
        <v>155085553</v>
      </c>
      <c r="F22" s="92">
        <v>-155085553</v>
      </c>
      <c r="G22" s="93">
        <f t="shared" si="0"/>
        <v>0</v>
      </c>
      <c r="H22" s="96" t="s">
        <v>18</v>
      </c>
      <c r="I22" s="38"/>
      <c r="J22" s="38"/>
      <c r="K22" s="38"/>
      <c r="L22" s="38"/>
    </row>
    <row r="23" spans="1:12" ht="15" x14ac:dyDescent="0.35">
      <c r="A23" s="2">
        <v>10</v>
      </c>
      <c r="B23" s="97" t="s">
        <v>107</v>
      </c>
      <c r="C23" s="87"/>
      <c r="D23" s="87" t="s">
        <v>6</v>
      </c>
      <c r="E23" s="98">
        <v>91119</v>
      </c>
      <c r="F23" s="98">
        <v>0</v>
      </c>
      <c r="G23" s="99">
        <f t="shared" si="0"/>
        <v>91119</v>
      </c>
      <c r="H23" s="96"/>
      <c r="I23" s="38"/>
      <c r="J23" s="38"/>
      <c r="K23" s="38"/>
      <c r="L23" s="38"/>
    </row>
    <row r="24" spans="1:12" x14ac:dyDescent="0.2">
      <c r="A24" s="2">
        <f t="shared" si="1"/>
        <v>11</v>
      </c>
      <c r="B24" s="87" t="s">
        <v>10</v>
      </c>
      <c r="C24" s="38"/>
      <c r="D24" s="91" t="s">
        <v>12</v>
      </c>
      <c r="E24" s="88">
        <f>SUM(E15:E23)</f>
        <v>160979264</v>
      </c>
      <c r="F24" s="88">
        <f>SUM(F15:F23)</f>
        <v>-159285805.65000001</v>
      </c>
      <c r="G24" s="93">
        <f>SUM(G15:G23)</f>
        <v>1693458.35</v>
      </c>
      <c r="H24" s="88"/>
      <c r="I24" s="38"/>
      <c r="J24" s="38"/>
      <c r="K24" s="38"/>
      <c r="L24" s="38"/>
    </row>
    <row r="25" spans="1:12" x14ac:dyDescent="0.2">
      <c r="A25" s="2"/>
      <c r="B25" s="38"/>
      <c r="C25" s="38"/>
      <c r="D25" s="38"/>
      <c r="E25" s="88"/>
      <c r="F25" s="88"/>
      <c r="G25" s="93"/>
      <c r="H25" s="88"/>
      <c r="I25" s="38"/>
      <c r="J25" s="38"/>
      <c r="K25" s="38"/>
      <c r="L25" s="38"/>
    </row>
    <row r="26" spans="1:12" x14ac:dyDescent="0.2">
      <c r="B26" s="38"/>
      <c r="C26" s="38"/>
      <c r="D26" s="38"/>
      <c r="E26" s="88"/>
      <c r="F26" s="88"/>
      <c r="G26" s="88"/>
      <c r="H26" s="100"/>
      <c r="I26" s="38"/>
      <c r="J26" s="101"/>
      <c r="K26" s="38"/>
      <c r="L26" s="38"/>
    </row>
    <row r="27" spans="1:12" x14ac:dyDescent="0.2">
      <c r="B27" s="38"/>
      <c r="C27" s="38"/>
      <c r="D27" s="38"/>
      <c r="E27" s="88"/>
      <c r="F27" s="88"/>
      <c r="G27" s="88"/>
      <c r="H27" s="100"/>
      <c r="I27" s="38"/>
      <c r="J27" s="38"/>
      <c r="K27" s="38"/>
      <c r="L27" s="38"/>
    </row>
    <row r="28" spans="1:12" x14ac:dyDescent="0.2">
      <c r="B28" s="38"/>
      <c r="C28" s="38"/>
      <c r="D28" s="38"/>
      <c r="E28" s="88"/>
      <c r="F28" s="88"/>
      <c r="G28" s="88"/>
      <c r="H28" s="88"/>
      <c r="I28" s="38"/>
      <c r="J28" s="38"/>
      <c r="K28" s="38"/>
      <c r="L28" s="38"/>
    </row>
    <row r="29" spans="1:12" x14ac:dyDescent="0.2">
      <c r="B29" s="38"/>
      <c r="C29" s="38"/>
      <c r="D29" s="38"/>
      <c r="E29" s="88"/>
      <c r="F29" s="88"/>
      <c r="G29" s="88"/>
      <c r="H29" s="88"/>
      <c r="I29" s="38"/>
      <c r="J29" s="38"/>
      <c r="K29" s="38"/>
      <c r="L29" s="38"/>
    </row>
    <row r="30" spans="1:12" x14ac:dyDescent="0.2">
      <c r="B30" s="38" t="s">
        <v>11</v>
      </c>
      <c r="C30" s="102" t="s">
        <v>86</v>
      </c>
      <c r="D30" s="38"/>
      <c r="E30" s="38"/>
      <c r="F30" s="38"/>
      <c r="G30" s="38"/>
      <c r="H30" s="38"/>
      <c r="I30" s="38"/>
      <c r="J30" s="38"/>
      <c r="K30" s="38"/>
      <c r="L30" s="38"/>
    </row>
    <row r="31" spans="1:12" x14ac:dyDescent="0.2">
      <c r="B31" s="38"/>
      <c r="C31" s="102" t="s">
        <v>75</v>
      </c>
      <c r="D31" s="38"/>
      <c r="E31" s="38"/>
      <c r="F31" s="38"/>
      <c r="G31" s="38"/>
      <c r="H31" s="38"/>
      <c r="I31" s="38"/>
      <c r="J31" s="38"/>
      <c r="K31" s="38"/>
      <c r="L31" s="38"/>
    </row>
    <row r="32" spans="1:12" x14ac:dyDescent="0.2">
      <c r="B32" s="38"/>
      <c r="C32" s="102" t="s">
        <v>74</v>
      </c>
      <c r="D32" s="38"/>
      <c r="E32" s="38"/>
      <c r="F32" s="38"/>
      <c r="G32" s="38"/>
      <c r="H32" s="38"/>
      <c r="I32" s="38"/>
      <c r="J32" s="38"/>
      <c r="K32" s="38"/>
      <c r="L32" s="38"/>
    </row>
    <row r="33" spans="2:12" x14ac:dyDescent="0.2">
      <c r="B33" s="38"/>
      <c r="C33" s="38"/>
      <c r="D33" s="38"/>
      <c r="E33" s="38"/>
      <c r="F33" s="38"/>
      <c r="G33" s="38"/>
      <c r="H33" s="38"/>
      <c r="I33" s="38"/>
      <c r="J33" s="38"/>
      <c r="K33" s="38"/>
      <c r="L33" s="38"/>
    </row>
    <row r="34" spans="2:12" x14ac:dyDescent="0.2">
      <c r="B34" s="38"/>
      <c r="C34" s="38"/>
      <c r="D34" s="38"/>
      <c r="E34" s="38"/>
      <c r="F34" s="38"/>
      <c r="G34" s="38"/>
      <c r="H34" s="38"/>
      <c r="I34" s="38"/>
      <c r="J34" s="38"/>
      <c r="K34" s="38"/>
      <c r="L34" s="38"/>
    </row>
    <row r="35" spans="2:12" x14ac:dyDescent="0.2">
      <c r="C35" s="1"/>
    </row>
    <row r="36" spans="2:12" x14ac:dyDescent="0.2">
      <c r="C36" s="1"/>
    </row>
    <row r="37" spans="2:12" x14ac:dyDescent="0.2">
      <c r="C37" s="1"/>
    </row>
    <row r="55" spans="3:4" x14ac:dyDescent="0.2">
      <c r="C55" s="31"/>
      <c r="D55" s="31"/>
    </row>
  </sheetData>
  <pageMargins left="0.42" right="0.38" top="1" bottom="1" header="0.5" footer="0.5"/>
  <pageSetup scale="85"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7"/>
  <sheetViews>
    <sheetView zoomScaleNormal="100" workbookViewId="0">
      <selection activeCell="A4" sqref="A4"/>
    </sheetView>
  </sheetViews>
  <sheetFormatPr defaultRowHeight="12.75" x14ac:dyDescent="0.2"/>
  <cols>
    <col min="1" max="1" width="10.28515625" customWidth="1"/>
    <col min="2" max="2" width="33.5703125" customWidth="1"/>
    <col min="3" max="4" width="4.140625" customWidth="1"/>
    <col min="6" max="6" width="18.28515625" customWidth="1"/>
    <col min="7" max="7" width="14" bestFit="1" customWidth="1"/>
    <col min="8" max="8" width="13" bestFit="1" customWidth="1"/>
  </cols>
  <sheetData>
    <row r="1" spans="1:8" ht="20.25" x14ac:dyDescent="0.3">
      <c r="A1" s="8" t="s">
        <v>0</v>
      </c>
      <c r="B1" s="14"/>
      <c r="C1" s="14"/>
      <c r="D1" s="14"/>
      <c r="E1" s="14"/>
      <c r="F1" s="14"/>
    </row>
    <row r="2" spans="1:8" ht="20.25" x14ac:dyDescent="0.3">
      <c r="A2" s="9" t="s">
        <v>34</v>
      </c>
      <c r="B2" s="14"/>
      <c r="C2" s="14"/>
      <c r="D2" s="14"/>
      <c r="E2" s="14"/>
      <c r="F2" s="14"/>
    </row>
    <row r="3" spans="1:8" ht="20.25" x14ac:dyDescent="0.3">
      <c r="A3" s="9" t="s">
        <v>35</v>
      </c>
      <c r="B3" s="8"/>
      <c r="C3" s="14"/>
      <c r="D3" s="14"/>
      <c r="E3" s="14"/>
      <c r="F3" s="14"/>
    </row>
    <row r="4" spans="1:8" ht="20.25" x14ac:dyDescent="0.3">
      <c r="A4" s="9" t="s">
        <v>36</v>
      </c>
      <c r="B4" s="8"/>
      <c r="C4" s="14"/>
      <c r="D4" s="14"/>
      <c r="E4" s="14"/>
      <c r="F4" s="14"/>
    </row>
    <row r="5" spans="1:8" ht="20.25" x14ac:dyDescent="0.3">
      <c r="A5" s="9"/>
      <c r="B5" s="8"/>
      <c r="C5" s="14"/>
      <c r="D5" s="14"/>
      <c r="E5" s="14"/>
      <c r="F5" s="14"/>
      <c r="G5" s="38"/>
    </row>
    <row r="7" spans="1:8" ht="15.75" x14ac:dyDescent="0.25">
      <c r="B7" s="10" t="s">
        <v>30</v>
      </c>
      <c r="C7" s="11"/>
      <c r="D7" s="11"/>
      <c r="E7" s="11"/>
      <c r="F7" s="11"/>
    </row>
    <row r="8" spans="1:8" ht="15" x14ac:dyDescent="0.2">
      <c r="B8" s="12"/>
      <c r="C8" s="12"/>
      <c r="D8" s="12"/>
      <c r="E8" s="12"/>
      <c r="F8" s="12"/>
    </row>
    <row r="9" spans="1:8" ht="15" x14ac:dyDescent="0.2">
      <c r="A9" s="16"/>
      <c r="B9" s="16"/>
      <c r="C9" s="16"/>
      <c r="D9" s="16"/>
      <c r="E9" s="16"/>
      <c r="F9" s="16"/>
      <c r="G9" s="16"/>
      <c r="H9" s="16"/>
    </row>
    <row r="10" spans="1:8" ht="15" x14ac:dyDescent="0.2">
      <c r="A10" s="17" t="s">
        <v>20</v>
      </c>
      <c r="B10" s="16"/>
      <c r="C10" s="16"/>
      <c r="D10" s="16"/>
      <c r="E10" s="16"/>
      <c r="F10" s="18">
        <v>43830</v>
      </c>
      <c r="G10" s="16"/>
      <c r="H10" s="16"/>
    </row>
    <row r="11" spans="1:8" ht="17.25" x14ac:dyDescent="0.35">
      <c r="A11" s="19" t="s">
        <v>21</v>
      </c>
      <c r="B11" s="20" t="s">
        <v>19</v>
      </c>
      <c r="C11" s="20"/>
      <c r="D11" s="20"/>
      <c r="E11" s="20"/>
      <c r="F11" s="103" t="s">
        <v>17</v>
      </c>
      <c r="G11" s="16"/>
      <c r="H11" s="16"/>
    </row>
    <row r="12" spans="1:8" ht="15" x14ac:dyDescent="0.2">
      <c r="A12" s="21" t="s">
        <v>22</v>
      </c>
      <c r="B12" s="21" t="s">
        <v>23</v>
      </c>
      <c r="C12" s="16"/>
      <c r="D12" s="16"/>
      <c r="E12" s="16"/>
      <c r="F12" s="104" t="s">
        <v>24</v>
      </c>
      <c r="G12" s="16"/>
      <c r="H12" s="16"/>
    </row>
    <row r="13" spans="1:8" ht="15" x14ac:dyDescent="0.2">
      <c r="A13" s="21"/>
      <c r="B13" s="21"/>
      <c r="C13" s="16"/>
      <c r="D13" s="16"/>
      <c r="E13" s="16"/>
      <c r="F13" s="104"/>
      <c r="G13" s="16"/>
      <c r="H13" s="16"/>
    </row>
    <row r="14" spans="1:8" ht="15.75" x14ac:dyDescent="0.25">
      <c r="A14" s="21">
        <v>1</v>
      </c>
      <c r="B14" s="26" t="s">
        <v>54</v>
      </c>
      <c r="C14" s="16"/>
      <c r="D14" s="16"/>
      <c r="E14" s="16"/>
      <c r="F14" s="105">
        <f>+F21+F27</f>
        <v>121744996.11000001</v>
      </c>
      <c r="G14" s="16"/>
      <c r="H14" s="70"/>
    </row>
    <row r="15" spans="1:8" ht="15" x14ac:dyDescent="0.2">
      <c r="A15" s="21"/>
      <c r="B15" s="21"/>
      <c r="C15" s="16"/>
      <c r="D15" s="16"/>
      <c r="E15" s="16"/>
      <c r="F15" s="104"/>
      <c r="G15" s="16"/>
      <c r="H15" s="16"/>
    </row>
    <row r="16" spans="1:8" ht="15.75" x14ac:dyDescent="0.25">
      <c r="A16" s="16"/>
      <c r="B16" s="22" t="s">
        <v>32</v>
      </c>
      <c r="C16" s="16"/>
      <c r="D16" s="16"/>
      <c r="E16" s="16"/>
      <c r="F16" s="104"/>
      <c r="G16" s="16"/>
      <c r="H16" s="16"/>
    </row>
    <row r="17" spans="1:8" ht="15" x14ac:dyDescent="0.2">
      <c r="A17" s="21"/>
      <c r="B17" s="21"/>
      <c r="C17" s="16"/>
      <c r="D17" s="16"/>
      <c r="E17" s="16"/>
      <c r="F17" s="104"/>
      <c r="G17" s="16"/>
      <c r="H17" s="16"/>
    </row>
    <row r="18" spans="1:8" ht="15" x14ac:dyDescent="0.2">
      <c r="A18" s="17">
        <v>2</v>
      </c>
      <c r="B18" s="23" t="s">
        <v>15</v>
      </c>
      <c r="C18" s="23"/>
      <c r="D18" s="23"/>
      <c r="E18" s="23"/>
      <c r="F18" s="32">
        <v>12231130.09</v>
      </c>
      <c r="G18" s="32"/>
      <c r="H18" s="16"/>
    </row>
    <row r="19" spans="1:8" ht="15" x14ac:dyDescent="0.2">
      <c r="A19" s="17">
        <v>3</v>
      </c>
      <c r="B19" s="23" t="s">
        <v>16</v>
      </c>
      <c r="C19" s="23"/>
      <c r="D19" s="23"/>
      <c r="E19" s="23"/>
      <c r="F19" s="32">
        <f>6125952.31+31731</f>
        <v>6157683.3099999996</v>
      </c>
      <c r="G19" s="32"/>
      <c r="H19" s="16"/>
    </row>
    <row r="20" spans="1:8" ht="17.25" x14ac:dyDescent="0.35">
      <c r="A20" s="17">
        <v>4</v>
      </c>
      <c r="B20" s="13" t="s">
        <v>76</v>
      </c>
      <c r="C20" s="23"/>
      <c r="D20" s="23"/>
      <c r="E20" s="23"/>
      <c r="F20" s="106">
        <v>63235785.469999999</v>
      </c>
      <c r="G20" s="44"/>
      <c r="H20" s="16"/>
    </row>
    <row r="21" spans="1:8" ht="15" x14ac:dyDescent="0.2">
      <c r="A21" s="17">
        <v>5</v>
      </c>
      <c r="B21" s="23" t="s">
        <v>38</v>
      </c>
      <c r="C21" s="23"/>
      <c r="D21" s="23"/>
      <c r="E21" s="23"/>
      <c r="F21" s="32">
        <f>SUM(F18:F20)</f>
        <v>81624598.870000005</v>
      </c>
      <c r="G21" s="24"/>
      <c r="H21" s="16"/>
    </row>
    <row r="22" spans="1:8" ht="15" x14ac:dyDescent="0.2">
      <c r="A22" s="17"/>
      <c r="B22" s="23"/>
      <c r="C22" s="23"/>
      <c r="D22" s="23"/>
      <c r="E22" s="23"/>
      <c r="F22" s="32"/>
      <c r="G22" s="24"/>
      <c r="H22" s="16"/>
    </row>
    <row r="23" spans="1:8" ht="20.25" x14ac:dyDescent="0.55000000000000004">
      <c r="A23" s="17"/>
      <c r="B23" s="25" t="s">
        <v>33</v>
      </c>
      <c r="C23" s="23"/>
      <c r="D23" s="23"/>
      <c r="E23" s="23"/>
      <c r="F23" s="32"/>
      <c r="G23" s="24"/>
      <c r="H23" s="16"/>
    </row>
    <row r="24" spans="1:8" ht="15" x14ac:dyDescent="0.2">
      <c r="A24" s="17"/>
      <c r="B24" s="23"/>
      <c r="C24" s="23"/>
      <c r="D24" s="23"/>
      <c r="E24" s="23"/>
      <c r="F24" s="32"/>
      <c r="G24" s="24"/>
      <c r="H24" s="16"/>
    </row>
    <row r="25" spans="1:8" ht="15" x14ac:dyDescent="0.2">
      <c r="A25" s="17">
        <v>6</v>
      </c>
      <c r="B25" s="23" t="s">
        <v>31</v>
      </c>
      <c r="C25" s="23"/>
      <c r="D25" s="23"/>
      <c r="E25" s="23"/>
      <c r="F25" s="32">
        <v>1926088.64</v>
      </c>
      <c r="G25" s="24"/>
      <c r="H25" s="16"/>
    </row>
    <row r="26" spans="1:8" ht="17.25" x14ac:dyDescent="0.35">
      <c r="A26" s="17">
        <v>7</v>
      </c>
      <c r="B26" s="23" t="s">
        <v>37</v>
      </c>
      <c r="C26" s="23"/>
      <c r="D26" s="23"/>
      <c r="E26" s="23"/>
      <c r="F26" s="106">
        <f>+(40352718.6-1926089)-232321</f>
        <v>38194308.600000001</v>
      </c>
      <c r="G26" s="24"/>
      <c r="H26" s="16"/>
    </row>
    <row r="27" spans="1:8" ht="15" x14ac:dyDescent="0.2">
      <c r="A27" s="17">
        <v>8</v>
      </c>
      <c r="B27" s="23" t="s">
        <v>39</v>
      </c>
      <c r="C27" s="23"/>
      <c r="D27" s="23"/>
      <c r="E27" s="23"/>
      <c r="F27" s="32">
        <f>SUM(F25:F26)</f>
        <v>40120397.240000002</v>
      </c>
      <c r="G27" s="16"/>
      <c r="H27" s="16"/>
    </row>
    <row r="28" spans="1:8" ht="15" x14ac:dyDescent="0.2">
      <c r="A28" s="17"/>
      <c r="B28" s="16"/>
      <c r="C28" s="16"/>
      <c r="D28" s="16"/>
      <c r="E28" s="16"/>
      <c r="F28" s="107"/>
      <c r="G28" s="16"/>
      <c r="H28" s="16"/>
    </row>
    <row r="29" spans="1:8" ht="15" x14ac:dyDescent="0.2">
      <c r="A29" s="2"/>
      <c r="B29" s="12"/>
      <c r="C29" s="12"/>
      <c r="D29" s="12"/>
      <c r="E29" s="12"/>
      <c r="F29" s="108"/>
    </row>
    <row r="30" spans="1:8" ht="15" x14ac:dyDescent="0.2">
      <c r="B30" s="15"/>
      <c r="C30" s="12"/>
      <c r="D30" s="12"/>
      <c r="E30" s="12"/>
      <c r="F30" s="109"/>
      <c r="G30" s="7"/>
    </row>
    <row r="31" spans="1:8" ht="15" x14ac:dyDescent="0.2">
      <c r="B31" s="13"/>
      <c r="C31" s="13"/>
      <c r="D31" s="13"/>
      <c r="E31" s="13"/>
      <c r="F31" s="13"/>
    </row>
    <row r="32" spans="1:8" ht="15" x14ac:dyDescent="0.2">
      <c r="B32" s="12"/>
      <c r="C32" s="12"/>
      <c r="D32" s="12"/>
      <c r="E32" s="12"/>
      <c r="F32" s="12"/>
    </row>
    <row r="33" spans="2:6" ht="15" x14ac:dyDescent="0.2">
      <c r="B33" s="12"/>
      <c r="C33" s="12"/>
      <c r="D33" s="12"/>
      <c r="E33" s="12"/>
      <c r="F33" s="12"/>
    </row>
    <row r="34" spans="2:6" ht="15" x14ac:dyDescent="0.2">
      <c r="B34" s="12"/>
      <c r="C34" s="12"/>
      <c r="D34" s="12"/>
      <c r="E34" s="12"/>
      <c r="F34" s="12"/>
    </row>
    <row r="35" spans="2:6" ht="15" x14ac:dyDescent="0.2">
      <c r="B35" s="12"/>
      <c r="C35" s="12"/>
      <c r="D35" s="12"/>
      <c r="E35" s="12"/>
      <c r="F35" s="13"/>
    </row>
    <row r="36" spans="2:6" ht="15" x14ac:dyDescent="0.2">
      <c r="B36" s="12"/>
      <c r="C36" s="12"/>
      <c r="D36" s="12"/>
      <c r="E36" s="12"/>
      <c r="F36" s="12"/>
    </row>
    <row r="37" spans="2:6" ht="15" x14ac:dyDescent="0.2">
      <c r="B37" s="12"/>
      <c r="C37" s="12"/>
      <c r="D37" s="12"/>
      <c r="E37" s="12"/>
      <c r="F37" s="12"/>
    </row>
  </sheetData>
  <phoneticPr fontId="5" type="noConversion"/>
  <pageMargins left="1.04" right="0.75" top="1" bottom="1" header="0.5" footer="0.5"/>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zoomScaleNormal="100" workbookViewId="0"/>
  </sheetViews>
  <sheetFormatPr defaultRowHeight="12.75" x14ac:dyDescent="0.2"/>
  <cols>
    <col min="1" max="1" width="10.28515625" customWidth="1"/>
    <col min="2" max="2" width="51" bestFit="1" customWidth="1"/>
    <col min="3" max="6" width="12.28515625" bestFit="1" customWidth="1"/>
    <col min="7" max="7" width="14.28515625" bestFit="1" customWidth="1"/>
    <col min="8" max="8" width="13.140625" customWidth="1"/>
    <col min="9" max="10" width="12.28515625" bestFit="1" customWidth="1"/>
    <col min="11" max="11" width="13" customWidth="1"/>
    <col min="12" max="12" width="13.28515625" customWidth="1"/>
    <col min="13" max="13" width="13.7109375" customWidth="1"/>
    <col min="14" max="14" width="14.28515625" bestFit="1" customWidth="1"/>
    <col min="15" max="15" width="2.85546875" customWidth="1"/>
    <col min="16" max="16" width="15.28515625" customWidth="1"/>
  </cols>
  <sheetData>
    <row r="1" spans="1:16" ht="15.75" x14ac:dyDescent="0.25">
      <c r="B1" s="30" t="s">
        <v>0</v>
      </c>
      <c r="C1" s="14"/>
      <c r="D1" s="14"/>
      <c r="E1" s="14"/>
      <c r="F1" s="14"/>
      <c r="G1" s="14"/>
      <c r="H1" s="14"/>
      <c r="I1" s="14"/>
      <c r="J1" s="14"/>
      <c r="K1" s="14"/>
      <c r="L1" s="14"/>
      <c r="M1" s="14"/>
      <c r="N1" s="14"/>
      <c r="O1" s="14"/>
      <c r="P1" s="14"/>
    </row>
    <row r="2" spans="1:16" ht="15.75" x14ac:dyDescent="0.25">
      <c r="B2" s="30" t="s">
        <v>55</v>
      </c>
      <c r="C2" s="14"/>
      <c r="D2" s="14"/>
      <c r="E2" s="14"/>
      <c r="F2" s="14"/>
      <c r="G2" s="14"/>
      <c r="H2" s="14"/>
      <c r="I2" s="14"/>
      <c r="J2" s="14"/>
      <c r="K2" s="14"/>
      <c r="L2" s="14"/>
      <c r="M2" s="14"/>
      <c r="N2" s="14"/>
      <c r="O2" s="14"/>
      <c r="P2" s="14"/>
    </row>
    <row r="3" spans="1:16" ht="15.75" x14ac:dyDescent="0.25">
      <c r="B3" s="30" t="str">
        <f>$C$4&amp;" Projected Budget"</f>
        <v>2020 Projected Budget</v>
      </c>
      <c r="C3" s="14"/>
      <c r="D3" s="14"/>
      <c r="E3" s="14"/>
      <c r="F3" s="14"/>
      <c r="G3" s="14"/>
      <c r="H3" s="14"/>
      <c r="I3" s="14"/>
      <c r="J3" s="14"/>
      <c r="K3" s="14"/>
      <c r="L3" s="14"/>
      <c r="M3" s="14"/>
      <c r="N3" s="14"/>
      <c r="O3" s="14"/>
      <c r="P3" s="14"/>
    </row>
    <row r="4" spans="1:16" x14ac:dyDescent="0.2">
      <c r="B4" t="s">
        <v>105</v>
      </c>
      <c r="C4">
        <v>2020</v>
      </c>
    </row>
    <row r="5" spans="1:16" x14ac:dyDescent="0.2">
      <c r="C5" s="38"/>
    </row>
    <row r="6" spans="1:16" ht="15" x14ac:dyDescent="0.25">
      <c r="A6" s="71"/>
      <c r="B6" s="27"/>
    </row>
    <row r="7" spans="1:16" ht="15.75" x14ac:dyDescent="0.25">
      <c r="C7" s="78" t="str">
        <f>"Jan-"&amp;RIGHT($C$4,2)</f>
        <v>Jan-20</v>
      </c>
      <c r="D7" s="78" t="str">
        <f>"Feb-"&amp;RIGHT($C$4,2)</f>
        <v>Feb-20</v>
      </c>
      <c r="E7" s="78" t="str">
        <f>"Mar-"&amp;RIGHT($C$4,2)</f>
        <v>Mar-20</v>
      </c>
      <c r="F7" s="78" t="str">
        <f>"Apr-"&amp;RIGHT($C$4,2)</f>
        <v>Apr-20</v>
      </c>
      <c r="G7" s="78" t="str">
        <f>"May-"&amp;RIGHT($C$4,2)</f>
        <v>May-20</v>
      </c>
      <c r="H7" s="78" t="str">
        <f>"Jun-"&amp;RIGHT($C$4,2)</f>
        <v>Jun-20</v>
      </c>
      <c r="I7" s="78" t="str">
        <f>"Jul-"&amp;RIGHT($C$4,2)</f>
        <v>Jul-20</v>
      </c>
      <c r="J7" s="78" t="str">
        <f>"Aug-"&amp;RIGHT($C$4,2)</f>
        <v>Aug-20</v>
      </c>
      <c r="K7" s="78" t="str">
        <f>"Sep-"&amp;RIGHT($C$4,2)</f>
        <v>Sep-20</v>
      </c>
      <c r="L7" s="78" t="str">
        <f>"Oct-"&amp;RIGHT($C$4,2)</f>
        <v>Oct-20</v>
      </c>
      <c r="M7" s="78" t="str">
        <f>"Nov-"&amp;RIGHT($C$4,2)</f>
        <v>Nov-20</v>
      </c>
      <c r="N7" s="78" t="str">
        <f>"Dec-"&amp;RIGHT($C$4,2)</f>
        <v>Dec-20</v>
      </c>
      <c r="P7" s="77" t="str">
        <f>"Total "&amp;$C$4</f>
        <v>Total 2020</v>
      </c>
    </row>
    <row r="8" spans="1:16" ht="15" x14ac:dyDescent="0.2">
      <c r="B8" s="28" t="s">
        <v>56</v>
      </c>
      <c r="C8" s="33"/>
      <c r="D8" s="33"/>
      <c r="E8" s="33"/>
      <c r="F8" s="33"/>
      <c r="G8" s="33"/>
      <c r="H8" s="33"/>
      <c r="I8" s="33"/>
      <c r="J8" s="33"/>
      <c r="K8" s="33"/>
      <c r="L8" s="33"/>
      <c r="M8" s="33"/>
      <c r="N8" s="33"/>
      <c r="O8" s="33"/>
      <c r="P8" s="33"/>
    </row>
    <row r="9" spans="1:16" ht="15" x14ac:dyDescent="0.2">
      <c r="A9" s="72">
        <v>241354</v>
      </c>
      <c r="B9" s="29" t="s">
        <v>87</v>
      </c>
      <c r="C9" s="41">
        <v>15000</v>
      </c>
      <c r="D9" s="41">
        <v>15000</v>
      </c>
      <c r="E9" s="41">
        <v>15000</v>
      </c>
      <c r="F9" s="41">
        <v>15000</v>
      </c>
      <c r="G9" s="41">
        <v>15000</v>
      </c>
      <c r="H9" s="41">
        <v>15000</v>
      </c>
      <c r="I9" s="41">
        <v>20000</v>
      </c>
      <c r="J9" s="41">
        <v>20000</v>
      </c>
      <c r="K9" s="41">
        <v>20000</v>
      </c>
      <c r="L9" s="41">
        <v>20000</v>
      </c>
      <c r="M9" s="41">
        <v>20000</v>
      </c>
      <c r="N9" s="12">
        <v>15000</v>
      </c>
      <c r="O9" s="34"/>
      <c r="P9" s="34">
        <f>SUM(C9:O9)</f>
        <v>205000</v>
      </c>
    </row>
    <row r="10" spans="1:16" ht="15" x14ac:dyDescent="0.2">
      <c r="A10" s="72">
        <v>241436</v>
      </c>
      <c r="B10" s="29" t="s">
        <v>69</v>
      </c>
      <c r="C10" s="12">
        <v>5000</v>
      </c>
      <c r="D10" s="12">
        <v>5000</v>
      </c>
      <c r="E10" s="12">
        <v>0</v>
      </c>
      <c r="F10" s="42">
        <v>0</v>
      </c>
      <c r="G10" s="42">
        <v>0</v>
      </c>
      <c r="H10" s="12">
        <v>0</v>
      </c>
      <c r="I10" s="12">
        <v>30000</v>
      </c>
      <c r="J10" s="12">
        <v>30000</v>
      </c>
      <c r="K10" s="12">
        <v>10000</v>
      </c>
      <c r="L10" s="12">
        <v>10000</v>
      </c>
      <c r="M10" s="12">
        <v>50000</v>
      </c>
      <c r="N10" s="12">
        <v>50000</v>
      </c>
      <c r="O10" s="34"/>
      <c r="P10" s="33">
        <f t="shared" ref="P10:P15" si="0">SUM(C10:O10)</f>
        <v>190000</v>
      </c>
    </row>
    <row r="11" spans="1:16" ht="15" x14ac:dyDescent="0.2">
      <c r="A11" s="72">
        <v>241437</v>
      </c>
      <c r="B11" s="29" t="s">
        <v>70</v>
      </c>
      <c r="C11" s="12">
        <v>20000</v>
      </c>
      <c r="D11" s="12">
        <v>10000</v>
      </c>
      <c r="E11" s="12">
        <v>10000</v>
      </c>
      <c r="F11" s="42">
        <v>10000</v>
      </c>
      <c r="G11" s="42">
        <v>10000</v>
      </c>
      <c r="H11" s="12">
        <v>10000</v>
      </c>
      <c r="I11" s="12">
        <v>10000</v>
      </c>
      <c r="J11" s="12">
        <v>160000</v>
      </c>
      <c r="K11" s="12">
        <v>200000</v>
      </c>
      <c r="L11" s="12">
        <v>200000</v>
      </c>
      <c r="M11" s="12">
        <v>200000</v>
      </c>
      <c r="N11" s="12">
        <v>120000</v>
      </c>
      <c r="O11" s="34"/>
      <c r="P11" s="33">
        <f t="shared" si="0"/>
        <v>960000</v>
      </c>
    </row>
    <row r="12" spans="1:16" ht="15" x14ac:dyDescent="0.2">
      <c r="A12" s="72">
        <v>241456</v>
      </c>
      <c r="B12" s="29" t="s">
        <v>64</v>
      </c>
      <c r="C12" s="42">
        <v>250000</v>
      </c>
      <c r="D12" s="42">
        <v>250000</v>
      </c>
      <c r="E12" s="42">
        <v>500000</v>
      </c>
      <c r="F12" s="42">
        <v>500000</v>
      </c>
      <c r="G12" s="42">
        <v>500000</v>
      </c>
      <c r="H12" s="42">
        <v>500000</v>
      </c>
      <c r="I12" s="42">
        <v>250000</v>
      </c>
      <c r="J12" s="42">
        <v>250000</v>
      </c>
      <c r="K12" s="42">
        <v>0</v>
      </c>
      <c r="L12" s="42">
        <v>0</v>
      </c>
      <c r="M12" s="42">
        <v>0</v>
      </c>
      <c r="N12" s="42">
        <v>0</v>
      </c>
      <c r="O12" s="34"/>
      <c r="P12" s="33">
        <f t="shared" si="0"/>
        <v>3000000</v>
      </c>
    </row>
    <row r="13" spans="1:16" ht="15" x14ac:dyDescent="0.2">
      <c r="A13" s="72">
        <v>241457</v>
      </c>
      <c r="B13" s="40" t="s">
        <v>65</v>
      </c>
      <c r="C13" s="41">
        <v>5000</v>
      </c>
      <c r="D13" s="41">
        <v>5000</v>
      </c>
      <c r="E13" s="41">
        <v>5000</v>
      </c>
      <c r="F13" s="41">
        <v>5000</v>
      </c>
      <c r="G13" s="41">
        <v>5000</v>
      </c>
      <c r="H13" s="41">
        <v>5000</v>
      </c>
      <c r="I13" s="41">
        <v>5000</v>
      </c>
      <c r="J13" s="41">
        <v>5000</v>
      </c>
      <c r="K13" s="41">
        <v>5000</v>
      </c>
      <c r="L13" s="41">
        <v>5000</v>
      </c>
      <c r="M13" s="41">
        <v>5000</v>
      </c>
      <c r="N13" s="41">
        <v>5000</v>
      </c>
      <c r="O13" s="34"/>
      <c r="P13" s="33">
        <f t="shared" si="0"/>
        <v>60000</v>
      </c>
    </row>
    <row r="14" spans="1:16" ht="15" x14ac:dyDescent="0.2">
      <c r="A14" s="72">
        <v>241458</v>
      </c>
      <c r="B14" s="40" t="s">
        <v>66</v>
      </c>
      <c r="C14" s="42">
        <v>5000</v>
      </c>
      <c r="D14" s="42">
        <v>5000</v>
      </c>
      <c r="E14" s="42">
        <v>5000</v>
      </c>
      <c r="F14" s="42">
        <v>5000</v>
      </c>
      <c r="G14" s="42">
        <v>5000</v>
      </c>
      <c r="H14" s="41">
        <v>5000</v>
      </c>
      <c r="I14" s="41">
        <v>5000</v>
      </c>
      <c r="J14" s="41">
        <v>5000</v>
      </c>
      <c r="K14" s="41">
        <v>5000</v>
      </c>
      <c r="L14" s="41">
        <v>5000</v>
      </c>
      <c r="M14" s="41">
        <v>5000</v>
      </c>
      <c r="N14" s="41">
        <v>5000</v>
      </c>
      <c r="O14" s="34"/>
      <c r="P14" s="33">
        <f t="shared" si="0"/>
        <v>60000</v>
      </c>
    </row>
    <row r="15" spans="1:16" ht="15" x14ac:dyDescent="0.2">
      <c r="A15" s="72">
        <v>241459</v>
      </c>
      <c r="B15" s="40" t="s">
        <v>67</v>
      </c>
      <c r="C15" s="41">
        <v>40000</v>
      </c>
      <c r="D15" s="41">
        <v>10000</v>
      </c>
      <c r="E15" s="41">
        <v>25000</v>
      </c>
      <c r="F15" s="41">
        <v>25000</v>
      </c>
      <c r="G15" s="41">
        <v>0</v>
      </c>
      <c r="H15" s="41">
        <v>0</v>
      </c>
      <c r="I15" s="41">
        <v>0</v>
      </c>
      <c r="J15" s="41">
        <v>0</v>
      </c>
      <c r="K15" s="41">
        <v>0</v>
      </c>
      <c r="L15" s="41">
        <v>0</v>
      </c>
      <c r="M15" s="41">
        <v>0</v>
      </c>
      <c r="N15" s="41">
        <v>0</v>
      </c>
      <c r="O15" s="34"/>
      <c r="P15" s="33">
        <f t="shared" si="0"/>
        <v>100000</v>
      </c>
    </row>
    <row r="16" spans="1:16" ht="15" x14ac:dyDescent="0.2">
      <c r="A16" s="72">
        <v>241460</v>
      </c>
      <c r="B16" s="40" t="s">
        <v>88</v>
      </c>
      <c r="C16" s="12">
        <v>20000</v>
      </c>
      <c r="D16" s="42">
        <v>10000</v>
      </c>
      <c r="E16" s="12">
        <v>10000</v>
      </c>
      <c r="F16" s="12">
        <v>10000</v>
      </c>
      <c r="G16" s="12">
        <v>10000</v>
      </c>
      <c r="H16" s="12">
        <v>10000</v>
      </c>
      <c r="I16" s="42">
        <v>10000</v>
      </c>
      <c r="J16" s="42">
        <v>120000</v>
      </c>
      <c r="K16" s="42">
        <v>160000</v>
      </c>
      <c r="L16" s="42">
        <v>160000</v>
      </c>
      <c r="M16" s="42">
        <v>160000</v>
      </c>
      <c r="N16" s="42">
        <v>120000</v>
      </c>
      <c r="O16" s="33"/>
      <c r="P16" s="33">
        <f>SUM(C16:N16)</f>
        <v>800000</v>
      </c>
    </row>
    <row r="17" spans="1:16" ht="15" x14ac:dyDescent="0.2">
      <c r="A17" s="72">
        <v>241461</v>
      </c>
      <c r="B17" s="40" t="s">
        <v>68</v>
      </c>
      <c r="C17" s="42">
        <v>5000</v>
      </c>
      <c r="D17" s="42">
        <v>5000</v>
      </c>
      <c r="E17" s="42">
        <v>5000</v>
      </c>
      <c r="F17" s="42">
        <v>120000</v>
      </c>
      <c r="G17" s="42">
        <v>120000</v>
      </c>
      <c r="H17" s="42">
        <v>120000</v>
      </c>
      <c r="I17" s="42">
        <v>0</v>
      </c>
      <c r="J17" s="42">
        <v>0</v>
      </c>
      <c r="K17" s="42">
        <v>0</v>
      </c>
      <c r="L17" s="42">
        <v>0</v>
      </c>
      <c r="M17" s="42">
        <v>0</v>
      </c>
      <c r="N17" s="42">
        <v>0</v>
      </c>
      <c r="O17" s="33"/>
      <c r="P17" s="33">
        <f>SUM(C17:N17)</f>
        <v>375000</v>
      </c>
    </row>
    <row r="18" spans="1:16" ht="15" x14ac:dyDescent="0.2">
      <c r="A18" s="73">
        <v>241464</v>
      </c>
      <c r="B18" s="40" t="s">
        <v>89</v>
      </c>
      <c r="C18" s="42">
        <v>15000</v>
      </c>
      <c r="D18" s="42">
        <v>20000</v>
      </c>
      <c r="E18" s="42">
        <v>20000</v>
      </c>
      <c r="F18" s="42">
        <v>20000</v>
      </c>
      <c r="G18" s="42">
        <v>20000</v>
      </c>
      <c r="H18" s="42">
        <v>15000</v>
      </c>
      <c r="I18" s="42">
        <v>20000</v>
      </c>
      <c r="J18" s="42">
        <v>20000</v>
      </c>
      <c r="K18" s="42">
        <v>20000</v>
      </c>
      <c r="L18" s="42">
        <v>20000</v>
      </c>
      <c r="M18" s="42">
        <v>20000</v>
      </c>
      <c r="N18" s="42">
        <v>15000</v>
      </c>
      <c r="O18" s="33"/>
      <c r="P18" s="33">
        <f>SUM(C18:N18)</f>
        <v>225000</v>
      </c>
    </row>
    <row r="19" spans="1:16" ht="15" x14ac:dyDescent="0.2">
      <c r="A19" s="72">
        <v>241469</v>
      </c>
      <c r="B19" s="40" t="s">
        <v>90</v>
      </c>
      <c r="C19" s="42"/>
      <c r="D19" s="42"/>
      <c r="E19" s="42"/>
      <c r="F19" s="42">
        <v>30000</v>
      </c>
      <c r="G19" s="42">
        <v>120000</v>
      </c>
      <c r="H19" s="42"/>
      <c r="I19" s="42"/>
      <c r="J19" s="42"/>
      <c r="K19" s="42"/>
      <c r="L19" s="42"/>
      <c r="M19" s="42"/>
      <c r="N19" s="42"/>
      <c r="O19" s="33"/>
      <c r="P19" s="33">
        <f>SUM(C19:N19)</f>
        <v>150000</v>
      </c>
    </row>
    <row r="21" spans="1:16" ht="16.5" thickBot="1" x14ac:dyDescent="0.3">
      <c r="B21" s="35" t="s">
        <v>57</v>
      </c>
      <c r="C21" s="36">
        <f t="shared" ref="C21:N21" si="1">SUM(C9:C20)</f>
        <v>380000</v>
      </c>
      <c r="D21" s="36">
        <f t="shared" si="1"/>
        <v>335000</v>
      </c>
      <c r="E21" s="36">
        <f t="shared" si="1"/>
        <v>595000</v>
      </c>
      <c r="F21" s="36">
        <f t="shared" si="1"/>
        <v>740000</v>
      </c>
      <c r="G21" s="36">
        <f t="shared" si="1"/>
        <v>805000</v>
      </c>
      <c r="H21" s="36">
        <f t="shared" si="1"/>
        <v>680000</v>
      </c>
      <c r="I21" s="36">
        <f t="shared" si="1"/>
        <v>350000</v>
      </c>
      <c r="J21" s="36">
        <f t="shared" si="1"/>
        <v>610000</v>
      </c>
      <c r="K21" s="36">
        <f t="shared" si="1"/>
        <v>420000</v>
      </c>
      <c r="L21" s="36">
        <f t="shared" si="1"/>
        <v>420000</v>
      </c>
      <c r="M21" s="36">
        <f t="shared" si="1"/>
        <v>460000</v>
      </c>
      <c r="N21" s="36">
        <f t="shared" si="1"/>
        <v>330000</v>
      </c>
      <c r="O21" s="36"/>
      <c r="P21" s="36">
        <f>SUM(P9:P20)</f>
        <v>6125000</v>
      </c>
    </row>
    <row r="22" spans="1:16" ht="13.5" thickTop="1" x14ac:dyDescent="0.2"/>
    <row r="23" spans="1:16" x14ac:dyDescent="0.2">
      <c r="C23" s="37"/>
      <c r="D23" s="37"/>
      <c r="E23" s="37"/>
      <c r="F23" s="37"/>
      <c r="G23" s="37"/>
      <c r="H23" s="37"/>
      <c r="I23" s="37"/>
      <c r="J23" s="37"/>
      <c r="K23" s="37"/>
      <c r="L23" s="37"/>
      <c r="M23" s="37"/>
      <c r="N23" s="37"/>
      <c r="P23" s="37"/>
    </row>
  </sheetData>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
  <sheetViews>
    <sheetView zoomScale="85" zoomScaleNormal="85" workbookViewId="0">
      <selection activeCell="E23" sqref="E23"/>
    </sheetView>
  </sheetViews>
  <sheetFormatPr defaultColWidth="9.140625" defaultRowHeight="14.25" x14ac:dyDescent="0.2"/>
  <cols>
    <col min="1" max="1" width="9.85546875" style="58" customWidth="1"/>
    <col min="2" max="2" width="52.7109375" style="59" customWidth="1"/>
    <col min="3" max="3" width="13.28515625" style="59" customWidth="1"/>
    <col min="4" max="4" width="2.7109375" style="59" customWidth="1"/>
    <col min="5" max="6" width="13.28515625" style="59" customWidth="1"/>
    <col min="7" max="7" width="15.140625" style="59" customWidth="1"/>
    <col min="8" max="8" width="2.7109375" style="59" customWidth="1"/>
    <col min="9" max="12" width="13.28515625" style="59" customWidth="1"/>
    <col min="13" max="13" width="15.28515625" style="59" customWidth="1"/>
    <col min="14" max="15" width="13.28515625" style="59" customWidth="1"/>
    <col min="16" max="16" width="14.5703125" style="59" customWidth="1"/>
    <col min="17" max="19" width="13.28515625" style="59" customWidth="1"/>
    <col min="20" max="20" width="15.5703125" style="59" customWidth="1"/>
    <col min="21" max="21" width="2.7109375" style="59" customWidth="1"/>
    <col min="22" max="22" width="17.7109375" style="61" customWidth="1"/>
    <col min="23" max="16384" width="9.140625" style="61"/>
  </cols>
  <sheetData>
    <row r="1" spans="1:22" ht="15.75" x14ac:dyDescent="0.25">
      <c r="A1" s="60"/>
      <c r="B1" s="131" t="s">
        <v>83</v>
      </c>
      <c r="C1" s="131"/>
      <c r="D1" s="131"/>
      <c r="E1" s="131"/>
      <c r="F1" s="131"/>
      <c r="G1" s="131"/>
      <c r="H1" s="131"/>
      <c r="I1" s="131"/>
      <c r="J1" s="131"/>
      <c r="K1" s="131"/>
      <c r="L1" s="131"/>
      <c r="M1" s="131"/>
      <c r="N1" s="131"/>
      <c r="O1" s="131"/>
      <c r="P1" s="131"/>
      <c r="Q1" s="131"/>
      <c r="R1" s="131"/>
      <c r="S1" s="131"/>
      <c r="T1" s="131"/>
      <c r="U1" s="69"/>
    </row>
    <row r="2" spans="1:22" ht="15" x14ac:dyDescent="0.2">
      <c r="A2" s="60"/>
      <c r="B2" s="132" t="s">
        <v>84</v>
      </c>
      <c r="C2" s="132"/>
      <c r="D2" s="132"/>
      <c r="E2" s="132"/>
      <c r="F2" s="132"/>
      <c r="G2" s="132"/>
      <c r="H2" s="132"/>
      <c r="I2" s="132"/>
      <c r="J2" s="132"/>
      <c r="K2" s="132"/>
      <c r="L2" s="132"/>
      <c r="M2" s="132"/>
      <c r="N2" s="132"/>
      <c r="O2" s="132"/>
      <c r="P2" s="132"/>
      <c r="Q2" s="132"/>
      <c r="R2" s="132"/>
      <c r="S2" s="132"/>
      <c r="T2" s="132"/>
      <c r="U2" s="55"/>
    </row>
    <row r="3" spans="1:22" ht="15" x14ac:dyDescent="0.2">
      <c r="A3" s="60"/>
      <c r="B3" s="132" t="str">
        <f>$C$4&amp;" In Service Forecast"</f>
        <v>2020 In Service Forecast</v>
      </c>
      <c r="C3" s="132"/>
      <c r="D3" s="132"/>
      <c r="E3" s="132"/>
      <c r="F3" s="132"/>
      <c r="G3" s="132"/>
      <c r="H3" s="132"/>
      <c r="I3" s="132"/>
      <c r="J3" s="132"/>
      <c r="K3" s="132"/>
      <c r="L3" s="132"/>
      <c r="M3" s="132"/>
      <c r="N3" s="132"/>
      <c r="O3" s="132"/>
      <c r="P3" s="132"/>
      <c r="Q3" s="132"/>
      <c r="R3" s="132"/>
      <c r="S3" s="132"/>
      <c r="T3" s="132"/>
      <c r="U3" s="55"/>
    </row>
    <row r="4" spans="1:22" ht="15" x14ac:dyDescent="0.2">
      <c r="A4" s="60"/>
      <c r="B4" t="s">
        <v>105</v>
      </c>
      <c r="C4">
        <v>2020</v>
      </c>
      <c r="D4" s="55"/>
      <c r="E4" s="62"/>
      <c r="F4" s="62"/>
      <c r="G4" s="62"/>
      <c r="H4" s="55"/>
      <c r="I4" s="62"/>
      <c r="J4" s="55"/>
      <c r="K4" s="55"/>
      <c r="L4" s="55"/>
      <c r="M4" s="55"/>
      <c r="N4" s="55"/>
      <c r="O4" s="55"/>
      <c r="P4" s="55"/>
      <c r="Q4" s="55"/>
      <c r="R4" s="55"/>
      <c r="S4" s="55"/>
      <c r="T4" s="55"/>
      <c r="U4" s="55"/>
    </row>
    <row r="5" spans="1:22" ht="15" x14ac:dyDescent="0.2">
      <c r="A5" s="60"/>
      <c r="B5" s="62"/>
      <c r="C5" s="62"/>
      <c r="D5" s="55"/>
      <c r="E5" s="62"/>
      <c r="F5" s="62"/>
      <c r="G5" s="62"/>
      <c r="H5" s="55"/>
      <c r="I5" s="62"/>
      <c r="J5" s="55"/>
      <c r="K5" s="55"/>
      <c r="L5" s="55"/>
      <c r="M5" s="55"/>
      <c r="N5" s="55"/>
      <c r="O5" s="55"/>
      <c r="P5" s="55"/>
      <c r="Q5" s="55"/>
      <c r="R5" s="55"/>
      <c r="S5" s="55"/>
      <c r="T5" s="55"/>
      <c r="U5" s="55"/>
    </row>
    <row r="6" spans="1:22" ht="15" x14ac:dyDescent="0.2">
      <c r="A6" s="63"/>
      <c r="B6" s="48"/>
      <c r="C6" s="79" t="s">
        <v>91</v>
      </c>
      <c r="D6" s="48"/>
      <c r="E6" s="79" t="s">
        <v>92</v>
      </c>
      <c r="F6" s="81">
        <f>$C$4</f>
        <v>2020</v>
      </c>
      <c r="G6" s="79" t="s">
        <v>93</v>
      </c>
      <c r="H6" s="48"/>
      <c r="I6" s="48"/>
      <c r="J6" s="48"/>
      <c r="K6" s="48"/>
      <c r="L6" s="48"/>
      <c r="M6" s="48"/>
      <c r="N6" s="48"/>
      <c r="O6" s="48"/>
      <c r="P6" s="48"/>
      <c r="Q6" s="48"/>
      <c r="R6" s="48"/>
      <c r="S6" s="48"/>
      <c r="T6" s="48"/>
      <c r="U6" s="48"/>
    </row>
    <row r="7" spans="1:22" ht="15.75" x14ac:dyDescent="0.25">
      <c r="A7" s="64"/>
      <c r="B7" s="65"/>
      <c r="C7" s="80" t="s">
        <v>94</v>
      </c>
      <c r="D7" s="61"/>
      <c r="E7" s="80" t="s">
        <v>95</v>
      </c>
      <c r="F7" s="80" t="s">
        <v>96</v>
      </c>
      <c r="G7" s="80" t="s">
        <v>97</v>
      </c>
      <c r="H7" s="61"/>
      <c r="I7" s="78" t="str">
        <f>"Jan-"&amp;RIGHT($C$4,2)</f>
        <v>Jan-20</v>
      </c>
      <c r="J7" s="78" t="str">
        <f>"Feb-"&amp;RIGHT($C$4,2)</f>
        <v>Feb-20</v>
      </c>
      <c r="K7" s="78" t="str">
        <f>"Mar-"&amp;RIGHT($C$4,2)</f>
        <v>Mar-20</v>
      </c>
      <c r="L7" s="78" t="str">
        <f>"Apr-"&amp;RIGHT($C$4,2)</f>
        <v>Apr-20</v>
      </c>
      <c r="M7" s="78" t="str">
        <f>"May-"&amp;RIGHT($C$4,2)</f>
        <v>May-20</v>
      </c>
      <c r="N7" s="78" t="str">
        <f>"Jun-"&amp;RIGHT($C$4,2)</f>
        <v>Jun-20</v>
      </c>
      <c r="O7" s="78" t="str">
        <f>"Jul-"&amp;RIGHT($C$4,2)</f>
        <v>Jul-20</v>
      </c>
      <c r="P7" s="78" t="str">
        <f>"Aug-"&amp;RIGHT($C$4,2)</f>
        <v>Aug-20</v>
      </c>
      <c r="Q7" s="78" t="str">
        <f>"Sep-"&amp;RIGHT($C$4,2)</f>
        <v>Sep-20</v>
      </c>
      <c r="R7" s="78" t="str">
        <f>"Oct-"&amp;RIGHT($C$4,2)</f>
        <v>Oct-20</v>
      </c>
      <c r="S7" s="78" t="str">
        <f>"Nov-"&amp;RIGHT($C$4,2)</f>
        <v>Nov-20</v>
      </c>
      <c r="T7" s="78" t="str">
        <f>"Dec-"&amp;RIGHT($C$4,2)</f>
        <v>Dec-20</v>
      </c>
      <c r="U7" s="61"/>
      <c r="V7" s="77" t="str">
        <f>"Total "&amp;$C$4</f>
        <v>Total 2020</v>
      </c>
    </row>
    <row r="8" spans="1:22" ht="15" x14ac:dyDescent="0.2">
      <c r="A8" s="56"/>
      <c r="B8" s="28" t="s">
        <v>56</v>
      </c>
      <c r="C8" s="28"/>
      <c r="E8" s="28"/>
      <c r="F8" s="28"/>
      <c r="G8" s="28"/>
      <c r="I8" s="49"/>
      <c r="J8" s="49"/>
      <c r="K8" s="49"/>
      <c r="L8" s="49"/>
      <c r="M8" s="49"/>
      <c r="N8" s="49"/>
      <c r="O8" s="49"/>
      <c r="P8" s="49"/>
      <c r="Q8" s="49"/>
      <c r="R8" s="49"/>
      <c r="S8" s="49"/>
      <c r="T8" s="49"/>
      <c r="V8" s="49"/>
    </row>
    <row r="9" spans="1:22" ht="15" x14ac:dyDescent="0.2">
      <c r="A9" s="72">
        <v>241436</v>
      </c>
      <c r="B9" s="29" t="s">
        <v>69</v>
      </c>
      <c r="C9" s="74">
        <v>44196</v>
      </c>
      <c r="E9" s="54">
        <v>5000</v>
      </c>
      <c r="F9" s="54">
        <f>'[1]Workpaper page 3_CWIP_ISL'!P10</f>
        <v>190000</v>
      </c>
      <c r="G9" s="54">
        <f>SUM(E9:F9)</f>
        <v>195000</v>
      </c>
      <c r="I9" s="54"/>
      <c r="J9" s="54"/>
      <c r="K9" s="54"/>
      <c r="L9" s="54"/>
      <c r="M9" s="54"/>
      <c r="N9" s="54"/>
      <c r="O9" s="54"/>
      <c r="P9" s="54"/>
      <c r="Q9" s="54"/>
      <c r="R9" s="54"/>
      <c r="S9" s="54"/>
      <c r="T9" s="75">
        <f>G9</f>
        <v>195000</v>
      </c>
      <c r="V9" s="54">
        <f>SUM(I9:T9)</f>
        <v>195000</v>
      </c>
    </row>
    <row r="10" spans="1:22" ht="15" x14ac:dyDescent="0.2">
      <c r="A10" s="72">
        <v>241437</v>
      </c>
      <c r="B10" s="29" t="s">
        <v>70</v>
      </c>
      <c r="C10" s="74">
        <v>44196</v>
      </c>
      <c r="E10" s="54">
        <v>5000</v>
      </c>
      <c r="F10" s="54">
        <f>'[1]Workpaper page 3_CWIP_ISL'!P11</f>
        <v>960000</v>
      </c>
      <c r="G10" s="54">
        <f t="shared" ref="G10:G14" si="0">SUM(E10:F10)</f>
        <v>965000</v>
      </c>
      <c r="I10" s="50"/>
      <c r="J10" s="54"/>
      <c r="K10" s="54"/>
      <c r="L10" s="54"/>
      <c r="M10" s="54"/>
      <c r="N10" s="54"/>
      <c r="O10" s="54"/>
      <c r="P10" s="54"/>
      <c r="Q10" s="54"/>
      <c r="R10" s="54"/>
      <c r="S10" s="54"/>
      <c r="T10" s="75">
        <f>G10</f>
        <v>965000</v>
      </c>
      <c r="V10" s="54">
        <f>SUM(I10:T10)</f>
        <v>965000</v>
      </c>
    </row>
    <row r="11" spans="1:22" ht="15" x14ac:dyDescent="0.2">
      <c r="A11" s="72">
        <v>241456</v>
      </c>
      <c r="B11" s="29" t="s">
        <v>64</v>
      </c>
      <c r="C11" s="74">
        <v>44074</v>
      </c>
      <c r="E11" s="54">
        <v>72760.95</v>
      </c>
      <c r="F11" s="54">
        <f>'[1]Workpaper page 3_CWIP_ISL'!P12</f>
        <v>3000000</v>
      </c>
      <c r="G11" s="54">
        <f t="shared" si="0"/>
        <v>3072760.95</v>
      </c>
      <c r="I11" s="54"/>
      <c r="J11" s="54"/>
      <c r="K11" s="54"/>
      <c r="L11" s="54"/>
      <c r="M11" s="54"/>
      <c r="N11" s="54"/>
      <c r="O11" s="54"/>
      <c r="P11" s="75">
        <f>G11</f>
        <v>3072760.95</v>
      </c>
      <c r="Q11" s="54"/>
      <c r="R11" s="54"/>
      <c r="S11" s="54"/>
      <c r="T11" s="54"/>
      <c r="V11" s="54">
        <f t="shared" ref="V11:V14" si="1">SUM(I11:T11)</f>
        <v>3072760.95</v>
      </c>
    </row>
    <row r="12" spans="1:22" ht="15" x14ac:dyDescent="0.2">
      <c r="A12" s="72">
        <v>241459</v>
      </c>
      <c r="B12" s="40" t="s">
        <v>67</v>
      </c>
      <c r="C12" s="76">
        <v>43981</v>
      </c>
      <c r="E12" s="54">
        <v>229573.27000000002</v>
      </c>
      <c r="F12" s="54">
        <f>'[1]Workpaper page 3_CWIP_ISL'!P15</f>
        <v>100000</v>
      </c>
      <c r="G12" s="54">
        <f t="shared" si="0"/>
        <v>329573.27</v>
      </c>
      <c r="I12" s="50"/>
      <c r="J12" s="54"/>
      <c r="K12" s="54"/>
      <c r="L12" s="54"/>
      <c r="M12" s="75">
        <f>G12</f>
        <v>329573.27</v>
      </c>
      <c r="N12" s="54"/>
      <c r="O12" s="54"/>
      <c r="P12" s="54"/>
      <c r="Q12" s="54"/>
      <c r="R12" s="54"/>
      <c r="S12" s="54"/>
      <c r="T12" s="54"/>
      <c r="V12" s="54">
        <f t="shared" si="1"/>
        <v>329573.27</v>
      </c>
    </row>
    <row r="13" spans="1:22" ht="15" x14ac:dyDescent="0.2">
      <c r="A13" s="72">
        <v>241461</v>
      </c>
      <c r="B13" s="40" t="s">
        <v>68</v>
      </c>
      <c r="C13" s="76">
        <v>44012</v>
      </c>
      <c r="E13" s="54">
        <v>103627.83</v>
      </c>
      <c r="F13" s="54">
        <f>'[1]Workpaper page 3_CWIP_ISL'!P17</f>
        <v>375000</v>
      </c>
      <c r="G13" s="54">
        <f t="shared" si="0"/>
        <v>478627.83</v>
      </c>
      <c r="I13" s="50"/>
      <c r="J13" s="54"/>
      <c r="K13" s="54"/>
      <c r="L13" s="54"/>
      <c r="M13" s="54"/>
      <c r="N13" s="75">
        <f>G13</f>
        <v>478627.83</v>
      </c>
      <c r="O13" s="54"/>
      <c r="P13" s="54"/>
      <c r="Q13" s="54"/>
      <c r="R13" s="54"/>
      <c r="S13" s="54"/>
      <c r="T13" s="54"/>
      <c r="V13" s="54">
        <f t="shared" si="1"/>
        <v>478627.83</v>
      </c>
    </row>
    <row r="14" spans="1:22" ht="15" x14ac:dyDescent="0.2">
      <c r="A14" s="72">
        <v>241469</v>
      </c>
      <c r="B14" s="40" t="s">
        <v>90</v>
      </c>
      <c r="C14" s="76">
        <v>44012</v>
      </c>
      <c r="E14" s="54">
        <v>0</v>
      </c>
      <c r="F14" s="54">
        <f>'[1]Workpaper page 3_CWIP_ISL'!P19</f>
        <v>150000</v>
      </c>
      <c r="G14" s="54">
        <f t="shared" si="0"/>
        <v>150000</v>
      </c>
      <c r="I14" s="50"/>
      <c r="J14" s="54"/>
      <c r="K14" s="54"/>
      <c r="L14" s="54"/>
      <c r="M14" s="54"/>
      <c r="N14" s="75">
        <f>G14</f>
        <v>150000</v>
      </c>
      <c r="O14" s="54"/>
      <c r="P14" s="54"/>
      <c r="Q14" s="54"/>
      <c r="R14" s="54"/>
      <c r="S14" s="54"/>
      <c r="T14" s="54"/>
      <c r="V14" s="54">
        <f t="shared" si="1"/>
        <v>150000</v>
      </c>
    </row>
    <row r="15" spans="1:22" x14ac:dyDescent="0.2">
      <c r="A15" s="51"/>
      <c r="B15" s="52"/>
      <c r="C15" s="52"/>
      <c r="E15" s="54"/>
      <c r="F15" s="54"/>
      <c r="G15" s="54"/>
      <c r="I15" s="54"/>
      <c r="J15" s="54"/>
      <c r="K15" s="54"/>
      <c r="L15" s="54"/>
      <c r="M15" s="54"/>
      <c r="N15" s="54"/>
      <c r="O15" s="54"/>
      <c r="P15" s="54"/>
      <c r="Q15" s="54"/>
      <c r="R15" s="54"/>
      <c r="S15" s="54"/>
      <c r="T15" s="54"/>
      <c r="V15" s="54"/>
    </row>
    <row r="16" spans="1:22" ht="16.5" thickBot="1" x14ac:dyDescent="0.3">
      <c r="A16" s="57"/>
      <c r="B16" s="35" t="s">
        <v>57</v>
      </c>
      <c r="C16" s="35"/>
      <c r="E16" s="35"/>
      <c r="F16" s="35"/>
      <c r="G16" s="36">
        <f t="shared" ref="G16:T16" si="2">SUM(G8:G15)</f>
        <v>5190962.0500000007</v>
      </c>
      <c r="I16" s="36">
        <f t="shared" si="2"/>
        <v>0</v>
      </c>
      <c r="J16" s="36">
        <f t="shared" si="2"/>
        <v>0</v>
      </c>
      <c r="K16" s="36">
        <f t="shared" si="2"/>
        <v>0</v>
      </c>
      <c r="L16" s="36">
        <f t="shared" si="2"/>
        <v>0</v>
      </c>
      <c r="M16" s="36">
        <f t="shared" si="2"/>
        <v>329573.27</v>
      </c>
      <c r="N16" s="36">
        <f t="shared" si="2"/>
        <v>628627.83000000007</v>
      </c>
      <c r="O16" s="36">
        <f t="shared" si="2"/>
        <v>0</v>
      </c>
      <c r="P16" s="36">
        <f t="shared" si="2"/>
        <v>3072760.95</v>
      </c>
      <c r="Q16" s="36">
        <f t="shared" si="2"/>
        <v>0</v>
      </c>
      <c r="R16" s="36">
        <f t="shared" si="2"/>
        <v>0</v>
      </c>
      <c r="S16" s="36">
        <f t="shared" si="2"/>
        <v>0</v>
      </c>
      <c r="T16" s="36">
        <f t="shared" si="2"/>
        <v>1160000</v>
      </c>
      <c r="V16" s="36">
        <f>SUM(V8:V15)</f>
        <v>5190962.0500000007</v>
      </c>
    </row>
    <row r="17" spans="1:21" ht="15.75" thickTop="1" x14ac:dyDescent="0.25">
      <c r="A17" s="57"/>
      <c r="B17" s="66"/>
      <c r="C17" s="66"/>
      <c r="D17" s="66"/>
      <c r="E17" s="66"/>
      <c r="F17" s="66"/>
      <c r="G17" s="66"/>
      <c r="H17" s="66"/>
      <c r="I17" s="53"/>
      <c r="J17" s="53"/>
      <c r="K17" s="53"/>
      <c r="L17" s="53"/>
      <c r="M17" s="53"/>
      <c r="N17" s="53"/>
      <c r="O17" s="53"/>
      <c r="P17" s="53"/>
      <c r="Q17" s="53"/>
      <c r="R17" s="53"/>
      <c r="S17" s="53"/>
      <c r="T17" s="53"/>
      <c r="U17" s="53"/>
    </row>
    <row r="19" spans="1:21" ht="15" x14ac:dyDescent="0.25">
      <c r="A19" s="57"/>
    </row>
    <row r="29" spans="1:21" ht="15" x14ac:dyDescent="0.25">
      <c r="A29" s="67"/>
      <c r="B29" s="68"/>
      <c r="C29" s="68"/>
      <c r="D29" s="68"/>
      <c r="E29" s="68"/>
      <c r="F29" s="68"/>
      <c r="G29" s="68"/>
      <c r="H29" s="68"/>
      <c r="I29" s="68"/>
      <c r="J29" s="68"/>
      <c r="K29" s="68"/>
      <c r="L29" s="68"/>
      <c r="M29" s="68"/>
      <c r="N29" s="68"/>
      <c r="O29" s="68"/>
      <c r="P29" s="68"/>
      <c r="Q29" s="68"/>
      <c r="R29" s="68"/>
      <c r="S29" s="68"/>
      <c r="T29" s="68"/>
      <c r="U29" s="68"/>
    </row>
    <row r="30" spans="1:21" ht="15" x14ac:dyDescent="0.25">
      <c r="A30" s="67"/>
      <c r="B30" s="68"/>
      <c r="C30" s="68"/>
      <c r="D30" s="68"/>
      <c r="E30" s="68"/>
      <c r="F30" s="68"/>
      <c r="G30" s="68"/>
      <c r="H30" s="68"/>
      <c r="I30" s="68"/>
      <c r="J30" s="68"/>
      <c r="K30" s="68"/>
      <c r="L30" s="68"/>
      <c r="M30" s="68"/>
      <c r="N30" s="68"/>
      <c r="O30" s="68"/>
      <c r="P30" s="68"/>
      <c r="Q30" s="68"/>
      <c r="R30" s="68"/>
      <c r="S30" s="68"/>
      <c r="T30" s="68"/>
      <c r="U30" s="68"/>
    </row>
    <row r="31" spans="1:21" ht="15" x14ac:dyDescent="0.25">
      <c r="A31" s="67"/>
      <c r="B31" s="68"/>
      <c r="C31" s="68"/>
      <c r="D31" s="68"/>
      <c r="E31" s="68"/>
      <c r="F31" s="68"/>
      <c r="G31" s="68"/>
      <c r="H31" s="68"/>
      <c r="I31" s="68"/>
      <c r="J31" s="68"/>
      <c r="K31" s="68"/>
      <c r="L31" s="68"/>
      <c r="M31" s="68"/>
      <c r="N31" s="68"/>
      <c r="O31" s="68"/>
      <c r="P31" s="68"/>
      <c r="Q31" s="68"/>
      <c r="R31" s="68"/>
      <c r="S31" s="68"/>
      <c r="T31" s="68"/>
      <c r="U31" s="68"/>
    </row>
    <row r="32" spans="1:21" ht="15" x14ac:dyDescent="0.25">
      <c r="A32" s="67"/>
      <c r="B32" s="68"/>
      <c r="C32" s="68"/>
      <c r="D32" s="68"/>
      <c r="E32" s="68"/>
      <c r="F32" s="68"/>
      <c r="G32" s="68"/>
      <c r="H32" s="68"/>
      <c r="I32" s="68"/>
      <c r="J32" s="68"/>
      <c r="K32" s="68"/>
      <c r="L32" s="68"/>
      <c r="M32" s="68"/>
      <c r="N32" s="68"/>
      <c r="O32" s="68"/>
      <c r="P32" s="68"/>
      <c r="Q32" s="68"/>
      <c r="R32" s="68"/>
      <c r="S32" s="68"/>
      <c r="T32" s="68"/>
      <c r="U32" s="68"/>
    </row>
    <row r="33" spans="1:21" ht="15" x14ac:dyDescent="0.25">
      <c r="A33" s="67"/>
      <c r="B33" s="68"/>
      <c r="C33" s="68"/>
      <c r="D33" s="68"/>
      <c r="E33" s="68"/>
      <c r="F33" s="68"/>
      <c r="G33" s="68"/>
      <c r="H33" s="68"/>
      <c r="I33" s="68"/>
      <c r="J33" s="68"/>
      <c r="K33" s="68"/>
      <c r="L33" s="68"/>
      <c r="M33" s="68"/>
      <c r="N33" s="68"/>
      <c r="O33" s="68"/>
      <c r="P33" s="68"/>
      <c r="Q33" s="68"/>
      <c r="R33" s="68"/>
      <c r="S33" s="68"/>
      <c r="T33" s="68"/>
      <c r="U33" s="68"/>
    </row>
    <row r="34" spans="1:21" ht="15" x14ac:dyDescent="0.25">
      <c r="A34" s="67"/>
      <c r="B34" s="68"/>
      <c r="C34" s="68"/>
      <c r="D34" s="68"/>
      <c r="E34" s="68"/>
      <c r="F34" s="68"/>
      <c r="G34" s="68"/>
      <c r="H34" s="68"/>
      <c r="I34" s="68"/>
      <c r="J34" s="68"/>
      <c r="K34" s="68"/>
      <c r="L34" s="68"/>
      <c r="M34" s="68"/>
      <c r="N34" s="68"/>
      <c r="O34" s="68"/>
      <c r="P34" s="68"/>
      <c r="Q34" s="68"/>
      <c r="R34" s="68"/>
      <c r="S34" s="68"/>
      <c r="T34" s="68"/>
      <c r="U34" s="68"/>
    </row>
    <row r="35" spans="1:21" ht="15" x14ac:dyDescent="0.25">
      <c r="A35" s="67"/>
      <c r="B35" s="68"/>
      <c r="C35" s="68"/>
      <c r="D35" s="68"/>
      <c r="E35" s="68"/>
      <c r="F35" s="68"/>
      <c r="G35" s="68"/>
      <c r="H35" s="68"/>
      <c r="I35" s="68"/>
      <c r="J35" s="68"/>
      <c r="K35" s="68"/>
      <c r="L35" s="68"/>
      <c r="M35" s="68"/>
      <c r="N35" s="68"/>
      <c r="O35" s="68"/>
      <c r="P35" s="68"/>
      <c r="Q35" s="68"/>
      <c r="R35" s="68"/>
      <c r="S35" s="68"/>
      <c r="T35" s="68"/>
      <c r="U35" s="68"/>
    </row>
    <row r="36" spans="1:21" ht="15" x14ac:dyDescent="0.25">
      <c r="A36" s="67"/>
      <c r="B36" s="68"/>
      <c r="C36" s="68"/>
      <c r="D36" s="68"/>
      <c r="E36" s="68"/>
      <c r="F36" s="68"/>
      <c r="G36" s="68"/>
      <c r="H36" s="68"/>
      <c r="I36" s="68"/>
      <c r="J36" s="68"/>
      <c r="K36" s="68"/>
      <c r="L36" s="68"/>
      <c r="M36" s="68"/>
      <c r="N36" s="68"/>
      <c r="O36" s="68"/>
      <c r="P36" s="68"/>
      <c r="Q36" s="68"/>
      <c r="R36" s="68"/>
      <c r="S36" s="68"/>
      <c r="T36" s="68"/>
      <c r="U36" s="68"/>
    </row>
    <row r="37" spans="1:21" ht="15" x14ac:dyDescent="0.25">
      <c r="A37" s="67"/>
      <c r="B37" s="68"/>
      <c r="C37" s="68"/>
      <c r="D37" s="68"/>
      <c r="E37" s="68"/>
      <c r="F37" s="68"/>
      <c r="G37" s="68"/>
      <c r="H37" s="68"/>
      <c r="I37" s="68"/>
      <c r="J37" s="68"/>
      <c r="K37" s="68"/>
      <c r="L37" s="68"/>
      <c r="M37" s="68"/>
      <c r="N37" s="68"/>
      <c r="O37" s="68"/>
      <c r="P37" s="68"/>
      <c r="Q37" s="68"/>
      <c r="R37" s="68"/>
      <c r="S37" s="68"/>
      <c r="T37" s="68"/>
      <c r="U37" s="68"/>
    </row>
    <row r="38" spans="1:21" ht="15" x14ac:dyDescent="0.25">
      <c r="A38" s="67"/>
      <c r="B38" s="68"/>
      <c r="C38" s="68"/>
      <c r="D38" s="68"/>
      <c r="E38" s="68"/>
      <c r="F38" s="68"/>
      <c r="G38" s="68"/>
      <c r="H38" s="68"/>
      <c r="I38" s="68"/>
      <c r="J38" s="68"/>
      <c r="K38" s="68"/>
      <c r="L38" s="68"/>
      <c r="M38" s="68"/>
      <c r="N38" s="68"/>
      <c r="O38" s="68"/>
      <c r="P38" s="68"/>
      <c r="Q38" s="68"/>
      <c r="R38" s="68"/>
      <c r="S38" s="68"/>
      <c r="T38" s="68"/>
      <c r="U38" s="68"/>
    </row>
    <row r="39" spans="1:21" ht="15" x14ac:dyDescent="0.25">
      <c r="A39" s="67"/>
      <c r="B39" s="68"/>
      <c r="C39" s="68"/>
      <c r="D39" s="68"/>
      <c r="E39" s="68"/>
      <c r="F39" s="68"/>
      <c r="G39" s="68"/>
      <c r="H39" s="68"/>
      <c r="I39" s="68"/>
      <c r="J39" s="68"/>
      <c r="K39" s="68"/>
      <c r="L39" s="68"/>
      <c r="M39" s="68"/>
      <c r="N39" s="68"/>
      <c r="O39" s="68"/>
      <c r="P39" s="68"/>
      <c r="Q39" s="68"/>
      <c r="R39" s="68"/>
      <c r="S39" s="68"/>
      <c r="T39" s="68"/>
      <c r="U39" s="68"/>
    </row>
    <row r="40" spans="1:21" ht="15" x14ac:dyDescent="0.25">
      <c r="A40" s="67"/>
      <c r="B40" s="68"/>
      <c r="C40" s="68"/>
      <c r="D40" s="68"/>
      <c r="E40" s="68"/>
      <c r="F40" s="68"/>
      <c r="G40" s="68"/>
      <c r="H40" s="68"/>
      <c r="I40" s="68"/>
      <c r="J40" s="68"/>
      <c r="K40" s="68"/>
      <c r="L40" s="68"/>
      <c r="M40" s="68"/>
      <c r="N40" s="68"/>
      <c r="O40" s="68"/>
      <c r="P40" s="68"/>
      <c r="Q40" s="68"/>
      <c r="R40" s="68"/>
      <c r="S40" s="68"/>
      <c r="T40" s="68"/>
      <c r="U40" s="68"/>
    </row>
    <row r="41" spans="1:21" ht="15" x14ac:dyDescent="0.25">
      <c r="A41" s="67"/>
      <c r="B41" s="68"/>
      <c r="C41" s="68"/>
      <c r="D41" s="68"/>
      <c r="E41" s="68"/>
      <c r="F41" s="68"/>
      <c r="G41" s="68"/>
      <c r="H41" s="68"/>
      <c r="I41" s="68"/>
      <c r="J41" s="68"/>
      <c r="K41" s="68"/>
      <c r="L41" s="68"/>
      <c r="M41" s="68"/>
      <c r="N41" s="68"/>
      <c r="O41" s="68"/>
      <c r="P41" s="68"/>
      <c r="Q41" s="68"/>
      <c r="R41" s="68"/>
      <c r="S41" s="68"/>
      <c r="T41" s="68"/>
      <c r="U41" s="68"/>
    </row>
    <row r="42" spans="1:21" ht="15" x14ac:dyDescent="0.25">
      <c r="A42" s="67"/>
      <c r="B42" s="68"/>
      <c r="C42" s="68"/>
      <c r="D42" s="68"/>
      <c r="E42" s="68"/>
      <c r="F42" s="68"/>
      <c r="G42" s="68"/>
      <c r="H42" s="68"/>
      <c r="I42" s="68"/>
      <c r="J42" s="68"/>
      <c r="K42" s="68"/>
      <c r="L42" s="68"/>
      <c r="M42" s="68"/>
      <c r="N42" s="68"/>
      <c r="O42" s="68"/>
      <c r="P42" s="68"/>
      <c r="Q42" s="68"/>
      <c r="R42" s="68"/>
      <c r="S42" s="68"/>
      <c r="T42" s="68"/>
      <c r="U42" s="68"/>
    </row>
    <row r="43" spans="1:21" ht="15" x14ac:dyDescent="0.25">
      <c r="A43" s="67"/>
      <c r="B43" s="68"/>
      <c r="C43" s="68"/>
      <c r="D43" s="68"/>
      <c r="E43" s="68"/>
      <c r="F43" s="68"/>
      <c r="G43" s="68"/>
      <c r="H43" s="68"/>
      <c r="I43" s="68"/>
      <c r="J43" s="68"/>
      <c r="K43" s="68"/>
      <c r="L43" s="68"/>
      <c r="M43" s="68"/>
      <c r="N43" s="68"/>
      <c r="O43" s="68"/>
      <c r="P43" s="68"/>
      <c r="Q43" s="68"/>
      <c r="R43" s="68"/>
      <c r="S43" s="68"/>
      <c r="T43" s="68"/>
      <c r="U43" s="68"/>
    </row>
    <row r="44" spans="1:21" ht="15" x14ac:dyDescent="0.25">
      <c r="A44" s="67"/>
      <c r="B44" s="68"/>
      <c r="C44" s="68"/>
      <c r="D44" s="68"/>
      <c r="E44" s="68"/>
      <c r="F44" s="68"/>
      <c r="G44" s="68"/>
      <c r="H44" s="68"/>
      <c r="I44" s="68"/>
      <c r="J44" s="68"/>
      <c r="K44" s="68"/>
      <c r="L44" s="68"/>
      <c r="M44" s="68"/>
      <c r="N44" s="68"/>
      <c r="O44" s="68"/>
      <c r="P44" s="68"/>
      <c r="Q44" s="68"/>
      <c r="R44" s="68"/>
      <c r="S44" s="68"/>
      <c r="T44" s="68"/>
      <c r="U44" s="68"/>
    </row>
    <row r="45" spans="1:21" ht="15" x14ac:dyDescent="0.25">
      <c r="A45" s="67"/>
      <c r="B45" s="68"/>
      <c r="C45" s="68"/>
      <c r="D45" s="68"/>
      <c r="E45" s="68"/>
      <c r="F45" s="68"/>
      <c r="G45" s="68"/>
      <c r="H45" s="68"/>
      <c r="I45" s="68"/>
      <c r="J45" s="68"/>
      <c r="K45" s="68"/>
      <c r="L45" s="68"/>
      <c r="M45" s="68"/>
      <c r="N45" s="68"/>
      <c r="O45" s="68"/>
      <c r="P45" s="68"/>
      <c r="Q45" s="68"/>
      <c r="R45" s="68"/>
      <c r="S45" s="68"/>
      <c r="T45" s="68"/>
      <c r="U45" s="68"/>
    </row>
    <row r="46" spans="1:21" ht="15" x14ac:dyDescent="0.25">
      <c r="A46" s="67"/>
      <c r="B46" s="68"/>
      <c r="C46" s="68"/>
      <c r="D46" s="68"/>
      <c r="E46" s="68"/>
      <c r="F46" s="68"/>
      <c r="G46" s="68"/>
      <c r="H46" s="68"/>
      <c r="I46" s="68"/>
      <c r="J46" s="68"/>
      <c r="K46" s="68"/>
      <c r="L46" s="68"/>
      <c r="M46" s="68"/>
      <c r="N46" s="68"/>
      <c r="O46" s="68"/>
      <c r="P46" s="68"/>
      <c r="Q46" s="68"/>
      <c r="R46" s="68"/>
      <c r="S46" s="68"/>
      <c r="T46" s="68"/>
      <c r="U46" s="68"/>
    </row>
    <row r="47" spans="1:21" ht="15" x14ac:dyDescent="0.25">
      <c r="A47" s="67"/>
      <c r="B47" s="68"/>
      <c r="C47" s="68"/>
      <c r="D47" s="68"/>
      <c r="E47" s="68"/>
      <c r="F47" s="68"/>
      <c r="G47" s="68"/>
      <c r="H47" s="68"/>
      <c r="I47" s="68"/>
      <c r="J47" s="68"/>
      <c r="K47" s="68"/>
      <c r="L47" s="68"/>
      <c r="M47" s="68"/>
      <c r="N47" s="68"/>
      <c r="O47" s="68"/>
      <c r="P47" s="68"/>
      <c r="Q47" s="68"/>
      <c r="R47" s="68"/>
      <c r="S47" s="68"/>
      <c r="T47" s="68"/>
      <c r="U47" s="68"/>
    </row>
    <row r="48" spans="1:21" ht="15" x14ac:dyDescent="0.25">
      <c r="A48" s="67"/>
      <c r="B48" s="68"/>
      <c r="C48" s="68"/>
      <c r="D48" s="68"/>
      <c r="E48" s="68"/>
      <c r="F48" s="68"/>
      <c r="G48" s="68"/>
      <c r="H48" s="68"/>
      <c r="I48" s="68"/>
      <c r="J48" s="68"/>
      <c r="K48" s="68"/>
      <c r="L48" s="68"/>
      <c r="M48" s="68"/>
      <c r="N48" s="68"/>
      <c r="O48" s="68"/>
      <c r="P48" s="68"/>
      <c r="Q48" s="68"/>
      <c r="R48" s="68"/>
      <c r="S48" s="68"/>
      <c r="T48" s="68"/>
      <c r="U48" s="68"/>
    </row>
    <row r="49" spans="1:21" ht="15" x14ac:dyDescent="0.25">
      <c r="A49" s="67"/>
      <c r="B49" s="68"/>
      <c r="C49" s="68"/>
      <c r="D49" s="68"/>
      <c r="E49" s="68"/>
      <c r="F49" s="68"/>
      <c r="G49" s="68"/>
      <c r="H49" s="68"/>
      <c r="I49" s="68"/>
      <c r="J49" s="68"/>
      <c r="K49" s="68"/>
      <c r="L49" s="68"/>
      <c r="M49" s="68"/>
      <c r="N49" s="68"/>
      <c r="O49" s="68"/>
      <c r="P49" s="68"/>
      <c r="Q49" s="68"/>
      <c r="R49" s="68"/>
      <c r="S49" s="68"/>
      <c r="T49" s="68"/>
      <c r="U49" s="68"/>
    </row>
    <row r="50" spans="1:21" ht="15" x14ac:dyDescent="0.25">
      <c r="A50" s="67"/>
      <c r="B50" s="68"/>
      <c r="C50" s="68"/>
      <c r="D50" s="68"/>
      <c r="E50" s="68"/>
      <c r="F50" s="68"/>
      <c r="G50" s="68"/>
      <c r="H50" s="68"/>
      <c r="I50" s="68"/>
      <c r="J50" s="68"/>
      <c r="K50" s="68"/>
      <c r="L50" s="68"/>
      <c r="M50" s="68"/>
      <c r="N50" s="68"/>
      <c r="O50" s="68"/>
      <c r="P50" s="68"/>
      <c r="Q50" s="68"/>
      <c r="R50" s="68"/>
      <c r="S50" s="68"/>
      <c r="T50" s="68"/>
      <c r="U50" s="68"/>
    </row>
    <row r="51" spans="1:21" ht="15" x14ac:dyDescent="0.25">
      <c r="A51" s="67"/>
      <c r="B51" s="68"/>
      <c r="C51" s="68"/>
      <c r="D51" s="68"/>
      <c r="E51" s="68"/>
      <c r="F51" s="68"/>
      <c r="G51" s="68"/>
      <c r="H51" s="68"/>
      <c r="I51" s="68"/>
      <c r="J51" s="68"/>
      <c r="K51" s="68"/>
      <c r="L51" s="68"/>
      <c r="M51" s="68"/>
      <c r="N51" s="68"/>
      <c r="O51" s="68"/>
      <c r="P51" s="68"/>
      <c r="Q51" s="68"/>
      <c r="R51" s="68"/>
      <c r="S51" s="68"/>
      <c r="T51" s="68"/>
      <c r="U51" s="68"/>
    </row>
    <row r="52" spans="1:21" ht="15" x14ac:dyDescent="0.25">
      <c r="A52" s="67"/>
      <c r="B52" s="68"/>
      <c r="C52" s="68"/>
      <c r="D52" s="68"/>
      <c r="E52" s="68"/>
      <c r="F52" s="68"/>
      <c r="G52" s="68"/>
      <c r="H52" s="68"/>
      <c r="I52" s="68"/>
      <c r="J52" s="68"/>
      <c r="K52" s="68"/>
      <c r="L52" s="68"/>
      <c r="M52" s="68"/>
      <c r="N52" s="68"/>
      <c r="O52" s="68"/>
      <c r="P52" s="68"/>
      <c r="Q52" s="68"/>
      <c r="R52" s="68"/>
      <c r="S52" s="68"/>
      <c r="T52" s="68"/>
      <c r="U52" s="68"/>
    </row>
    <row r="53" spans="1:21" ht="15" x14ac:dyDescent="0.25">
      <c r="A53" s="67"/>
      <c r="B53" s="68"/>
      <c r="C53" s="68"/>
      <c r="D53" s="68"/>
      <c r="E53" s="68"/>
      <c r="F53" s="68"/>
      <c r="G53" s="68"/>
      <c r="H53" s="68"/>
      <c r="I53" s="68"/>
      <c r="J53" s="68"/>
      <c r="K53" s="68"/>
      <c r="L53" s="68"/>
      <c r="M53" s="68"/>
      <c r="N53" s="68"/>
      <c r="O53" s="68"/>
      <c r="P53" s="68"/>
      <c r="Q53" s="68"/>
      <c r="R53" s="68"/>
      <c r="S53" s="68"/>
      <c r="T53" s="68"/>
      <c r="U53" s="68"/>
    </row>
    <row r="54" spans="1:21" ht="15" x14ac:dyDescent="0.25">
      <c r="A54" s="67"/>
      <c r="B54" s="68"/>
      <c r="C54" s="68"/>
      <c r="D54" s="68"/>
      <c r="E54" s="68"/>
      <c r="F54" s="68"/>
      <c r="G54" s="68"/>
      <c r="H54" s="68"/>
      <c r="I54" s="68"/>
      <c r="J54" s="68"/>
      <c r="K54" s="68"/>
      <c r="L54" s="68"/>
      <c r="M54" s="68"/>
      <c r="N54" s="68"/>
      <c r="O54" s="68"/>
      <c r="P54" s="68"/>
      <c r="Q54" s="68"/>
      <c r="R54" s="68"/>
      <c r="S54" s="68"/>
      <c r="T54" s="68"/>
      <c r="U54" s="68"/>
    </row>
  </sheetData>
  <mergeCells count="3">
    <mergeCell ref="B1:T1"/>
    <mergeCell ref="B3:T3"/>
    <mergeCell ref="B2:T2"/>
  </mergeCells>
  <pageMargins left="0.7" right="0.7" top="0.75" bottom="0.75" header="0.3" footer="0.3"/>
  <pageSetup scale="4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zoomScale="90" zoomScaleNormal="90" workbookViewId="0">
      <pane xSplit="2" ySplit="8" topLeftCell="C9" activePane="bottomRight" state="frozen"/>
      <selection pane="topRight" activeCell="C1" sqref="C1"/>
      <selection pane="bottomLeft" activeCell="A9" sqref="A9"/>
      <selection pane="bottomRight" activeCell="S51" sqref="A1:S51"/>
    </sheetView>
  </sheetViews>
  <sheetFormatPr defaultColWidth="9.140625" defaultRowHeight="15" x14ac:dyDescent="0.25"/>
  <cols>
    <col min="1" max="1" width="68.5703125" style="111" customWidth="1"/>
    <col min="2" max="2" width="12.28515625" style="111" customWidth="1"/>
    <col min="3" max="3" width="13" style="111" bestFit="1" customWidth="1"/>
    <col min="4" max="4" width="12.28515625" style="111" bestFit="1" customWidth="1"/>
    <col min="5" max="5" width="13" style="111" bestFit="1" customWidth="1"/>
    <col min="6" max="6" width="15.5703125" style="111" bestFit="1" customWidth="1"/>
    <col min="7" max="10" width="14.28515625" style="111" bestFit="1" customWidth="1"/>
    <col min="11" max="11" width="14.28515625" style="111" customWidth="1"/>
    <col min="12" max="12" width="14.28515625" style="111" bestFit="1" customWidth="1"/>
    <col min="13" max="13" width="16.5703125" style="111" customWidth="1"/>
    <col min="14" max="14" width="14.28515625" style="111" bestFit="1" customWidth="1"/>
    <col min="15" max="15" width="2.85546875" style="111" customWidth="1"/>
    <col min="16" max="16" width="17.85546875" style="111" customWidth="1"/>
    <col min="17" max="17" width="4.5703125" style="111" customWidth="1"/>
    <col min="18" max="18" width="17.140625" style="111" customWidth="1"/>
    <col min="19" max="19" width="15.42578125" style="111" customWidth="1"/>
    <col min="20" max="16384" width="9.140625" style="111"/>
  </cols>
  <sheetData>
    <row r="1" spans="1:19" ht="15.75" x14ac:dyDescent="0.25">
      <c r="A1" s="110" t="s">
        <v>0</v>
      </c>
      <c r="B1" s="110"/>
    </row>
    <row r="2" spans="1:19" ht="15.75" x14ac:dyDescent="0.25">
      <c r="A2" s="110" t="s">
        <v>58</v>
      </c>
      <c r="B2" s="110"/>
    </row>
    <row r="3" spans="1:19" ht="15.75" x14ac:dyDescent="0.25">
      <c r="A3" s="110" t="s">
        <v>104</v>
      </c>
      <c r="B3" s="110">
        <v>2019</v>
      </c>
    </row>
    <row r="6" spans="1:19" x14ac:dyDescent="0.25">
      <c r="A6" s="112" t="s">
        <v>98</v>
      </c>
    </row>
    <row r="8" spans="1:19" ht="15.75" x14ac:dyDescent="0.25">
      <c r="B8" s="113"/>
      <c r="C8" s="114" t="str">
        <f>"Jan-"&amp;RIGHT($B$3,2)</f>
        <v>Jan-19</v>
      </c>
      <c r="D8" s="114" t="str">
        <f>"Feb-"&amp;RIGHT($B$3,2)</f>
        <v>Feb-19</v>
      </c>
      <c r="E8" s="114" t="str">
        <f>"Mar-"&amp;RIGHT($B$3,2)</f>
        <v>Mar-19</v>
      </c>
      <c r="F8" s="114" t="str">
        <f>"Apr-"&amp;RIGHT($B$3,2)</f>
        <v>Apr-19</v>
      </c>
      <c r="G8" s="114" t="str">
        <f>"May-"&amp;RIGHT($B$3,2)</f>
        <v>May-19</v>
      </c>
      <c r="H8" s="114" t="str">
        <f>"Jun-"&amp;RIGHT($B$3,2)</f>
        <v>Jun-19</v>
      </c>
      <c r="I8" s="114" t="str">
        <f>"Jul-"&amp;RIGHT($B$3,2)</f>
        <v>Jul-19</v>
      </c>
      <c r="J8" s="114" t="str">
        <f>"Aug-"&amp;RIGHT($B$3,2)</f>
        <v>Aug-19</v>
      </c>
      <c r="K8" s="114" t="str">
        <f>"Sep-"&amp;RIGHT($B$3,2)</f>
        <v>Sep-19</v>
      </c>
      <c r="L8" s="114" t="str">
        <f>"Oct-"&amp;RIGHT($B$3,2)</f>
        <v>Oct-19</v>
      </c>
      <c r="M8" s="114" t="str">
        <f>"Nov-"&amp;RIGHT($B$3,2)</f>
        <v>Nov-19</v>
      </c>
      <c r="N8" s="114" t="str">
        <f>"Dec-"&amp;RIGHT($B$3,2)</f>
        <v>Dec-19</v>
      </c>
      <c r="O8" s="114"/>
      <c r="P8" s="115" t="str">
        <f>"Total "&amp;$B$3</f>
        <v>Total 2019</v>
      </c>
      <c r="Q8" s="115"/>
      <c r="R8" s="115" t="str">
        <f>$B$3&amp; " PIS Report"</f>
        <v>2019 PIS Report</v>
      </c>
      <c r="S8" s="115" t="s">
        <v>73</v>
      </c>
    </row>
    <row r="10" spans="1:19" x14ac:dyDescent="0.25">
      <c r="A10" s="113" t="str">
        <f>$B$3&amp;" Actual Additions"</f>
        <v>2019 Actual Additions</v>
      </c>
    </row>
    <row r="12" spans="1:19" ht="15.75" x14ac:dyDescent="0.25">
      <c r="A12" s="116" t="s">
        <v>59</v>
      </c>
      <c r="B12" s="116"/>
    </row>
    <row r="13" spans="1:19" ht="15.75" x14ac:dyDescent="0.25">
      <c r="A13" s="117" t="s">
        <v>99</v>
      </c>
      <c r="B13" s="43" t="s">
        <v>100</v>
      </c>
      <c r="C13" s="45"/>
      <c r="D13" s="45"/>
      <c r="E13" s="45"/>
      <c r="F13" s="45"/>
      <c r="G13" s="45"/>
      <c r="H13" s="46"/>
      <c r="I13" s="46"/>
      <c r="J13" s="45"/>
      <c r="K13" s="45"/>
      <c r="L13" s="45">
        <v>62921.61</v>
      </c>
      <c r="M13" s="45"/>
      <c r="N13" s="45"/>
      <c r="O13" s="118"/>
      <c r="P13" s="118">
        <f>SUM(C13:N13)</f>
        <v>62921.61</v>
      </c>
      <c r="Q13" s="118"/>
    </row>
    <row r="14" spans="1:19" ht="15.75" x14ac:dyDescent="0.25">
      <c r="A14" s="117" t="s">
        <v>106</v>
      </c>
      <c r="B14" s="43" t="s">
        <v>101</v>
      </c>
      <c r="C14" s="45"/>
      <c r="D14" s="45"/>
      <c r="E14" s="45"/>
      <c r="F14" s="45"/>
      <c r="G14" s="45"/>
      <c r="H14" s="45"/>
      <c r="I14" s="45"/>
      <c r="J14" s="45">
        <v>129240.92</v>
      </c>
      <c r="K14" s="45"/>
      <c r="L14" s="45"/>
      <c r="M14" s="45"/>
      <c r="N14" s="45"/>
      <c r="O14" s="118"/>
      <c r="P14" s="118">
        <f>SUM(C14:N14)</f>
        <v>129240.92</v>
      </c>
      <c r="Q14" s="118"/>
    </row>
    <row r="15" spans="1:19" ht="15.75" x14ac:dyDescent="0.25">
      <c r="D15" s="45"/>
    </row>
    <row r="16" spans="1:19" ht="15.75" x14ac:dyDescent="0.25">
      <c r="A16" s="119" t="s">
        <v>60</v>
      </c>
      <c r="B16" s="119"/>
      <c r="C16" s="120">
        <f t="shared" ref="C16:N16" si="0">SUM(C13:C15)</f>
        <v>0</v>
      </c>
      <c r="D16" s="120">
        <f t="shared" si="0"/>
        <v>0</v>
      </c>
      <c r="E16" s="120">
        <f t="shared" si="0"/>
        <v>0</v>
      </c>
      <c r="F16" s="120">
        <f t="shared" si="0"/>
        <v>0</v>
      </c>
      <c r="G16" s="120">
        <f t="shared" si="0"/>
        <v>0</v>
      </c>
      <c r="H16" s="120">
        <f t="shared" si="0"/>
        <v>0</v>
      </c>
      <c r="I16" s="120">
        <f t="shared" si="0"/>
        <v>0</v>
      </c>
      <c r="J16" s="120">
        <f t="shared" si="0"/>
        <v>129240.92</v>
      </c>
      <c r="K16" s="120">
        <f t="shared" si="0"/>
        <v>0</v>
      </c>
      <c r="L16" s="120">
        <f t="shared" si="0"/>
        <v>62921.61</v>
      </c>
      <c r="M16" s="120">
        <f t="shared" si="0"/>
        <v>0</v>
      </c>
      <c r="N16" s="120">
        <f t="shared" si="0"/>
        <v>0</v>
      </c>
      <c r="O16" s="120"/>
      <c r="P16" s="120">
        <f>SUM(P13:P15)</f>
        <v>192162.53</v>
      </c>
      <c r="Q16" s="121"/>
    </row>
    <row r="17" spans="1:19" ht="15.75" x14ac:dyDescent="0.25">
      <c r="A17" s="119"/>
      <c r="B17" s="119"/>
      <c r="C17" s="121"/>
      <c r="D17" s="121"/>
      <c r="E17" s="121"/>
      <c r="F17" s="121"/>
      <c r="G17" s="121"/>
      <c r="H17" s="121"/>
      <c r="I17" s="121"/>
      <c r="J17" s="121"/>
      <c r="K17" s="121"/>
      <c r="L17" s="121"/>
      <c r="M17" s="121"/>
      <c r="N17" s="121"/>
      <c r="O17" s="121"/>
      <c r="P17" s="121"/>
      <c r="Q17" s="121"/>
    </row>
    <row r="18" spans="1:19" ht="15.75" x14ac:dyDescent="0.25">
      <c r="A18" s="116" t="s">
        <v>63</v>
      </c>
      <c r="B18" s="116"/>
      <c r="C18" s="121"/>
      <c r="D18" s="121"/>
      <c r="E18" s="121"/>
      <c r="F18" s="121"/>
      <c r="G18" s="121"/>
      <c r="H18" s="121"/>
      <c r="I18" s="121"/>
      <c r="J18" s="121"/>
      <c r="K18" s="121"/>
      <c r="L18" s="121"/>
      <c r="M18" s="121"/>
      <c r="N18" s="121"/>
      <c r="O18" s="121"/>
      <c r="P18" s="121"/>
      <c r="Q18" s="121"/>
    </row>
    <row r="19" spans="1:19" s="122" customFormat="1" ht="15.75" x14ac:dyDescent="0.25">
      <c r="A19" s="117" t="s">
        <v>15</v>
      </c>
      <c r="B19" s="117"/>
      <c r="C19" s="45"/>
      <c r="D19" s="45"/>
      <c r="E19" s="45"/>
      <c r="F19" s="45"/>
      <c r="G19" s="45"/>
      <c r="H19" s="45"/>
      <c r="I19" s="45"/>
      <c r="J19" s="45"/>
      <c r="K19" s="45"/>
      <c r="L19" s="45"/>
      <c r="M19" s="45"/>
      <c r="N19" s="45"/>
      <c r="O19" s="121"/>
      <c r="P19" s="46"/>
      <c r="Q19" s="46"/>
      <c r="R19" s="111"/>
      <c r="S19" s="111"/>
    </row>
    <row r="20" spans="1:19" s="122" customFormat="1" ht="15.75" x14ac:dyDescent="0.25">
      <c r="A20" s="123" t="s">
        <v>71</v>
      </c>
      <c r="B20" s="117" t="s">
        <v>72</v>
      </c>
      <c r="C20" s="45"/>
      <c r="D20" s="45"/>
      <c r="E20" s="45"/>
      <c r="F20" s="45"/>
      <c r="G20" s="45"/>
      <c r="H20" s="45"/>
      <c r="I20" s="45"/>
      <c r="J20" s="45"/>
      <c r="K20" s="45">
        <v>728.02</v>
      </c>
      <c r="L20" s="45"/>
      <c r="M20" s="45"/>
      <c r="N20" s="45"/>
      <c r="O20" s="121"/>
      <c r="P20" s="46">
        <f>SUM(C20:N20)</f>
        <v>728.02</v>
      </c>
      <c r="Q20" s="46"/>
      <c r="R20" s="111"/>
      <c r="S20" s="111"/>
    </row>
    <row r="21" spans="1:19" s="122" customFormat="1" ht="15.75" x14ac:dyDescent="0.25">
      <c r="A21" s="117" t="s">
        <v>77</v>
      </c>
      <c r="B21" s="117"/>
      <c r="C21" s="45"/>
      <c r="D21" s="45"/>
      <c r="E21" s="45"/>
      <c r="F21" s="45"/>
      <c r="G21" s="45"/>
      <c r="H21" s="45"/>
      <c r="I21" s="45"/>
      <c r="J21" s="45"/>
      <c r="K21" s="45"/>
      <c r="L21" s="45"/>
      <c r="M21" s="45">
        <v>28550242.818120416</v>
      </c>
      <c r="N21" s="45"/>
      <c r="O21" s="111"/>
      <c r="P21" s="46">
        <f t="shared" ref="P21" si="1">SUM(C21:N21)</f>
        <v>28550242.818120416</v>
      </c>
      <c r="Q21" s="46"/>
      <c r="R21" s="111"/>
      <c r="S21" s="111"/>
    </row>
    <row r="22" spans="1:19" s="122" customFormat="1" ht="15.75" x14ac:dyDescent="0.25">
      <c r="A22" s="117"/>
      <c r="B22" s="117"/>
      <c r="C22" s="111"/>
      <c r="D22" s="111"/>
      <c r="E22" s="111"/>
      <c r="F22" s="111"/>
      <c r="G22" s="111"/>
      <c r="H22" s="111"/>
      <c r="I22" s="111"/>
      <c r="J22" s="111"/>
      <c r="K22" s="111"/>
      <c r="L22" s="111"/>
      <c r="M22" s="111"/>
      <c r="N22" s="111"/>
      <c r="O22" s="111"/>
      <c r="P22" s="111"/>
      <c r="Q22" s="111"/>
      <c r="R22" s="111"/>
      <c r="S22" s="111"/>
    </row>
    <row r="23" spans="1:19" s="122" customFormat="1" ht="15.75" x14ac:dyDescent="0.25">
      <c r="A23" s="119" t="s">
        <v>62</v>
      </c>
      <c r="B23" s="119"/>
      <c r="C23" s="124">
        <f t="shared" ref="C23:N23" si="2">SUM(C19:C22)</f>
        <v>0</v>
      </c>
      <c r="D23" s="124">
        <f t="shared" si="2"/>
        <v>0</v>
      </c>
      <c r="E23" s="124">
        <f t="shared" si="2"/>
        <v>0</v>
      </c>
      <c r="F23" s="124">
        <f t="shared" si="2"/>
        <v>0</v>
      </c>
      <c r="G23" s="124">
        <f t="shared" si="2"/>
        <v>0</v>
      </c>
      <c r="H23" s="124">
        <f t="shared" si="2"/>
        <v>0</v>
      </c>
      <c r="I23" s="124">
        <f t="shared" si="2"/>
        <v>0</v>
      </c>
      <c r="J23" s="124">
        <f t="shared" si="2"/>
        <v>0</v>
      </c>
      <c r="K23" s="124">
        <f t="shared" si="2"/>
        <v>728.02</v>
      </c>
      <c r="L23" s="124">
        <f t="shared" si="2"/>
        <v>0</v>
      </c>
      <c r="M23" s="124">
        <f t="shared" si="2"/>
        <v>28550242.818120416</v>
      </c>
      <c r="N23" s="124">
        <f t="shared" si="2"/>
        <v>0</v>
      </c>
      <c r="O23" s="125"/>
      <c r="P23" s="124">
        <f>SUM(P19:P22)</f>
        <v>28550970.838120416</v>
      </c>
      <c r="Q23" s="126"/>
      <c r="R23" s="111"/>
      <c r="S23" s="111"/>
    </row>
    <row r="24" spans="1:19" s="122" customFormat="1" ht="15.75" x14ac:dyDescent="0.25">
      <c r="A24" s="117"/>
      <c r="B24" s="117"/>
      <c r="C24" s="127"/>
      <c r="D24" s="127"/>
      <c r="E24" s="127"/>
      <c r="F24" s="127"/>
      <c r="G24" s="127"/>
      <c r="H24" s="127"/>
      <c r="I24" s="127"/>
      <c r="J24" s="127"/>
      <c r="K24" s="127"/>
      <c r="L24" s="127"/>
      <c r="M24" s="127"/>
      <c r="N24" s="127"/>
      <c r="O24" s="127"/>
      <c r="P24" s="127"/>
      <c r="Q24" s="127"/>
      <c r="R24" s="127"/>
      <c r="S24" s="111"/>
    </row>
    <row r="25" spans="1:19" s="122" customFormat="1" ht="16.5" thickBot="1" x14ac:dyDescent="0.3">
      <c r="A25" s="128" t="s">
        <v>61</v>
      </c>
      <c r="B25" s="128"/>
      <c r="C25" s="129">
        <f t="shared" ref="C25:N25" si="3">+C16+C23</f>
        <v>0</v>
      </c>
      <c r="D25" s="129">
        <f t="shared" si="3"/>
        <v>0</v>
      </c>
      <c r="E25" s="129">
        <f t="shared" si="3"/>
        <v>0</v>
      </c>
      <c r="F25" s="129">
        <f t="shared" si="3"/>
        <v>0</v>
      </c>
      <c r="G25" s="129">
        <f t="shared" si="3"/>
        <v>0</v>
      </c>
      <c r="H25" s="129">
        <f t="shared" si="3"/>
        <v>0</v>
      </c>
      <c r="I25" s="129">
        <f t="shared" si="3"/>
        <v>0</v>
      </c>
      <c r="J25" s="129">
        <f t="shared" si="3"/>
        <v>129240.92</v>
      </c>
      <c r="K25" s="129">
        <f t="shared" si="3"/>
        <v>728.02</v>
      </c>
      <c r="L25" s="129">
        <f t="shared" si="3"/>
        <v>62921.61</v>
      </c>
      <c r="M25" s="129">
        <f t="shared" si="3"/>
        <v>28550242.818120416</v>
      </c>
      <c r="N25" s="129">
        <f t="shared" si="3"/>
        <v>0</v>
      </c>
      <c r="O25" s="111"/>
      <c r="P25" s="129">
        <f>+P16+P23</f>
        <v>28743133.368120417</v>
      </c>
      <c r="Q25" s="111"/>
      <c r="R25" s="130">
        <v>28743133.368120413</v>
      </c>
      <c r="S25" s="129">
        <f>P25-R25</f>
        <v>0</v>
      </c>
    </row>
    <row r="26" spans="1:19" s="122" customFormat="1" ht="16.5" thickTop="1" x14ac:dyDescent="0.25">
      <c r="A26" s="111"/>
      <c r="B26" s="111"/>
      <c r="C26" s="111"/>
      <c r="D26" s="111"/>
      <c r="E26" s="111"/>
      <c r="F26" s="111"/>
      <c r="G26" s="111"/>
      <c r="H26" s="111"/>
      <c r="I26" s="111"/>
      <c r="J26" s="111"/>
      <c r="K26" s="111"/>
      <c r="L26" s="111"/>
      <c r="M26" s="111"/>
      <c r="N26" s="111"/>
      <c r="O26" s="111"/>
      <c r="P26" s="111"/>
      <c r="Q26" s="111"/>
      <c r="R26" s="111"/>
      <c r="S26" s="111"/>
    </row>
    <row r="27" spans="1:19" s="122" customFormat="1" ht="15.75" x14ac:dyDescent="0.25">
      <c r="A27" s="113" t="str">
        <f>$B$3&amp;" Actual Transfers"</f>
        <v>2019 Actual Transfers</v>
      </c>
      <c r="B27" s="113"/>
      <c r="C27" s="114" t="str">
        <f t="shared" ref="C27:N27" si="4">C8</f>
        <v>Jan-19</v>
      </c>
      <c r="D27" s="114" t="str">
        <f t="shared" si="4"/>
        <v>Feb-19</v>
      </c>
      <c r="E27" s="114" t="str">
        <f t="shared" si="4"/>
        <v>Mar-19</v>
      </c>
      <c r="F27" s="114" t="str">
        <f t="shared" si="4"/>
        <v>Apr-19</v>
      </c>
      <c r="G27" s="114" t="str">
        <f t="shared" si="4"/>
        <v>May-19</v>
      </c>
      <c r="H27" s="114" t="str">
        <f t="shared" si="4"/>
        <v>Jun-19</v>
      </c>
      <c r="I27" s="114" t="str">
        <f t="shared" si="4"/>
        <v>Jul-19</v>
      </c>
      <c r="J27" s="114" t="str">
        <f t="shared" si="4"/>
        <v>Aug-19</v>
      </c>
      <c r="K27" s="114" t="str">
        <f t="shared" si="4"/>
        <v>Sep-19</v>
      </c>
      <c r="L27" s="114" t="str">
        <f t="shared" si="4"/>
        <v>Oct-19</v>
      </c>
      <c r="M27" s="114" t="str">
        <f t="shared" si="4"/>
        <v>Nov-19</v>
      </c>
      <c r="N27" s="114" t="str">
        <f t="shared" si="4"/>
        <v>Dec-19</v>
      </c>
      <c r="O27" s="114"/>
      <c r="P27" s="114" t="str">
        <f>P8</f>
        <v>Total 2019</v>
      </c>
      <c r="Q27" s="115"/>
      <c r="R27" s="111"/>
      <c r="S27" s="111"/>
    </row>
    <row r="29" spans="1:19" ht="15.75" x14ac:dyDescent="0.25">
      <c r="A29" s="116" t="s">
        <v>63</v>
      </c>
    </row>
    <row r="30" spans="1:19" ht="15.75" x14ac:dyDescent="0.25">
      <c r="A30" s="39"/>
      <c r="C30" s="45"/>
      <c r="D30" s="45"/>
      <c r="E30" s="45"/>
      <c r="F30" s="45"/>
      <c r="G30" s="45"/>
      <c r="H30" s="46"/>
      <c r="I30" s="45"/>
      <c r="J30" s="45"/>
      <c r="K30" s="45"/>
      <c r="L30" s="45"/>
      <c r="M30" s="45"/>
      <c r="N30" s="45"/>
      <c r="P30" s="46">
        <f t="shared" ref="P30" si="5">SUM(C30:N30)</f>
        <v>0</v>
      </c>
    </row>
    <row r="32" spans="1:19" ht="15.75" x14ac:dyDescent="0.25">
      <c r="A32" s="119" t="s">
        <v>82</v>
      </c>
      <c r="C32" s="120">
        <f>SUM(C29:C31)</f>
        <v>0</v>
      </c>
      <c r="D32" s="120">
        <f t="shared" ref="D32:P32" si="6">SUM(D29:D31)</f>
        <v>0</v>
      </c>
      <c r="E32" s="120">
        <f t="shared" si="6"/>
        <v>0</v>
      </c>
      <c r="F32" s="120">
        <f t="shared" si="6"/>
        <v>0</v>
      </c>
      <c r="G32" s="120">
        <f t="shared" si="6"/>
        <v>0</v>
      </c>
      <c r="H32" s="120">
        <f t="shared" si="6"/>
        <v>0</v>
      </c>
      <c r="I32" s="120">
        <f t="shared" si="6"/>
        <v>0</v>
      </c>
      <c r="J32" s="120">
        <f t="shared" si="6"/>
        <v>0</v>
      </c>
      <c r="K32" s="120">
        <f t="shared" si="6"/>
        <v>0</v>
      </c>
      <c r="L32" s="120">
        <f t="shared" si="6"/>
        <v>0</v>
      </c>
      <c r="M32" s="120">
        <f t="shared" si="6"/>
        <v>0</v>
      </c>
      <c r="N32" s="120">
        <f t="shared" si="6"/>
        <v>0</v>
      </c>
      <c r="P32" s="120">
        <f t="shared" si="6"/>
        <v>0</v>
      </c>
    </row>
    <row r="34" spans="1:17" ht="16.5" thickBot="1" x14ac:dyDescent="0.3">
      <c r="A34" s="128" t="s">
        <v>81</v>
      </c>
      <c r="C34" s="129">
        <f>C32</f>
        <v>0</v>
      </c>
      <c r="D34" s="129">
        <f t="shared" ref="D34:P34" si="7">D32</f>
        <v>0</v>
      </c>
      <c r="E34" s="129">
        <f t="shared" si="7"/>
        <v>0</v>
      </c>
      <c r="F34" s="129">
        <f t="shared" si="7"/>
        <v>0</v>
      </c>
      <c r="G34" s="129">
        <f t="shared" si="7"/>
        <v>0</v>
      </c>
      <c r="H34" s="129">
        <f t="shared" si="7"/>
        <v>0</v>
      </c>
      <c r="I34" s="129">
        <f t="shared" si="7"/>
        <v>0</v>
      </c>
      <c r="J34" s="129">
        <f t="shared" si="7"/>
        <v>0</v>
      </c>
      <c r="K34" s="129">
        <f t="shared" si="7"/>
        <v>0</v>
      </c>
      <c r="L34" s="129">
        <f t="shared" si="7"/>
        <v>0</v>
      </c>
      <c r="M34" s="129">
        <f t="shared" si="7"/>
        <v>0</v>
      </c>
      <c r="N34" s="129">
        <f t="shared" si="7"/>
        <v>0</v>
      </c>
      <c r="P34" s="129">
        <f t="shared" si="7"/>
        <v>0</v>
      </c>
    </row>
    <row r="35" spans="1:17" ht="16.5" thickTop="1" x14ac:dyDescent="0.25">
      <c r="A35" s="47"/>
    </row>
    <row r="38" spans="1:17" ht="15.75" x14ac:dyDescent="0.25">
      <c r="A38" s="113" t="str">
        <f>$B$3&amp;" Actual Retirements"</f>
        <v>2019 Actual Retirements</v>
      </c>
      <c r="B38" s="113"/>
      <c r="C38" s="114" t="str">
        <f t="shared" ref="C38:N38" si="8">C8</f>
        <v>Jan-19</v>
      </c>
      <c r="D38" s="114" t="str">
        <f t="shared" si="8"/>
        <v>Feb-19</v>
      </c>
      <c r="E38" s="114" t="str">
        <f t="shared" si="8"/>
        <v>Mar-19</v>
      </c>
      <c r="F38" s="114" t="str">
        <f t="shared" si="8"/>
        <v>Apr-19</v>
      </c>
      <c r="G38" s="114" t="str">
        <f t="shared" si="8"/>
        <v>May-19</v>
      </c>
      <c r="H38" s="114" t="str">
        <f t="shared" si="8"/>
        <v>Jun-19</v>
      </c>
      <c r="I38" s="114" t="str">
        <f t="shared" si="8"/>
        <v>Jul-19</v>
      </c>
      <c r="J38" s="114" t="str">
        <f t="shared" si="8"/>
        <v>Aug-19</v>
      </c>
      <c r="K38" s="114" t="str">
        <f t="shared" si="8"/>
        <v>Sep-19</v>
      </c>
      <c r="L38" s="114" t="str">
        <f t="shared" si="8"/>
        <v>Oct-19</v>
      </c>
      <c r="M38" s="114" t="str">
        <f t="shared" si="8"/>
        <v>Nov-19</v>
      </c>
      <c r="N38" s="114" t="str">
        <f t="shared" si="8"/>
        <v>Dec-19</v>
      </c>
      <c r="O38" s="114"/>
      <c r="P38" s="115" t="str">
        <f>P8</f>
        <v>Total 2019</v>
      </c>
      <c r="Q38" s="115"/>
    </row>
    <row r="40" spans="1:17" ht="15.75" x14ac:dyDescent="0.25">
      <c r="A40" s="116" t="s">
        <v>59</v>
      </c>
      <c r="B40" s="118"/>
      <c r="C40" s="118"/>
      <c r="D40" s="118"/>
      <c r="E40" s="118"/>
      <c r="F40" s="118"/>
      <c r="G40" s="118"/>
      <c r="H40" s="118"/>
      <c r="I40" s="118"/>
      <c r="J40" s="118"/>
      <c r="K40" s="118"/>
      <c r="L40" s="118"/>
      <c r="M40" s="118"/>
      <c r="N40" s="118"/>
      <c r="O40" s="118"/>
      <c r="P40" s="118"/>
      <c r="Q40" s="118"/>
    </row>
    <row r="41" spans="1:17" ht="15.75" x14ac:dyDescent="0.25">
      <c r="A41" s="117" t="s">
        <v>102</v>
      </c>
      <c r="B41" s="39"/>
      <c r="C41" s="45"/>
      <c r="D41" s="45"/>
      <c r="E41" s="45"/>
      <c r="F41" s="45"/>
      <c r="G41" s="45"/>
      <c r="H41" s="46"/>
      <c r="I41" s="45"/>
      <c r="J41" s="45">
        <v>-2861.7200000000003</v>
      </c>
      <c r="K41" s="45"/>
      <c r="L41" s="45"/>
      <c r="M41" s="45"/>
      <c r="N41" s="45"/>
      <c r="O41" s="118"/>
      <c r="P41" s="118">
        <f t="shared" ref="P41:P42" si="9">SUM(C41:N41)</f>
        <v>-2861.7200000000003</v>
      </c>
      <c r="Q41" s="118"/>
    </row>
    <row r="42" spans="1:17" ht="15.75" x14ac:dyDescent="0.25">
      <c r="A42" s="117" t="s">
        <v>103</v>
      </c>
      <c r="B42" s="39"/>
      <c r="C42" s="45"/>
      <c r="D42" s="45"/>
      <c r="E42" s="45"/>
      <c r="F42" s="45"/>
      <c r="G42" s="45"/>
      <c r="H42" s="46"/>
      <c r="I42" s="45"/>
      <c r="J42" s="45">
        <v>-2861.7200000000003</v>
      </c>
      <c r="K42" s="45"/>
      <c r="L42" s="45"/>
      <c r="M42" s="45"/>
      <c r="N42" s="45"/>
      <c r="O42" s="118"/>
      <c r="P42" s="118">
        <f t="shared" si="9"/>
        <v>-2861.7200000000003</v>
      </c>
      <c r="Q42" s="118"/>
    </row>
    <row r="43" spans="1:17" ht="15.75" x14ac:dyDescent="0.25">
      <c r="B43" s="118"/>
      <c r="C43" s="118"/>
      <c r="D43" s="118"/>
      <c r="E43" s="118"/>
      <c r="F43" s="118"/>
      <c r="G43" s="118"/>
      <c r="H43" s="118"/>
      <c r="I43" s="118"/>
      <c r="J43" s="118"/>
      <c r="K43" s="118"/>
      <c r="L43" s="118"/>
      <c r="M43" s="118"/>
      <c r="N43" s="118"/>
      <c r="O43" s="118"/>
      <c r="P43" s="118"/>
      <c r="Q43" s="118"/>
    </row>
    <row r="44" spans="1:17" ht="15.75" x14ac:dyDescent="0.25">
      <c r="A44" s="119" t="s">
        <v>78</v>
      </c>
      <c r="B44" s="118"/>
      <c r="C44" s="120">
        <f>SUM(C40:C43)</f>
        <v>0</v>
      </c>
      <c r="D44" s="120">
        <f t="shared" ref="D44:P44" si="10">SUM(D40:D43)</f>
        <v>0</v>
      </c>
      <c r="E44" s="120">
        <f t="shared" si="10"/>
        <v>0</v>
      </c>
      <c r="F44" s="120">
        <f t="shared" si="10"/>
        <v>0</v>
      </c>
      <c r="G44" s="120">
        <f t="shared" si="10"/>
        <v>0</v>
      </c>
      <c r="H44" s="120">
        <f t="shared" si="10"/>
        <v>0</v>
      </c>
      <c r="I44" s="120">
        <f t="shared" si="10"/>
        <v>0</v>
      </c>
      <c r="J44" s="120">
        <f t="shared" si="10"/>
        <v>-5723.4400000000005</v>
      </c>
      <c r="K44" s="120">
        <f t="shared" si="10"/>
        <v>0</v>
      </c>
      <c r="L44" s="120">
        <f t="shared" si="10"/>
        <v>0</v>
      </c>
      <c r="M44" s="120">
        <f t="shared" si="10"/>
        <v>0</v>
      </c>
      <c r="N44" s="120">
        <f t="shared" si="10"/>
        <v>0</v>
      </c>
      <c r="O44" s="118"/>
      <c r="P44" s="120">
        <f t="shared" si="10"/>
        <v>-5723.4400000000005</v>
      </c>
      <c r="Q44" s="118"/>
    </row>
    <row r="45" spans="1:17" ht="15.75" x14ac:dyDescent="0.25">
      <c r="A45" s="123"/>
      <c r="B45" s="39"/>
      <c r="C45" s="45"/>
      <c r="D45" s="45"/>
      <c r="E45" s="45"/>
      <c r="F45" s="45"/>
      <c r="G45" s="45"/>
      <c r="H45" s="46"/>
      <c r="I45" s="45"/>
      <c r="J45" s="45"/>
      <c r="K45" s="45"/>
      <c r="L45" s="45"/>
      <c r="M45" s="45"/>
      <c r="N45" s="45"/>
      <c r="O45" s="118"/>
      <c r="P45" s="118"/>
      <c r="Q45" s="118"/>
    </row>
    <row r="46" spans="1:17" ht="15.75" x14ac:dyDescent="0.25">
      <c r="A46" s="116" t="s">
        <v>63</v>
      </c>
      <c r="B46" s="39"/>
      <c r="C46" s="45"/>
      <c r="D46" s="45"/>
      <c r="E46" s="45"/>
      <c r="F46" s="45"/>
      <c r="G46" s="45"/>
      <c r="H46" s="46"/>
      <c r="I46" s="45"/>
      <c r="J46" s="45"/>
      <c r="K46" s="45"/>
      <c r="L46" s="45"/>
      <c r="M46" s="45"/>
      <c r="N46" s="45"/>
      <c r="O46" s="118"/>
      <c r="P46" s="118"/>
      <c r="Q46" s="118"/>
    </row>
    <row r="47" spans="1:17" ht="15.75" x14ac:dyDescent="0.25">
      <c r="A47" s="117"/>
      <c r="B47" s="39"/>
      <c r="C47" s="45"/>
      <c r="D47" s="45"/>
      <c r="E47" s="45"/>
      <c r="F47" s="45"/>
      <c r="G47" s="45"/>
      <c r="H47" s="46"/>
      <c r="I47" s="45"/>
      <c r="J47" s="45"/>
      <c r="K47" s="45"/>
      <c r="L47" s="45"/>
      <c r="M47" s="45"/>
      <c r="N47" s="45"/>
      <c r="O47" s="118"/>
      <c r="P47" s="118">
        <f t="shared" ref="P47" si="11">SUM(C47:N47)</f>
        <v>0</v>
      </c>
      <c r="Q47" s="118"/>
    </row>
    <row r="49" spans="1:19" ht="15.75" x14ac:dyDescent="0.25">
      <c r="A49" s="119" t="s">
        <v>79</v>
      </c>
      <c r="C49" s="120">
        <f t="shared" ref="C49:N49" si="12">SUM(C47:C48)</f>
        <v>0</v>
      </c>
      <c r="D49" s="120">
        <f t="shared" si="12"/>
        <v>0</v>
      </c>
      <c r="E49" s="120">
        <f t="shared" si="12"/>
        <v>0</v>
      </c>
      <c r="F49" s="120">
        <f t="shared" si="12"/>
        <v>0</v>
      </c>
      <c r="G49" s="120">
        <f t="shared" si="12"/>
        <v>0</v>
      </c>
      <c r="H49" s="120">
        <f t="shared" si="12"/>
        <v>0</v>
      </c>
      <c r="I49" s="120">
        <f t="shared" si="12"/>
        <v>0</v>
      </c>
      <c r="J49" s="120">
        <f t="shared" si="12"/>
        <v>0</v>
      </c>
      <c r="K49" s="120">
        <f t="shared" si="12"/>
        <v>0</v>
      </c>
      <c r="L49" s="120">
        <f t="shared" si="12"/>
        <v>0</v>
      </c>
      <c r="M49" s="120">
        <f t="shared" si="12"/>
        <v>0</v>
      </c>
      <c r="N49" s="120">
        <f t="shared" si="12"/>
        <v>0</v>
      </c>
      <c r="P49" s="120">
        <f>SUM(P47:P48)</f>
        <v>0</v>
      </c>
    </row>
    <row r="51" spans="1:19" ht="16.5" thickBot="1" x14ac:dyDescent="0.3">
      <c r="A51" s="128" t="s">
        <v>80</v>
      </c>
      <c r="B51" s="119"/>
      <c r="C51" s="129">
        <f t="shared" ref="C51:N51" si="13">C44+C49</f>
        <v>0</v>
      </c>
      <c r="D51" s="129">
        <f t="shared" si="13"/>
        <v>0</v>
      </c>
      <c r="E51" s="129">
        <f t="shared" si="13"/>
        <v>0</v>
      </c>
      <c r="F51" s="129">
        <f t="shared" si="13"/>
        <v>0</v>
      </c>
      <c r="G51" s="129">
        <f t="shared" si="13"/>
        <v>0</v>
      </c>
      <c r="H51" s="129">
        <f t="shared" si="13"/>
        <v>0</v>
      </c>
      <c r="I51" s="129">
        <f t="shared" si="13"/>
        <v>0</v>
      </c>
      <c r="J51" s="129">
        <f t="shared" si="13"/>
        <v>-5723.4400000000005</v>
      </c>
      <c r="K51" s="129">
        <f t="shared" si="13"/>
        <v>0</v>
      </c>
      <c r="L51" s="129">
        <f t="shared" si="13"/>
        <v>0</v>
      </c>
      <c r="M51" s="129">
        <f t="shared" si="13"/>
        <v>0</v>
      </c>
      <c r="N51" s="129">
        <f t="shared" si="13"/>
        <v>0</v>
      </c>
      <c r="P51" s="129">
        <f>P44+P49</f>
        <v>-5723.4400000000005</v>
      </c>
      <c r="Q51" s="121"/>
      <c r="R51" s="130">
        <v>-5723.4400000000005</v>
      </c>
      <c r="S51" s="129">
        <f>P51-R51</f>
        <v>0</v>
      </c>
    </row>
    <row r="52" spans="1:19" ht="15.75" thickTop="1" x14ac:dyDescent="0.25"/>
  </sheetData>
  <pageMargins left="0.7" right="0.7" top="0.75" bottom="0.75" header="0.3" footer="0.3"/>
  <pageSetup paperSize="17"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Workpaper page 1</vt:lpstr>
      <vt:lpstr>Workpaper page 2</vt:lpstr>
      <vt:lpstr>Workpaper page 3_CWIP</vt:lpstr>
      <vt:lpstr>Workpaper page 3_In Service</vt:lpstr>
      <vt:lpstr>Workpaper page 4</vt:lpstr>
      <vt:lpstr>'Workpaper page 1'!Print_Area</vt:lpstr>
      <vt:lpstr>'Workpaper page 2'!Print_Area</vt:lpstr>
      <vt:lpstr>'Workpaper page 3_CWIP'!Print_Area</vt:lpstr>
      <vt:lpstr>'Workpaper page 3_In Service'!Print_Area</vt:lpstr>
      <vt:lpstr>'Workpaper page 4'!Print_Area</vt:lpstr>
    </vt:vector>
  </TitlesOfParts>
  <Company>GDS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Smith</dc:creator>
  <cp:lastModifiedBy>Shelton, Rebecca L.</cp:lastModifiedBy>
  <cp:lastPrinted>2020-05-15T14:24:00Z</cp:lastPrinted>
  <dcterms:created xsi:type="dcterms:W3CDTF">2007-06-27T15:47:51Z</dcterms:created>
  <dcterms:modified xsi:type="dcterms:W3CDTF">2020-05-15T14:24:05Z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