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DPL/2021/"/>
    </mc:Choice>
  </mc:AlternateContent>
  <xr:revisionPtr revIDLastSave="0" documentId="8_{6ED71CCF-7733-459F-930D-4A9245ED37D9}" xr6:coauthVersionLast="45" xr6:coauthVersionMax="45" xr10:uidLastSave="{00000000-0000-0000-0000-000000000000}"/>
  <bookViews>
    <workbookView xWindow="1780" yWindow="1780" windowWidth="14400" windowHeight="7360" tabRatio="913" xr2:uid="{00000000-000D-0000-FFFF-FFFF00000000}"/>
  </bookViews>
  <sheets>
    <sheet name="ATT H-3D" sheetId="1" r:id="rId1"/>
    <sheet name="1A - ADIT Summary" sheetId="49" r:id="rId2"/>
    <sheet name="1B - ADIT EOY" sheetId="50" r:id="rId3"/>
    <sheet name="1C - ADIT BOY" sheetId="51" r:id="rId4"/>
    <sheet name="1D - ADIT Rate Base Adjustment" sheetId="52" r:id="rId5"/>
    <sheet name="1E - EDIT Amortization" sheetId="53" r:id="rId6"/>
    <sheet name="1F - ADIT Remeasurement" sheetId="54" r:id="rId7"/>
    <sheet name="2 - Other Tax" sheetId="5" r:id="rId8"/>
    <sheet name="3 - Revenue Credits" sheetId="7" r:id="rId9"/>
    <sheet name="4 - 100 Basis Pt ROE" sheetId="8" r:id="rId10"/>
    <sheet name="5 - Cost Support 1" sheetId="9" r:id="rId11"/>
    <sheet name="5a Affiliate Allocations" sheetId="10" r:id="rId12"/>
    <sheet name="5b EBSC Affiliate Allocations" sheetId="31" r:id="rId13"/>
    <sheet name="6-Project Rev Req" sheetId="12" r:id="rId14"/>
    <sheet name="6A-Project True-up" sheetId="13" r:id="rId15"/>
    <sheet name="6B - True-Up Interest " sheetId="14" r:id="rId16"/>
    <sheet name="7 - Cap Add WS" sheetId="48" r:id="rId17"/>
    <sheet name="8 - Securitization" sheetId="16" r:id="rId18"/>
    <sheet name="9 - Rate Base" sheetId="17" r:id="rId19"/>
    <sheet name="9A - Gross Plant &amp; ARO" sheetId="18" r:id="rId20"/>
    <sheet name="10 - Merger Costs" sheetId="19" r:id="rId21"/>
    <sheet name="11A - O&amp;M" sheetId="32" r:id="rId22"/>
    <sheet name="11B - A&amp;G" sheetId="33" r:id="rId23"/>
    <sheet name="12- Depreciation Rates" sheetId="34"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0" localSheetId="14">#REF!</definedName>
    <definedName name="\0" localSheetId="15">#REF!</definedName>
    <definedName name="\0" localSheetId="16">#REF!</definedName>
    <definedName name="\0">#REF!</definedName>
    <definedName name="\1">'[1]Header Data'!#REF!</definedName>
    <definedName name="\A" localSheetId="16">#REF!</definedName>
    <definedName name="\A">#REF!</definedName>
    <definedName name="\b">#REF!</definedName>
    <definedName name="\C">#REF!</definedName>
    <definedName name="\D">#REF!</definedName>
    <definedName name="\E">#REF!</definedName>
    <definedName name="\f">[2]IS!#REF!</definedName>
    <definedName name="\G" localSheetId="16">#REF!</definedName>
    <definedName name="\G">#REF!</definedName>
    <definedName name="\H" localSheetId="16">#REF!</definedName>
    <definedName name="\H">#REF!</definedName>
    <definedName name="\I">#REF!</definedName>
    <definedName name="\J">#REF!</definedName>
    <definedName name="\k">[2]IS!#REF!</definedName>
    <definedName name="\L" localSheetId="16">#REF!</definedName>
    <definedName name="\L">#REF!</definedName>
    <definedName name="\M" localSheetId="16">#REF!</definedName>
    <definedName name="\M">#REF!</definedName>
    <definedName name="\N">#REF!</definedName>
    <definedName name="\O">#REF!</definedName>
    <definedName name="\P" localSheetId="16">[3]Assump!#REF!</definedName>
    <definedName name="\P">#REF!</definedName>
    <definedName name="\P2">#REF!</definedName>
    <definedName name="\q">'[4]Curr adj - depn basis diff'!#REF!</definedName>
    <definedName name="\R" localSheetId="16">#REF!</definedName>
    <definedName name="\R">#REF!</definedName>
    <definedName name="\S" localSheetId="16">#REF!</definedName>
    <definedName name="\S">#REF!</definedName>
    <definedName name="\U" localSheetId="16">#REF!</definedName>
    <definedName name="\U">#REF!</definedName>
    <definedName name="\W">#REF!</definedName>
    <definedName name="__________________________DAT1">'[5]Cost Center List'!#REF!</definedName>
    <definedName name="__________________________DAT2">#REF!</definedName>
    <definedName name="__________________________DAT3">#REF!</definedName>
    <definedName name="_________________________DAT1">'[5]Cost Center List'!#REF!</definedName>
    <definedName name="_________________________DAT2">#REF!</definedName>
    <definedName name="_________________________DAT3">#REF!</definedName>
    <definedName name="________________________DAT1">'[5]Cost Center List'!#REF!</definedName>
    <definedName name="________________________DAT2">#REF!</definedName>
    <definedName name="________________________DAT3">#REF!</definedName>
    <definedName name="_______________________DAT1">'[5]Cost Center List'!#REF!</definedName>
    <definedName name="_______________________DAT2">#REF!</definedName>
    <definedName name="_______________________DAT3">#REF!</definedName>
    <definedName name="______________________DAT1">'[5]Cost Center List'!#REF!</definedName>
    <definedName name="______________________DAT2">#REF!</definedName>
    <definedName name="______________________DAT3">#REF!</definedName>
    <definedName name="_____________________DAT1">'[5]Cost Center List'!#REF!</definedName>
    <definedName name="_____________________DAT2">#REF!</definedName>
    <definedName name="_____________________DAT3">#REF!</definedName>
    <definedName name="____________________DAT1">'[5]Cost Center List'!#REF!</definedName>
    <definedName name="____________________DAT2">#REF!</definedName>
    <definedName name="____________________DAT3">#REF!</definedName>
    <definedName name="___________________DAT1">'[5]Cost Center List'!#REF!</definedName>
    <definedName name="___________________DAT2">#REF!</definedName>
    <definedName name="___________________DAT3">#REF!</definedName>
    <definedName name="__________________DAT1">'[5]Cost Center List'!#REF!</definedName>
    <definedName name="__________________DAT2">#REF!</definedName>
    <definedName name="__________________DAT3">#REF!</definedName>
    <definedName name="_________________DAT1">'[5]Cost Center List'!#REF!</definedName>
    <definedName name="_________________DAT2">#REF!</definedName>
    <definedName name="_________________DAT3">#REF!</definedName>
    <definedName name="_________________H1" localSheetId="14">{"'Metretek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'[5]Cost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'[6]Rent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'[5]Cost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'[5]Cost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'[7]YTD Summary'!#REF!</definedName>
    <definedName name="__________DAT1">#REF!</definedName>
    <definedName name="__________DAT10">#REF!</definedName>
    <definedName name="__________DAT11">#REF!</definedName>
    <definedName name="__________dat1111">[8]Sheet1!$G$2:$G$29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'[7]YTD Summary'!#REF!</definedName>
    <definedName name="_________DAT1">#REF!</definedName>
    <definedName name="_________DAT10">#REF!</definedName>
    <definedName name="_________DAT11">#REF!</definedName>
    <definedName name="_________dat1111">[8]Sheet1!$G$2:$G$29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'[7]YTD Summary'!#REF!</definedName>
    <definedName name="________DAT1">#REF!</definedName>
    <definedName name="________DAT10">#REF!</definedName>
    <definedName name="________DAT11">#REF!</definedName>
    <definedName name="________dat1111">[8]Sheet1!$G$2:$G$29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'[9]YTD Summary'!#REF!</definedName>
    <definedName name="________SUM3">'[10]Summ 165_236'!#REF!</definedName>
    <definedName name="________SUM4">'[10]Summ 165_236'!#REF!</definedName>
    <definedName name="_______agr8690">[11]Model!$I$58</definedName>
    <definedName name="_______agr8790">[11]Model!$I$59</definedName>
    <definedName name="_______agr8791">[11]Model!$J$59</definedName>
    <definedName name="_______agr8890">[11]Model!$I$60</definedName>
    <definedName name="_______agr8891">[11]Model!$J$60</definedName>
    <definedName name="_______agr8892">[11]Model!$K$60</definedName>
    <definedName name="_______agr8990">[11]Model!$I$61</definedName>
    <definedName name="_______agr8991">[11]Model!$J$61</definedName>
    <definedName name="_______agr8992">[11]Model!$K$61</definedName>
    <definedName name="_______agr8993">[11]Model!$L$61</definedName>
    <definedName name="_______agr9091">[11]Model!$J$62</definedName>
    <definedName name="_______agr9092">[11]Model!$K$62</definedName>
    <definedName name="_______agr9093">[11]Model!$L$62</definedName>
    <definedName name="_______agr9094">[11]Model!$M$62</definedName>
    <definedName name="_______agr9192">[11]Model!$K$63</definedName>
    <definedName name="_______agr9193">[11]Model!$L$63</definedName>
    <definedName name="_______agr9194">[11]Model!$M$63</definedName>
    <definedName name="_______agr9195">[11]Model!$N$63</definedName>
    <definedName name="_______agr9293">[11]Model!$L$64</definedName>
    <definedName name="_______agr9294">[11]Model!$M$64</definedName>
    <definedName name="_______agr9295">[11]Model!$N$64</definedName>
    <definedName name="_______agr9296">[11]Model!$O$64</definedName>
    <definedName name="_______agr9394">[11]Model!$M$65</definedName>
    <definedName name="_______agr9395">[11]Model!$N$65</definedName>
    <definedName name="_______agr9396">[11]Model!$O$65</definedName>
    <definedName name="_______agr9397">[11]Model!$P$65</definedName>
    <definedName name="_______agr9495">[11]Model!$N$66</definedName>
    <definedName name="_______agr9496">[11]Model!$O$66</definedName>
    <definedName name="_______agr9497">[11]Model!$P$66</definedName>
    <definedName name="_______agr9498">[11]Model!$Q$66</definedName>
    <definedName name="_______agr9596">[11]Model!$O$67</definedName>
    <definedName name="_______agr9597">[11]Model!$P$67</definedName>
    <definedName name="_______agr9598">[11]Model!$Q$67</definedName>
    <definedName name="_______agr9697">[11]Model!$P$68</definedName>
    <definedName name="_______agr9698">[11]Model!$Q$68</definedName>
    <definedName name="_______agr9798">[11]Model!$Q$69</definedName>
    <definedName name="_______DAT1">#REF!</definedName>
    <definedName name="_______DAT10">#REF!</definedName>
    <definedName name="_______DAT11">#REF!</definedName>
    <definedName name="_______dat1111">[8]Sheet1!$G$2:$G$29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'[11]QRE''s'!$D$1:$D$65536</definedName>
    <definedName name="_______qre8490">[11]Model!$I$126</definedName>
    <definedName name="_______qre8491">[11]Model!$J$126</definedName>
    <definedName name="_______qre8492">[11]Model!$K$126</definedName>
    <definedName name="_______qre8493">[11]Model!$L$126</definedName>
    <definedName name="_______qre8494">[11]Model!$M$126</definedName>
    <definedName name="_______qre8495">[11]Model!$N$126</definedName>
    <definedName name="_______qre8496">[11]Model!$O$126</definedName>
    <definedName name="_______qre8497">[11]Model!$P$126</definedName>
    <definedName name="_______qre8498">[11]Model!$Q$126</definedName>
    <definedName name="_______qre85">'[11]QRE''s'!$E$1:$E$65536</definedName>
    <definedName name="_______qre8590">[11]Model!$I$127</definedName>
    <definedName name="_______qre8591">[11]Model!$J$127</definedName>
    <definedName name="_______qre8592">[11]Model!$K$127</definedName>
    <definedName name="_______qre8593">[11]Model!$L$127</definedName>
    <definedName name="_______qre8594">[11]Model!$M$127</definedName>
    <definedName name="_______qre8595">[11]Model!$N$127</definedName>
    <definedName name="_______qre8596">[11]Model!$O$127</definedName>
    <definedName name="_______qre8597">[11]Model!$P$127</definedName>
    <definedName name="_______qre8598">[11]Model!$Q$127</definedName>
    <definedName name="_______qre86">'[11]QRE''s'!$F$1:$F$65536</definedName>
    <definedName name="_______qre8690">[11]Model!$I$128</definedName>
    <definedName name="_______qre8691">[11]Model!$J$128</definedName>
    <definedName name="_______qre8692">[11]Model!$K$128</definedName>
    <definedName name="_______qre8693">[11]Model!$L$128</definedName>
    <definedName name="_______qre8694">[11]Model!$M$128</definedName>
    <definedName name="_______qre8695">[11]Model!$N$128</definedName>
    <definedName name="_______qre8696">[11]Model!$O$128</definedName>
    <definedName name="_______qre8697">[11]Model!$P$128</definedName>
    <definedName name="_______qre8698">[11]Model!$Q$128</definedName>
    <definedName name="_______qre87">'[11]QRE''s'!$G$1:$G$65536</definedName>
    <definedName name="_______qre8790">[11]Model!$I$129</definedName>
    <definedName name="_______qre8791">[11]Model!$J$129</definedName>
    <definedName name="_______qre8792">[11]Model!$K$129</definedName>
    <definedName name="_______qre8793">[11]Model!$L$129</definedName>
    <definedName name="_______qre8794">[11]Model!$M$129</definedName>
    <definedName name="_______qre8795">[11]Model!$N$129</definedName>
    <definedName name="_______qre8796">[11]Model!$O$129</definedName>
    <definedName name="_______qre8797">[11]Model!$P$129</definedName>
    <definedName name="_______qre8798">[11]Model!$Q$129</definedName>
    <definedName name="_______qre88">'[11]QRE''s'!$H$1:$H$65536</definedName>
    <definedName name="_______qre8890">[11]Model!$I$130</definedName>
    <definedName name="_______qre8891">[11]Model!$J$130</definedName>
    <definedName name="_______qre8892">[11]Model!$K$130</definedName>
    <definedName name="_______qre8893">[11]Model!$L$130</definedName>
    <definedName name="_______qre8894">[11]Model!$M$130</definedName>
    <definedName name="_______qre8895">[11]Model!$N$130</definedName>
    <definedName name="_______qre8896">[11]Model!$O$130</definedName>
    <definedName name="_______qre8897">[11]Model!$P$130</definedName>
    <definedName name="_______qre8898">[11]Model!$Q$130</definedName>
    <definedName name="_______qre89">'[11]QRE''s'!$I$1:$I$65536</definedName>
    <definedName name="_______qre90">'[11]QRE''s'!$J$1:$J$65536</definedName>
    <definedName name="_______qre91">'[11]QRE''s'!$K$1:$K$65536</definedName>
    <definedName name="_______qre92">'[11]QRE''s'!$L$1:$L$65536</definedName>
    <definedName name="_______qre93">'[11]QRE''s'!$M$1:$M$65536</definedName>
    <definedName name="_______qre94">'[11]QRE''s'!$N$1:$N$65536</definedName>
    <definedName name="_______qre95">'[11]QRE''s'!$O$1:$O$65536</definedName>
    <definedName name="_______qre96">'[11]QRE''s'!$P$1:$P$65536</definedName>
    <definedName name="_______qre97">'[11]QRE''s'!$Q$1:$Q$65536</definedName>
    <definedName name="_______qre98">'[11]QRE''s'!$R$1:$R$65536</definedName>
    <definedName name="_______SUM282">'[7]YTD Summary'!#REF!</definedName>
    <definedName name="_______SUM3">'[10]Summ 165_236'!#REF!</definedName>
    <definedName name="_______SUM4">'[10]Summ 165_236'!#REF!</definedName>
    <definedName name="_______tqc90">'[11]QRE''s'!$J$101</definedName>
    <definedName name="_______tqc91">'[11]QRE''s'!$K$101</definedName>
    <definedName name="_______tqc92">'[11]QRE''s'!$L$101</definedName>
    <definedName name="_______tqc93">'[11]QRE''s'!$M$101</definedName>
    <definedName name="_______tqc94">'[11]QRE''s'!$N$101</definedName>
    <definedName name="_______tqc95">'[11]QRE''s'!$O$101</definedName>
    <definedName name="_______tqc96">'[11]QRE''s'!$P$101</definedName>
    <definedName name="_______tqc97">'[11]QRE''s'!$Q$101</definedName>
    <definedName name="_______tqc98">'[11]QRE''s'!$R$101</definedName>
    <definedName name="_______tql90">'[11]QRE''s'!$J$99</definedName>
    <definedName name="_______tql91">'[11]QRE''s'!$K$99</definedName>
    <definedName name="_______tql92">'[11]QRE''s'!$L$99</definedName>
    <definedName name="_______tql93">'[11]QRE''s'!$M$99</definedName>
    <definedName name="_______tql94">'[11]QRE''s'!$N$99</definedName>
    <definedName name="_______tql95">'[11]QRE''s'!$O$99</definedName>
    <definedName name="_______tql96">'[11]QRE''s'!$P$99</definedName>
    <definedName name="_______tql97">'[11]QRE''s'!$Q$99</definedName>
    <definedName name="_______tql98">'[11]QRE''s'!$R$99</definedName>
    <definedName name="_______tqs90">'[11]QRE''s'!$J$100</definedName>
    <definedName name="_______tqs91">'[11]QRE''s'!$K$100</definedName>
    <definedName name="_______tqs92">'[11]QRE''s'!$L$100</definedName>
    <definedName name="_______tqs93">'[11]QRE''s'!$M$100</definedName>
    <definedName name="_______tqs94">'[11]QRE''s'!$N$100</definedName>
    <definedName name="_______tqs95">'[11]QRE''s'!$O$100</definedName>
    <definedName name="_______tqs96">'[11]QRE''s'!$P$100</definedName>
    <definedName name="_______tqs97">'[11]QRE''s'!$Q$100</definedName>
    <definedName name="_______tqs98">'[11]QRE''s'!$R$100</definedName>
    <definedName name="______agr8690">[11]Model!$I$58</definedName>
    <definedName name="______agr8790">[11]Model!$I$59</definedName>
    <definedName name="______agr8791">[11]Model!$J$59</definedName>
    <definedName name="______agr8890">[11]Model!$I$60</definedName>
    <definedName name="______agr8891">[11]Model!$J$60</definedName>
    <definedName name="______agr8892">[11]Model!$K$60</definedName>
    <definedName name="______agr8990">[11]Model!$I$61</definedName>
    <definedName name="______agr8991">[11]Model!$J$61</definedName>
    <definedName name="______agr8992">[11]Model!$K$61</definedName>
    <definedName name="______agr8993">[11]Model!$L$61</definedName>
    <definedName name="______agr9091">[11]Model!$J$62</definedName>
    <definedName name="______agr9092">[11]Model!$K$62</definedName>
    <definedName name="______agr9093">[11]Model!$L$62</definedName>
    <definedName name="______agr9094">[11]Model!$M$62</definedName>
    <definedName name="______agr9192">[11]Model!$K$63</definedName>
    <definedName name="______agr9193">[11]Model!$L$63</definedName>
    <definedName name="______agr9194">[11]Model!$M$63</definedName>
    <definedName name="______agr9195">[11]Model!$N$63</definedName>
    <definedName name="______agr9293">[11]Model!$L$64</definedName>
    <definedName name="______agr9294">[11]Model!$M$64</definedName>
    <definedName name="______agr9295">[11]Model!$N$64</definedName>
    <definedName name="______agr9296">[11]Model!$O$64</definedName>
    <definedName name="______agr9394">[11]Model!$M$65</definedName>
    <definedName name="______agr9395">[11]Model!$N$65</definedName>
    <definedName name="______agr9396">[11]Model!$O$65</definedName>
    <definedName name="______agr9397">[11]Model!$P$65</definedName>
    <definedName name="______agr9495">[11]Model!$N$66</definedName>
    <definedName name="______agr9496">[11]Model!$O$66</definedName>
    <definedName name="______agr9497">[11]Model!$P$66</definedName>
    <definedName name="______agr9498">[11]Model!$Q$66</definedName>
    <definedName name="______agr9596">[11]Model!$O$67</definedName>
    <definedName name="______agr9597">[11]Model!$P$67</definedName>
    <definedName name="______agr9598">[11]Model!$Q$67</definedName>
    <definedName name="______agr9697">[11]Model!$P$68</definedName>
    <definedName name="______agr9698">[11]Model!$Q$68</definedName>
    <definedName name="______agr9798">[11]Model!$Q$69</definedName>
    <definedName name="______DAT1">#REF!</definedName>
    <definedName name="______DAT10">#REF!</definedName>
    <definedName name="______DAT11">#REF!</definedName>
    <definedName name="______dat1111">[8]Sheet1!$G$2:$G$29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14">{"'Metretek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'[11]QRE''s'!$D$1:$D$65536</definedName>
    <definedName name="______qre8490">[11]Model!$I$126</definedName>
    <definedName name="______qre8491">[11]Model!$J$126</definedName>
    <definedName name="______qre8492">[11]Model!$K$126</definedName>
    <definedName name="______qre8493">[11]Model!$L$126</definedName>
    <definedName name="______qre8494">[11]Model!$M$126</definedName>
    <definedName name="______qre8495">[11]Model!$N$126</definedName>
    <definedName name="______qre8496">[11]Model!$O$126</definedName>
    <definedName name="______qre8497">[11]Model!$P$126</definedName>
    <definedName name="______qre8498">[11]Model!$Q$126</definedName>
    <definedName name="______qre85">'[11]QRE''s'!$E$1:$E$65536</definedName>
    <definedName name="______qre8590">[11]Model!$I$127</definedName>
    <definedName name="______qre8591">[11]Model!$J$127</definedName>
    <definedName name="______qre8592">[11]Model!$K$127</definedName>
    <definedName name="______qre8593">[11]Model!$L$127</definedName>
    <definedName name="______qre8594">[11]Model!$M$127</definedName>
    <definedName name="______qre8595">[11]Model!$N$127</definedName>
    <definedName name="______qre8596">[11]Model!$O$127</definedName>
    <definedName name="______qre8597">[11]Model!$P$127</definedName>
    <definedName name="______qre8598">[11]Model!$Q$127</definedName>
    <definedName name="______qre86">'[11]QRE''s'!$F$1:$F$65536</definedName>
    <definedName name="______qre8690">[11]Model!$I$128</definedName>
    <definedName name="______qre8691">[11]Model!$J$128</definedName>
    <definedName name="______qre8692">[11]Model!$K$128</definedName>
    <definedName name="______qre8693">[11]Model!$L$128</definedName>
    <definedName name="______qre8694">[11]Model!$M$128</definedName>
    <definedName name="______qre8695">[11]Model!$N$128</definedName>
    <definedName name="______qre8696">[11]Model!$O$128</definedName>
    <definedName name="______qre8697">[11]Model!$P$128</definedName>
    <definedName name="______qre8698">[11]Model!$Q$128</definedName>
    <definedName name="______qre87">'[11]QRE''s'!$G$1:$G$65536</definedName>
    <definedName name="______qre8790">[11]Model!$I$129</definedName>
    <definedName name="______qre8791">[11]Model!$J$129</definedName>
    <definedName name="______qre8792">[11]Model!$K$129</definedName>
    <definedName name="______qre8793">[11]Model!$L$129</definedName>
    <definedName name="______qre8794">[11]Model!$M$129</definedName>
    <definedName name="______qre8795">[11]Model!$N$129</definedName>
    <definedName name="______qre8796">[11]Model!$O$129</definedName>
    <definedName name="______qre8797">[11]Model!$P$129</definedName>
    <definedName name="______qre8798">[11]Model!$Q$129</definedName>
    <definedName name="______qre88">'[11]QRE''s'!$H$1:$H$65536</definedName>
    <definedName name="______qre8890">[11]Model!$I$130</definedName>
    <definedName name="______qre8891">[11]Model!$J$130</definedName>
    <definedName name="______qre8892">[11]Model!$K$130</definedName>
    <definedName name="______qre8893">[11]Model!$L$130</definedName>
    <definedName name="______qre8894">[11]Model!$M$130</definedName>
    <definedName name="______qre8895">[11]Model!$N$130</definedName>
    <definedName name="______qre8896">[11]Model!$O$130</definedName>
    <definedName name="______qre8897">[11]Model!$P$130</definedName>
    <definedName name="______qre8898">[11]Model!$Q$130</definedName>
    <definedName name="______qre89">'[11]QRE''s'!$I$1:$I$65536</definedName>
    <definedName name="______qre90">'[11]QRE''s'!$J$1:$J$65536</definedName>
    <definedName name="______qre91">'[11]QRE''s'!$K$1:$K$65536</definedName>
    <definedName name="______qre92">'[11]QRE''s'!$L$1:$L$65536</definedName>
    <definedName name="______qre93">'[11]QRE''s'!$M$1:$M$65536</definedName>
    <definedName name="______qre94">'[11]QRE''s'!$N$1:$N$65536</definedName>
    <definedName name="______qre95">'[11]QRE''s'!$O$1:$O$65536</definedName>
    <definedName name="______qre96">'[11]QRE''s'!$P$1:$P$65536</definedName>
    <definedName name="______qre97">'[11]QRE''s'!$Q$1:$Q$65536</definedName>
    <definedName name="______qre98">'[11]QRE''s'!$R$1:$R$65536</definedName>
    <definedName name="______SUM282">'[7]YTD Summary'!#REF!</definedName>
    <definedName name="______SUM3">'[10]Summ 165_236'!#REF!</definedName>
    <definedName name="______SUM4">'[10]Summ 165_236'!#REF!</definedName>
    <definedName name="______tqc90">'[11]QRE''s'!$J$101</definedName>
    <definedName name="______tqc91">'[11]QRE''s'!$K$101</definedName>
    <definedName name="______tqc92">'[11]QRE''s'!$L$101</definedName>
    <definedName name="______tqc93">'[11]QRE''s'!$M$101</definedName>
    <definedName name="______tqc94">'[11]QRE''s'!$N$101</definedName>
    <definedName name="______tqc95">'[11]QRE''s'!$O$101</definedName>
    <definedName name="______tqc96">'[11]QRE''s'!$P$101</definedName>
    <definedName name="______tqc97">'[11]QRE''s'!$Q$101</definedName>
    <definedName name="______tqc98">'[11]QRE''s'!$R$101</definedName>
    <definedName name="______tql90">'[11]QRE''s'!$J$99</definedName>
    <definedName name="______tql91">'[11]QRE''s'!$K$99</definedName>
    <definedName name="______tql92">'[11]QRE''s'!$L$99</definedName>
    <definedName name="______tql93">'[11]QRE''s'!$M$99</definedName>
    <definedName name="______tql94">'[11]QRE''s'!$N$99</definedName>
    <definedName name="______tql95">'[11]QRE''s'!$O$99</definedName>
    <definedName name="______tql96">'[11]QRE''s'!$P$99</definedName>
    <definedName name="______tql97">'[11]QRE''s'!$Q$99</definedName>
    <definedName name="______tql98">'[11]QRE''s'!$R$99</definedName>
    <definedName name="______tqs90">'[11]QRE''s'!$J$100</definedName>
    <definedName name="______tqs91">'[11]QRE''s'!$K$100</definedName>
    <definedName name="______tqs92">'[11]QRE''s'!$L$100</definedName>
    <definedName name="______tqs93">'[11]QRE''s'!$M$100</definedName>
    <definedName name="______tqs94">'[11]QRE''s'!$N$100</definedName>
    <definedName name="______tqs95">'[11]QRE''s'!$O$100</definedName>
    <definedName name="______tqs96">'[11]QRE''s'!$P$100</definedName>
    <definedName name="______tqs97">'[11]QRE''s'!$Q$100</definedName>
    <definedName name="______tqs98">'[11]QRE''s'!$R$100</definedName>
    <definedName name="_____agr8690">[11]Model!$I$58</definedName>
    <definedName name="_____agr8790">[11]Model!$I$59</definedName>
    <definedName name="_____agr8791">[11]Model!$J$59</definedName>
    <definedName name="_____agr8890">[11]Model!$I$60</definedName>
    <definedName name="_____agr8891">[11]Model!$J$60</definedName>
    <definedName name="_____agr8892">[11]Model!$K$60</definedName>
    <definedName name="_____agr8990">[11]Model!$I$61</definedName>
    <definedName name="_____agr8991">[11]Model!$J$61</definedName>
    <definedName name="_____agr8992">[11]Model!$K$61</definedName>
    <definedName name="_____agr8993">[11]Model!$L$61</definedName>
    <definedName name="_____agr9091">[11]Model!$J$62</definedName>
    <definedName name="_____agr9092">[11]Model!$K$62</definedName>
    <definedName name="_____agr9093">[11]Model!$L$62</definedName>
    <definedName name="_____agr9094">[11]Model!$M$62</definedName>
    <definedName name="_____agr9192">[11]Model!$K$63</definedName>
    <definedName name="_____agr9193">[11]Model!$L$63</definedName>
    <definedName name="_____agr9194">[11]Model!$M$63</definedName>
    <definedName name="_____agr9195">[11]Model!$N$63</definedName>
    <definedName name="_____agr9293">[11]Model!$L$64</definedName>
    <definedName name="_____agr9294">[11]Model!$M$64</definedName>
    <definedName name="_____agr9295">[11]Model!$N$64</definedName>
    <definedName name="_____agr9296">[11]Model!$O$64</definedName>
    <definedName name="_____agr9394">[11]Model!$M$65</definedName>
    <definedName name="_____agr9395">[11]Model!$N$65</definedName>
    <definedName name="_____agr9396">[11]Model!$O$65</definedName>
    <definedName name="_____agr9397">[11]Model!$P$65</definedName>
    <definedName name="_____agr9495">[11]Model!$N$66</definedName>
    <definedName name="_____agr9496">[11]Model!$O$66</definedName>
    <definedName name="_____agr9497">[11]Model!$P$66</definedName>
    <definedName name="_____agr9498">[11]Model!$Q$66</definedName>
    <definedName name="_____agr9596">[11]Model!$O$67</definedName>
    <definedName name="_____agr9597">[11]Model!$P$67</definedName>
    <definedName name="_____agr9598">[11]Model!$Q$67</definedName>
    <definedName name="_____agr9697">[11]Model!$P$68</definedName>
    <definedName name="_____agr9698">[11]Model!$Q$68</definedName>
    <definedName name="_____agr9798">[11]Model!$Q$69</definedName>
    <definedName name="_____DAT1">'[12]Cost Center List'!#REF!</definedName>
    <definedName name="_____DAT10">#REF!</definedName>
    <definedName name="_____DAT11">#REF!</definedName>
    <definedName name="_____dat1111">[8]Sheet1!$G$2:$G$29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6">#REF!</definedName>
    <definedName name="_____DGO2003">#REF!</definedName>
    <definedName name="_____DGO2004" localSheetId="16">#REF!</definedName>
    <definedName name="_____DGO2004">#REF!</definedName>
    <definedName name="_____DGO2005" localSheetId="16">#REF!</definedName>
    <definedName name="_____DGO2005">#REF!</definedName>
    <definedName name="_____DGO2006">#REF!</definedName>
    <definedName name="_____DGO2007">#REF!</definedName>
    <definedName name="_____DGO2008">#REF!</definedName>
    <definedName name="_____H1" localSheetId="14">{"'Metretek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'[13]JE 120 Jan-Nov Facesheet'!#REF!</definedName>
    <definedName name="_____JE220" localSheetId="16">#REF!</definedName>
    <definedName name="_____JE220">#REF!</definedName>
    <definedName name="_____JE230" localSheetId="16">#REF!</definedName>
    <definedName name="_____JE230">#REF!</definedName>
    <definedName name="_____JE234" localSheetId="16">#REF!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'[11]QRE''s'!$D$1:$D$65536</definedName>
    <definedName name="_____qre8490">[11]Model!$I$126</definedName>
    <definedName name="_____qre8491">[11]Model!$J$126</definedName>
    <definedName name="_____qre8492">[11]Model!$K$126</definedName>
    <definedName name="_____qre8493">[11]Model!$L$126</definedName>
    <definedName name="_____qre8494">[11]Model!$M$126</definedName>
    <definedName name="_____qre8495">[11]Model!$N$126</definedName>
    <definedName name="_____qre8496">[11]Model!$O$126</definedName>
    <definedName name="_____qre8497">[11]Model!$P$126</definedName>
    <definedName name="_____qre8498">[11]Model!$Q$126</definedName>
    <definedName name="_____qre85">'[11]QRE''s'!$E$1:$E$65536</definedName>
    <definedName name="_____qre8590">[11]Model!$I$127</definedName>
    <definedName name="_____qre8591">[11]Model!$J$127</definedName>
    <definedName name="_____qre8592">[11]Model!$K$127</definedName>
    <definedName name="_____qre8593">[11]Model!$L$127</definedName>
    <definedName name="_____qre8594">[11]Model!$M$127</definedName>
    <definedName name="_____qre8595">[11]Model!$N$127</definedName>
    <definedName name="_____qre8596">[11]Model!$O$127</definedName>
    <definedName name="_____qre8597">[11]Model!$P$127</definedName>
    <definedName name="_____qre8598">[11]Model!$Q$127</definedName>
    <definedName name="_____qre86">'[11]QRE''s'!$F$1:$F$65536</definedName>
    <definedName name="_____qre8690">[11]Model!$I$128</definedName>
    <definedName name="_____qre8691">[11]Model!$J$128</definedName>
    <definedName name="_____qre8692">[11]Model!$K$128</definedName>
    <definedName name="_____qre8693">[11]Model!$L$128</definedName>
    <definedName name="_____qre8694">[11]Model!$M$128</definedName>
    <definedName name="_____qre8695">[11]Model!$N$128</definedName>
    <definedName name="_____qre8696">[11]Model!$O$128</definedName>
    <definedName name="_____qre8697">[11]Model!$P$128</definedName>
    <definedName name="_____qre8698">[11]Model!$Q$128</definedName>
    <definedName name="_____qre87">'[11]QRE''s'!$G$1:$G$65536</definedName>
    <definedName name="_____qre8790">[11]Model!$I$129</definedName>
    <definedName name="_____qre8791">[11]Model!$J$129</definedName>
    <definedName name="_____qre8792">[11]Model!$K$129</definedName>
    <definedName name="_____qre8793">[11]Model!$L$129</definedName>
    <definedName name="_____qre8794">[11]Model!$M$129</definedName>
    <definedName name="_____qre8795">[11]Model!$N$129</definedName>
    <definedName name="_____qre8796">[11]Model!$O$129</definedName>
    <definedName name="_____qre8797">[11]Model!$P$129</definedName>
    <definedName name="_____qre8798">[11]Model!$Q$129</definedName>
    <definedName name="_____qre88">'[11]QRE''s'!$H$1:$H$65536</definedName>
    <definedName name="_____qre8890">[11]Model!$I$130</definedName>
    <definedName name="_____qre8891">[11]Model!$J$130</definedName>
    <definedName name="_____qre8892">[11]Model!$K$130</definedName>
    <definedName name="_____qre8893">[11]Model!$L$130</definedName>
    <definedName name="_____qre8894">[11]Model!$M$130</definedName>
    <definedName name="_____qre8895">[11]Model!$N$130</definedName>
    <definedName name="_____qre8896">[11]Model!$O$130</definedName>
    <definedName name="_____qre8897">[11]Model!$P$130</definedName>
    <definedName name="_____qre8898">[11]Model!$Q$130</definedName>
    <definedName name="_____qre89">'[11]QRE''s'!$I$1:$I$65536</definedName>
    <definedName name="_____qre90">'[11]QRE''s'!$J$1:$J$65536</definedName>
    <definedName name="_____qre91">'[11]QRE''s'!$K$1:$K$65536</definedName>
    <definedName name="_____qre92">'[11]QRE''s'!$L$1:$L$65536</definedName>
    <definedName name="_____qre93">'[11]QRE''s'!$M$1:$M$65536</definedName>
    <definedName name="_____qre94">'[11]QRE''s'!$N$1:$N$65536</definedName>
    <definedName name="_____qre95">'[11]QRE''s'!$O$1:$O$65536</definedName>
    <definedName name="_____qre96">'[11]QRE''s'!$P$1:$P$65536</definedName>
    <definedName name="_____qre97">'[11]QRE''s'!$Q$1:$Q$65536</definedName>
    <definedName name="_____qre98">'[11]QRE''s'!$R$1:$R$65536</definedName>
    <definedName name="_____SUM282">'[7]YTD Summary'!#REF!</definedName>
    <definedName name="_____SUM3">'[14]Summ 165_236'!#REF!</definedName>
    <definedName name="_____SUM4">'[14]Summ 165_236'!#REF!</definedName>
    <definedName name="_____tqc90">'[11]QRE''s'!$J$101</definedName>
    <definedName name="_____tqc91">'[11]QRE''s'!$K$101</definedName>
    <definedName name="_____tqc92">'[11]QRE''s'!$L$101</definedName>
    <definedName name="_____tqc93">'[11]QRE''s'!$M$101</definedName>
    <definedName name="_____tqc94">'[11]QRE''s'!$N$101</definedName>
    <definedName name="_____tqc95">'[11]QRE''s'!$O$101</definedName>
    <definedName name="_____tqc96">'[11]QRE''s'!$P$101</definedName>
    <definedName name="_____tqc97">'[11]QRE''s'!$Q$101</definedName>
    <definedName name="_____tqc98">'[11]QRE''s'!$R$101</definedName>
    <definedName name="_____tql90">'[11]QRE''s'!$J$99</definedName>
    <definedName name="_____tql91">'[11]QRE''s'!$K$99</definedName>
    <definedName name="_____tql92">'[11]QRE''s'!$L$99</definedName>
    <definedName name="_____tql93">'[11]QRE''s'!$M$99</definedName>
    <definedName name="_____tql94">'[11]QRE''s'!$N$99</definedName>
    <definedName name="_____tql95">'[11]QRE''s'!$O$99</definedName>
    <definedName name="_____tql96">'[11]QRE''s'!$P$99</definedName>
    <definedName name="_____tql97">'[11]QRE''s'!$Q$99</definedName>
    <definedName name="_____tql98">'[11]QRE''s'!$R$99</definedName>
    <definedName name="_____tqs90">'[11]QRE''s'!$J$100</definedName>
    <definedName name="_____tqs91">'[11]QRE''s'!$K$100</definedName>
    <definedName name="_____tqs92">'[11]QRE''s'!$L$100</definedName>
    <definedName name="_____tqs93">'[11]QRE''s'!$M$100</definedName>
    <definedName name="_____tqs94">'[11]QRE''s'!$N$100</definedName>
    <definedName name="_____tqs95">'[11]QRE''s'!$O$100</definedName>
    <definedName name="_____tqs96">'[11]QRE''s'!$P$100</definedName>
    <definedName name="_____tqs97">'[11]QRE''s'!$Q$100</definedName>
    <definedName name="_____tqs98">'[11]QRE''s'!$R$100</definedName>
    <definedName name="____agr8690">[11]Model!$I$58</definedName>
    <definedName name="____agr8790">[11]Model!$I$59</definedName>
    <definedName name="____agr8791">[11]Model!$J$59</definedName>
    <definedName name="____agr8890">[11]Model!$I$60</definedName>
    <definedName name="____agr8891">[11]Model!$J$60</definedName>
    <definedName name="____agr8892">[11]Model!$K$60</definedName>
    <definedName name="____agr8990">[11]Model!$I$61</definedName>
    <definedName name="____agr8991">[11]Model!$J$61</definedName>
    <definedName name="____agr8992">[11]Model!$K$61</definedName>
    <definedName name="____agr8993">[11]Model!$L$61</definedName>
    <definedName name="____agr9091">[11]Model!$J$62</definedName>
    <definedName name="____agr9092">[11]Model!$K$62</definedName>
    <definedName name="____agr9093">[11]Model!$L$62</definedName>
    <definedName name="____agr9094">[11]Model!$M$62</definedName>
    <definedName name="____agr9192">[11]Model!$K$63</definedName>
    <definedName name="____agr9193">[11]Model!$L$63</definedName>
    <definedName name="____agr9194">[11]Model!$M$63</definedName>
    <definedName name="____agr9195">[11]Model!$N$63</definedName>
    <definedName name="____agr9293">[11]Model!$L$64</definedName>
    <definedName name="____agr9294">[11]Model!$M$64</definedName>
    <definedName name="____agr9295">[11]Model!$N$64</definedName>
    <definedName name="____agr9296">[11]Model!$O$64</definedName>
    <definedName name="____agr9394">[11]Model!$M$65</definedName>
    <definedName name="____agr9395">[11]Model!$N$65</definedName>
    <definedName name="____agr9396">[11]Model!$O$65</definedName>
    <definedName name="____agr9397">[11]Model!$P$65</definedName>
    <definedName name="____agr9495">[11]Model!$N$66</definedName>
    <definedName name="____agr9496">[11]Model!$O$66</definedName>
    <definedName name="____agr9497">[11]Model!$P$66</definedName>
    <definedName name="____agr9498">[11]Model!$Q$66</definedName>
    <definedName name="____agr9596">[11]Model!$O$67</definedName>
    <definedName name="____agr9597">[11]Model!$P$67</definedName>
    <definedName name="____agr9598">[11]Model!$Q$67</definedName>
    <definedName name="____agr9697">[11]Model!$P$68</definedName>
    <definedName name="____agr9698">[11]Model!$Q$68</definedName>
    <definedName name="____agr9798">[11]Model!$Q$69</definedName>
    <definedName name="____DAT1" localSheetId="16">#REF!</definedName>
    <definedName name="____DAT1">#REF!</definedName>
    <definedName name="____DAT10">#REF!</definedName>
    <definedName name="____DAT11">#REF!</definedName>
    <definedName name="____dat1111">[8]Sheet1!$G$2:$G$29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6">#REF!</definedName>
    <definedName name="____DAT2">#REF!</definedName>
    <definedName name="____DAT3" localSheetId="16">#REF!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14">{"'Metretek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'[13]JE 120 Jan-Nov Facesheet'!#REF!</definedName>
    <definedName name="____JE220" localSheetId="16">#REF!</definedName>
    <definedName name="____JE220">#REF!</definedName>
    <definedName name="____JE230" localSheetId="16">#REF!</definedName>
    <definedName name="____JE230">#REF!</definedName>
    <definedName name="____JE234" localSheetId="16">#REF!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'[11]QRE''s'!$D$1:$D$65536</definedName>
    <definedName name="____qre8490">[11]Model!$I$126</definedName>
    <definedName name="____qre8491">[11]Model!$J$126</definedName>
    <definedName name="____qre8492">[11]Model!$K$126</definedName>
    <definedName name="____qre8493">[11]Model!$L$126</definedName>
    <definedName name="____qre8494">[11]Model!$M$126</definedName>
    <definedName name="____qre8495">[11]Model!$N$126</definedName>
    <definedName name="____qre8496">[11]Model!$O$126</definedName>
    <definedName name="____qre8497">[11]Model!$P$126</definedName>
    <definedName name="____qre8498">[11]Model!$Q$126</definedName>
    <definedName name="____qre85">'[11]QRE''s'!$E$1:$E$65536</definedName>
    <definedName name="____qre8590">[11]Model!$I$127</definedName>
    <definedName name="____qre8591">[11]Model!$J$127</definedName>
    <definedName name="____qre8592">[11]Model!$K$127</definedName>
    <definedName name="____qre8593">[11]Model!$L$127</definedName>
    <definedName name="____qre8594">[11]Model!$M$127</definedName>
    <definedName name="____qre8595">[11]Model!$N$127</definedName>
    <definedName name="____qre8596">[11]Model!$O$127</definedName>
    <definedName name="____qre8597">[11]Model!$P$127</definedName>
    <definedName name="____qre8598">[11]Model!$Q$127</definedName>
    <definedName name="____qre86">'[11]QRE''s'!$F$1:$F$65536</definedName>
    <definedName name="____qre8690">[11]Model!$I$128</definedName>
    <definedName name="____qre8691">[11]Model!$J$128</definedName>
    <definedName name="____qre8692">[11]Model!$K$128</definedName>
    <definedName name="____qre8693">[11]Model!$L$128</definedName>
    <definedName name="____qre8694">[11]Model!$M$128</definedName>
    <definedName name="____qre8695">[11]Model!$N$128</definedName>
    <definedName name="____qre8696">[11]Model!$O$128</definedName>
    <definedName name="____qre8697">[11]Model!$P$128</definedName>
    <definedName name="____qre8698">[11]Model!$Q$128</definedName>
    <definedName name="____qre87">'[11]QRE''s'!$G$1:$G$65536</definedName>
    <definedName name="____qre8790">[11]Model!$I$129</definedName>
    <definedName name="____qre8791">[11]Model!$J$129</definedName>
    <definedName name="____qre8792">[11]Model!$K$129</definedName>
    <definedName name="____qre8793">[11]Model!$L$129</definedName>
    <definedName name="____qre8794">[11]Model!$M$129</definedName>
    <definedName name="____qre8795">[11]Model!$N$129</definedName>
    <definedName name="____qre8796">[11]Model!$O$129</definedName>
    <definedName name="____qre8797">[11]Model!$P$129</definedName>
    <definedName name="____qre8798">[11]Model!$Q$129</definedName>
    <definedName name="____qre88">'[11]QRE''s'!$H$1:$H$65536</definedName>
    <definedName name="____qre8890">[11]Model!$I$130</definedName>
    <definedName name="____qre8891">[11]Model!$J$130</definedName>
    <definedName name="____qre8892">[11]Model!$K$130</definedName>
    <definedName name="____qre8893">[11]Model!$L$130</definedName>
    <definedName name="____qre8894">[11]Model!$M$130</definedName>
    <definedName name="____qre8895">[11]Model!$N$130</definedName>
    <definedName name="____qre8896">[11]Model!$O$130</definedName>
    <definedName name="____qre8897">[11]Model!$P$130</definedName>
    <definedName name="____qre8898">[11]Model!$Q$130</definedName>
    <definedName name="____qre89">'[11]QRE''s'!$I$1:$I$65536</definedName>
    <definedName name="____qre90">'[11]QRE''s'!$J$1:$J$65536</definedName>
    <definedName name="____qre91">'[11]QRE''s'!$K$1:$K$65536</definedName>
    <definedName name="____qre92">'[11]QRE''s'!$L$1:$L$65536</definedName>
    <definedName name="____qre93">'[11]QRE''s'!$M$1:$M$65536</definedName>
    <definedName name="____qre94">'[11]QRE''s'!$N$1:$N$65536</definedName>
    <definedName name="____qre95">'[11]QRE''s'!$O$1:$O$65536</definedName>
    <definedName name="____qre96">'[11]QRE''s'!$P$1:$P$65536</definedName>
    <definedName name="____qre97">'[11]QRE''s'!$Q$1:$Q$65536</definedName>
    <definedName name="____qre98">'[11]QRE''s'!$R$1:$R$65536</definedName>
    <definedName name="____SUM282">'[7]YTD Summary'!#REF!</definedName>
    <definedName name="____SUM3">'[10]Summ 165_236'!#REF!</definedName>
    <definedName name="____SUM4">'[10]Summ 165_236'!#REF!</definedName>
    <definedName name="____tqc90">'[11]QRE''s'!$J$101</definedName>
    <definedName name="____tqc91">'[11]QRE''s'!$K$101</definedName>
    <definedName name="____tqc92">'[11]QRE''s'!$L$101</definedName>
    <definedName name="____tqc93">'[11]QRE''s'!$M$101</definedName>
    <definedName name="____tqc94">'[11]QRE''s'!$N$101</definedName>
    <definedName name="____tqc95">'[11]QRE''s'!$O$101</definedName>
    <definedName name="____tqc96">'[11]QRE''s'!$P$101</definedName>
    <definedName name="____tqc97">'[11]QRE''s'!$Q$101</definedName>
    <definedName name="____tqc98">'[11]QRE''s'!$R$101</definedName>
    <definedName name="____tql90">'[11]QRE''s'!$J$99</definedName>
    <definedName name="____tql91">'[11]QRE''s'!$K$99</definedName>
    <definedName name="____tql92">'[11]QRE''s'!$L$99</definedName>
    <definedName name="____tql93">'[11]QRE''s'!$M$99</definedName>
    <definedName name="____tql94">'[11]QRE''s'!$N$99</definedName>
    <definedName name="____tql95">'[11]QRE''s'!$O$99</definedName>
    <definedName name="____tql96">'[11]QRE''s'!$P$99</definedName>
    <definedName name="____tql97">'[11]QRE''s'!$Q$99</definedName>
    <definedName name="____tql98">'[11]QRE''s'!$R$99</definedName>
    <definedName name="____tqs90">'[11]QRE''s'!$J$100</definedName>
    <definedName name="____tqs91">'[11]QRE''s'!$K$100</definedName>
    <definedName name="____tqs92">'[11]QRE''s'!$L$100</definedName>
    <definedName name="____tqs93">'[11]QRE''s'!$M$100</definedName>
    <definedName name="____tqs94">'[11]QRE''s'!$N$100</definedName>
    <definedName name="____tqs95">'[11]QRE''s'!$O$100</definedName>
    <definedName name="____tqs96">'[11]QRE''s'!$P$100</definedName>
    <definedName name="____tqs97">'[11]QRE''s'!$Q$100</definedName>
    <definedName name="____tqs98">'[11]QRE''s'!$R$100</definedName>
    <definedName name="___agr8690">[11]Model!$I$58</definedName>
    <definedName name="___agr8790">[11]Model!$I$59</definedName>
    <definedName name="___agr8791">[11]Model!$J$59</definedName>
    <definedName name="___agr8890">[11]Model!$I$60</definedName>
    <definedName name="___agr8891">[11]Model!$J$60</definedName>
    <definedName name="___agr8892">[11]Model!$K$60</definedName>
    <definedName name="___agr8990">[11]Model!$I$61</definedName>
    <definedName name="___agr8991">[11]Model!$J$61</definedName>
    <definedName name="___agr8992">[11]Model!$K$61</definedName>
    <definedName name="___agr8993">[11]Model!$L$61</definedName>
    <definedName name="___agr9091">[11]Model!$J$62</definedName>
    <definedName name="___agr9092">[11]Model!$K$62</definedName>
    <definedName name="___agr9093">[11]Model!$L$62</definedName>
    <definedName name="___agr9094">[11]Model!$M$62</definedName>
    <definedName name="___agr9192">[11]Model!$K$63</definedName>
    <definedName name="___agr9193">[11]Model!$L$63</definedName>
    <definedName name="___agr9194">[11]Model!$M$63</definedName>
    <definedName name="___agr9195">[11]Model!$N$63</definedName>
    <definedName name="___agr9293">[11]Model!$L$64</definedName>
    <definedName name="___agr9294">[11]Model!$M$64</definedName>
    <definedName name="___agr9295">[11]Model!$N$64</definedName>
    <definedName name="___agr9296">[11]Model!$O$64</definedName>
    <definedName name="___agr9394">[11]Model!$M$65</definedName>
    <definedName name="___agr9395">[11]Model!$N$65</definedName>
    <definedName name="___agr9396">[11]Model!$O$65</definedName>
    <definedName name="___agr9397">[11]Model!$P$65</definedName>
    <definedName name="___agr9495">[11]Model!$N$66</definedName>
    <definedName name="___agr9496">[11]Model!$O$66</definedName>
    <definedName name="___agr9497">[11]Model!$P$66</definedName>
    <definedName name="___agr9498">[11]Model!$Q$66</definedName>
    <definedName name="___agr9596">[11]Model!$O$67</definedName>
    <definedName name="___agr9597">[11]Model!$P$67</definedName>
    <definedName name="___agr9598">[11]Model!$Q$67</definedName>
    <definedName name="___agr9697">[11]Model!$P$68</definedName>
    <definedName name="___agr9698">[11]Model!$Q$68</definedName>
    <definedName name="___agr9798">[11]Model!$Q$69</definedName>
    <definedName name="___DAT1">'[12]Cost Center List'!#REF!</definedName>
    <definedName name="___DAT10" localSheetId="16">#REF!</definedName>
    <definedName name="___DAT10">#REF!</definedName>
    <definedName name="___DAT11" localSheetId="16">#REF!</definedName>
    <definedName name="___DAT11">#REF!</definedName>
    <definedName name="___dat1111">[8]Sheet1!$G$2:$G$29</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#REF!</definedName>
    <definedName name="___DAT16">#REF!</definedName>
    <definedName name="___DAT17">#REF!</definedName>
    <definedName name="___DAT18">#REF!</definedName>
    <definedName name="___DAT19">#REF!</definedName>
    <definedName name="___DAT2">'[6]Rent Revenue'!#REF!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14">{"'Metretek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'[13]JE 120 Jan-Nov Facesheet'!#REF!</definedName>
    <definedName name="___JE220" localSheetId="16">#REF!</definedName>
    <definedName name="___JE220">#REF!</definedName>
    <definedName name="___JE230" localSheetId="16">#REF!</definedName>
    <definedName name="___JE230">#REF!</definedName>
    <definedName name="___JE234" localSheetId="16">#REF!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'[11]QRE''s'!$D$1:$D$65536</definedName>
    <definedName name="___qre8490">[11]Model!$I$126</definedName>
    <definedName name="___qre8491">[11]Model!$J$126</definedName>
    <definedName name="___qre8492">[11]Model!$K$126</definedName>
    <definedName name="___qre8493">[11]Model!$L$126</definedName>
    <definedName name="___qre8494">[11]Model!$M$126</definedName>
    <definedName name="___qre8495">[11]Model!$N$126</definedName>
    <definedName name="___qre8496">[11]Model!$O$126</definedName>
    <definedName name="___qre8497">[11]Model!$P$126</definedName>
    <definedName name="___qre8498">[11]Model!$Q$126</definedName>
    <definedName name="___qre85">'[11]QRE''s'!$E$1:$E$65536</definedName>
    <definedName name="___qre8590">[11]Model!$I$127</definedName>
    <definedName name="___qre8591">[11]Model!$J$127</definedName>
    <definedName name="___qre8592">[11]Model!$K$127</definedName>
    <definedName name="___qre8593">[11]Model!$L$127</definedName>
    <definedName name="___qre8594">[11]Model!$M$127</definedName>
    <definedName name="___qre8595">[11]Model!$N$127</definedName>
    <definedName name="___qre8596">[11]Model!$O$127</definedName>
    <definedName name="___qre8597">[11]Model!$P$127</definedName>
    <definedName name="___qre8598">[11]Model!$Q$127</definedName>
    <definedName name="___qre86">'[11]QRE''s'!$F$1:$F$65536</definedName>
    <definedName name="___qre8690">[11]Model!$I$128</definedName>
    <definedName name="___qre8691">[11]Model!$J$128</definedName>
    <definedName name="___qre8692">[11]Model!$K$128</definedName>
    <definedName name="___qre8693">[11]Model!$L$128</definedName>
    <definedName name="___qre8694">[11]Model!$M$128</definedName>
    <definedName name="___qre8695">[11]Model!$N$128</definedName>
    <definedName name="___qre8696">[11]Model!$O$128</definedName>
    <definedName name="___qre8697">[11]Model!$P$128</definedName>
    <definedName name="___qre8698">[11]Model!$Q$128</definedName>
    <definedName name="___qre87">'[11]QRE''s'!$G$1:$G$65536</definedName>
    <definedName name="___qre8790">[11]Model!$I$129</definedName>
    <definedName name="___qre8791">[11]Model!$J$129</definedName>
    <definedName name="___qre8792">[11]Model!$K$129</definedName>
    <definedName name="___qre8793">[11]Model!$L$129</definedName>
    <definedName name="___qre8794">[11]Model!$M$129</definedName>
    <definedName name="___qre8795">[11]Model!$N$129</definedName>
    <definedName name="___qre8796">[11]Model!$O$129</definedName>
    <definedName name="___qre8797">[11]Model!$P$129</definedName>
    <definedName name="___qre8798">[11]Model!$Q$129</definedName>
    <definedName name="___qre88">'[11]QRE''s'!$H$1:$H$65536</definedName>
    <definedName name="___qre8890">[11]Model!$I$130</definedName>
    <definedName name="___qre8891">[11]Model!$J$130</definedName>
    <definedName name="___qre8892">[11]Model!$K$130</definedName>
    <definedName name="___qre8893">[11]Model!$L$130</definedName>
    <definedName name="___qre8894">[11]Model!$M$130</definedName>
    <definedName name="___qre8895">[11]Model!$N$130</definedName>
    <definedName name="___qre8896">[11]Model!$O$130</definedName>
    <definedName name="___qre8897">[11]Model!$P$130</definedName>
    <definedName name="___qre8898">[11]Model!$Q$130</definedName>
    <definedName name="___qre89">'[11]QRE''s'!$I$1:$I$65536</definedName>
    <definedName name="___qre90">'[11]QRE''s'!$J$1:$J$65536</definedName>
    <definedName name="___qre91">'[11]QRE''s'!$K$1:$K$65536</definedName>
    <definedName name="___qre92">'[11]QRE''s'!$L$1:$L$65536</definedName>
    <definedName name="___qre93">'[11]QRE''s'!$M$1:$M$65536</definedName>
    <definedName name="___qre94">'[11]QRE''s'!$N$1:$N$65536</definedName>
    <definedName name="___qre95">'[11]QRE''s'!$O$1:$O$65536</definedName>
    <definedName name="___qre96">'[11]QRE''s'!$P$1:$P$65536</definedName>
    <definedName name="___qre97">'[11]QRE''s'!$Q$1:$Q$65536</definedName>
    <definedName name="___qre98">'[11]QRE''s'!$R$1:$R$65536</definedName>
    <definedName name="___SUM282">'[7]YTD Summary'!#REF!</definedName>
    <definedName name="___SUM3">'[10]Summ 165_236'!#REF!</definedName>
    <definedName name="___SUM4">'[10]Summ 165_236'!#REF!</definedName>
    <definedName name="___tqc90">'[11]QRE''s'!$J$101</definedName>
    <definedName name="___tqc91">'[11]QRE''s'!$K$101</definedName>
    <definedName name="___tqc92">'[11]QRE''s'!$L$101</definedName>
    <definedName name="___tqc93">'[11]QRE''s'!$M$101</definedName>
    <definedName name="___tqc94">'[11]QRE''s'!$N$101</definedName>
    <definedName name="___tqc95">'[11]QRE''s'!$O$101</definedName>
    <definedName name="___tqc96">'[11]QRE''s'!$P$101</definedName>
    <definedName name="___tqc97">'[11]QRE''s'!$Q$101</definedName>
    <definedName name="___tqc98">'[11]QRE''s'!$R$101</definedName>
    <definedName name="___tql90">'[11]QRE''s'!$J$99</definedName>
    <definedName name="___tql91">'[11]QRE''s'!$K$99</definedName>
    <definedName name="___tql92">'[11]QRE''s'!$L$99</definedName>
    <definedName name="___tql93">'[11]QRE''s'!$M$99</definedName>
    <definedName name="___tql94">'[11]QRE''s'!$N$99</definedName>
    <definedName name="___tql95">'[11]QRE''s'!$O$99</definedName>
    <definedName name="___tql96">'[11]QRE''s'!$P$99</definedName>
    <definedName name="___tql97">'[11]QRE''s'!$Q$99</definedName>
    <definedName name="___tql98">'[11]QRE''s'!$R$99</definedName>
    <definedName name="___tqs90">'[11]QRE''s'!$J$100</definedName>
    <definedName name="___tqs91">'[11]QRE''s'!$K$100</definedName>
    <definedName name="___tqs92">'[11]QRE''s'!$L$100</definedName>
    <definedName name="___tqs93">'[11]QRE''s'!$M$100</definedName>
    <definedName name="___tqs94">'[11]QRE''s'!$N$100</definedName>
    <definedName name="___tqs95">'[11]QRE''s'!$O$100</definedName>
    <definedName name="___tqs96">'[11]QRE''s'!$P$100</definedName>
    <definedName name="___tqs97">'[11]QRE''s'!$Q$100</definedName>
    <definedName name="___tqs98">'[11]QRE''s'!$R$100</definedName>
    <definedName name="__123Graph_A" hidden="1">'[15]AL2 151'!#REF!</definedName>
    <definedName name="__123Graph_B" localSheetId="14" hidden="1">[16]Inputs!#REF!</definedName>
    <definedName name="__123Graph_B" localSheetId="15" hidden="1">[16]Inputs!#REF!</definedName>
    <definedName name="__123Graph_B" localSheetId="16" hidden="1">[16]Inputs!#REF!</definedName>
    <definedName name="__123Graph_B" localSheetId="19" hidden="1">[16]Inputs!#REF!</definedName>
    <definedName name="__123Graph_B" hidden="1">[16]Inputs!#REF!</definedName>
    <definedName name="__123Graph_C" hidden="1">'[15]AL2 151'!#REF!</definedName>
    <definedName name="__123Graph_D" localSheetId="16" hidden="1">[3]Assump!#REF!</definedName>
    <definedName name="__123Graph_D" localSheetId="19" hidden="1">[3]Assump!#REF!</definedName>
    <definedName name="__123Graph_D" hidden="1">[3]Assump!#REF!</definedName>
    <definedName name="__123Graph_E" hidden="1">'[15]AL2 151'!#REF!</definedName>
    <definedName name="__123Graph_F" hidden="1">'[15]AL2 151'!#REF!</definedName>
    <definedName name="__123Graph_X" hidden="1">'[15]AL2 151'!#REF!</definedName>
    <definedName name="__agr8690">[11]Model!$I$58</definedName>
    <definedName name="__agr8790">[11]Model!$I$59</definedName>
    <definedName name="__agr8791">[11]Model!$J$59</definedName>
    <definedName name="__agr8890">[11]Model!$I$60</definedName>
    <definedName name="__agr8891">[11]Model!$J$60</definedName>
    <definedName name="__agr8892">[11]Model!$K$60</definedName>
    <definedName name="__agr8990">[11]Model!$I$61</definedName>
    <definedName name="__agr8991">[11]Model!$J$61</definedName>
    <definedName name="__agr8992">[11]Model!$K$61</definedName>
    <definedName name="__agr8993">[11]Model!$L$61</definedName>
    <definedName name="__agr9091">[11]Model!$J$62</definedName>
    <definedName name="__agr9092">[11]Model!$K$62</definedName>
    <definedName name="__agr9093">[11]Model!$L$62</definedName>
    <definedName name="__agr9094">[11]Model!$M$62</definedName>
    <definedName name="__agr9192">[11]Model!$K$63</definedName>
    <definedName name="__agr9193">[11]Model!$L$63</definedName>
    <definedName name="__agr9194">[11]Model!$M$63</definedName>
    <definedName name="__agr9195">[11]Model!$N$63</definedName>
    <definedName name="__agr9293">[11]Model!$L$64</definedName>
    <definedName name="__agr9294">[11]Model!$M$64</definedName>
    <definedName name="__agr9295">[11]Model!$N$64</definedName>
    <definedName name="__agr9296">[11]Model!$O$64</definedName>
    <definedName name="__agr9394">[11]Model!$M$65</definedName>
    <definedName name="__agr9395">[11]Model!$N$65</definedName>
    <definedName name="__agr9396">[11]Model!$O$65</definedName>
    <definedName name="__agr9397">[11]Model!$P$65</definedName>
    <definedName name="__agr9495">[11]Model!$N$66</definedName>
    <definedName name="__agr9496">[11]Model!$O$66</definedName>
    <definedName name="__agr9497">[11]Model!$P$66</definedName>
    <definedName name="__agr9498">[11]Model!$Q$66</definedName>
    <definedName name="__agr9596">[11]Model!$O$67</definedName>
    <definedName name="__agr9597">[11]Model!$P$67</definedName>
    <definedName name="__agr9598">[11]Model!$Q$67</definedName>
    <definedName name="__agr9697">[11]Model!$P$68</definedName>
    <definedName name="__agr9698">[11]Model!$Q$68</definedName>
    <definedName name="__agr9798">[11]Model!$Q$69</definedName>
    <definedName name="__CPK1">#REF!</definedName>
    <definedName name="__CPK2">#REF!</definedName>
    <definedName name="__CPK3">#REF!</definedName>
    <definedName name="__DAT1" localSheetId="16">'[5]Cost Center List'!#REF!</definedName>
    <definedName name="__DAT1">'[12]Cost Center List'!#REF!</definedName>
    <definedName name="__DAT10">#REF!</definedName>
    <definedName name="__DAT11">#REF!</definedName>
    <definedName name="__dat1111">[8]Sheet1!$G$2:$G$29</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6">#REF!</definedName>
    <definedName name="__gas2">#REF!</definedName>
    <definedName name="__gas2006">#REF!</definedName>
    <definedName name="__H1" localSheetId="14">{"'Metretek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'[13]JE 120 Jan-Nov Facesheet'!#REF!</definedName>
    <definedName name="__JE220" localSheetId="16">#REF!</definedName>
    <definedName name="__JE220">#REF!</definedName>
    <definedName name="__JE230" localSheetId="16">#REF!</definedName>
    <definedName name="__JE230">#REF!</definedName>
    <definedName name="__JE234" localSheetId="16">#REF!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'[11]QRE''s'!$D$1:$D$65536</definedName>
    <definedName name="__qre8490">[11]Model!$I$126</definedName>
    <definedName name="__qre8491">[11]Model!$J$126</definedName>
    <definedName name="__qre8492">[11]Model!$K$126</definedName>
    <definedName name="__qre8493">[11]Model!$L$126</definedName>
    <definedName name="__qre8494">[11]Model!$M$126</definedName>
    <definedName name="__qre8495">[11]Model!$N$126</definedName>
    <definedName name="__qre8496">[11]Model!$O$126</definedName>
    <definedName name="__qre8497">[11]Model!$P$126</definedName>
    <definedName name="__qre8498">[11]Model!$Q$126</definedName>
    <definedName name="__qre85">'[11]QRE''s'!$E$1:$E$65536</definedName>
    <definedName name="__qre8590">[11]Model!$I$127</definedName>
    <definedName name="__qre8591">[11]Model!$J$127</definedName>
    <definedName name="__qre8592">[11]Model!$K$127</definedName>
    <definedName name="__qre8593">[11]Model!$L$127</definedName>
    <definedName name="__qre8594">[11]Model!$M$127</definedName>
    <definedName name="__qre8595">[11]Model!$N$127</definedName>
    <definedName name="__qre8596">[11]Model!$O$127</definedName>
    <definedName name="__qre8597">[11]Model!$P$127</definedName>
    <definedName name="__qre8598">[11]Model!$Q$127</definedName>
    <definedName name="__qre86">'[11]QRE''s'!$F$1:$F$65536</definedName>
    <definedName name="__qre8690">[11]Model!$I$128</definedName>
    <definedName name="__qre8691">[11]Model!$J$128</definedName>
    <definedName name="__qre8692">[11]Model!$K$128</definedName>
    <definedName name="__qre8693">[11]Model!$L$128</definedName>
    <definedName name="__qre8694">[11]Model!$M$128</definedName>
    <definedName name="__qre8695">[11]Model!$N$128</definedName>
    <definedName name="__qre8696">[11]Model!$O$128</definedName>
    <definedName name="__qre8697">[11]Model!$P$128</definedName>
    <definedName name="__qre8698">[11]Model!$Q$128</definedName>
    <definedName name="__qre87">'[11]QRE''s'!$G$1:$G$65536</definedName>
    <definedName name="__qre8790">[11]Model!$I$129</definedName>
    <definedName name="__qre8791">[11]Model!$J$129</definedName>
    <definedName name="__qre8792">[11]Model!$K$129</definedName>
    <definedName name="__qre8793">[11]Model!$L$129</definedName>
    <definedName name="__qre8794">[11]Model!$M$129</definedName>
    <definedName name="__qre8795">[11]Model!$N$129</definedName>
    <definedName name="__qre8796">[11]Model!$O$129</definedName>
    <definedName name="__qre8797">[11]Model!$P$129</definedName>
    <definedName name="__qre8798">[11]Model!$Q$129</definedName>
    <definedName name="__qre88">'[11]QRE''s'!$H$1:$H$65536</definedName>
    <definedName name="__qre8890">[11]Model!$I$130</definedName>
    <definedName name="__qre8891">[11]Model!$J$130</definedName>
    <definedName name="__qre8892">[11]Model!$K$130</definedName>
    <definedName name="__qre8893">[11]Model!$L$130</definedName>
    <definedName name="__qre8894">[11]Model!$M$130</definedName>
    <definedName name="__qre8895">[11]Model!$N$130</definedName>
    <definedName name="__qre8896">[11]Model!$O$130</definedName>
    <definedName name="__qre8897">[11]Model!$P$130</definedName>
    <definedName name="__qre8898">[11]Model!$Q$130</definedName>
    <definedName name="__qre89">'[11]QRE''s'!$I$1:$I$65536</definedName>
    <definedName name="__qre90">'[11]QRE''s'!$J$1:$J$65536</definedName>
    <definedName name="__qre91">'[11]QRE''s'!$K$1:$K$65536</definedName>
    <definedName name="__qre92">'[11]QRE''s'!$L$1:$L$65536</definedName>
    <definedName name="__qre93">'[11]QRE''s'!$M$1:$M$65536</definedName>
    <definedName name="__qre94">'[11]QRE''s'!$N$1:$N$65536</definedName>
    <definedName name="__qre95">'[11]QRE''s'!$O$1:$O$65536</definedName>
    <definedName name="__qre96">'[11]QRE''s'!$P$1:$P$65536</definedName>
    <definedName name="__qre97">'[11]QRE''s'!$Q$1:$Q$65536</definedName>
    <definedName name="__qre98">'[11]QRE''s'!$R$1:$R$65536</definedName>
    <definedName name="__sam1">#REF!</definedName>
    <definedName name="__ss1">#REF!</definedName>
    <definedName name="__SUM282" localSheetId="16">'[7]YTD Summary'!#REF!</definedName>
    <definedName name="__SUM282">'[7]YTD Summary'!#REF!</definedName>
    <definedName name="__SUM3">'[10]Summ 165_236'!#REF!</definedName>
    <definedName name="__SUM4">'[10]Summ 165_236'!#REF!</definedName>
    <definedName name="__tet12" hidden="1">{"assumptions",#N/A,FALSE,"Scenario 1";"valuation",#N/A,FALSE,"Scenario 1"}</definedName>
    <definedName name="__tet5" hidden="1">{"assumptions",#N/A,FALSE,"Scenario 1";"valuation",#N/A,FALSE,"Scenario 1"}</definedName>
    <definedName name="__tqc90">'[11]QRE''s'!$J$101</definedName>
    <definedName name="__tqc91">'[11]QRE''s'!$K$101</definedName>
    <definedName name="__tqc92">'[11]QRE''s'!$L$101</definedName>
    <definedName name="__tqc93">'[11]QRE''s'!$M$101</definedName>
    <definedName name="__tqc94">'[11]QRE''s'!$N$101</definedName>
    <definedName name="__tqc95">'[11]QRE''s'!$O$101</definedName>
    <definedName name="__tqc96">'[11]QRE''s'!$P$101</definedName>
    <definedName name="__tqc97">'[11]QRE''s'!$Q$101</definedName>
    <definedName name="__tqc98">'[11]QRE''s'!$R$101</definedName>
    <definedName name="__tql90">'[11]QRE''s'!$J$99</definedName>
    <definedName name="__tql91">'[11]QRE''s'!$K$99</definedName>
    <definedName name="__tql92">'[11]QRE''s'!$L$99</definedName>
    <definedName name="__tql93">'[11]QRE''s'!$M$99</definedName>
    <definedName name="__tql94">'[11]QRE''s'!$N$99</definedName>
    <definedName name="__tql95">'[11]QRE''s'!$O$99</definedName>
    <definedName name="__tql96">'[11]QRE''s'!$P$99</definedName>
    <definedName name="__tql97">'[11]QRE''s'!$Q$99</definedName>
    <definedName name="__tql98">'[11]QRE''s'!$R$99</definedName>
    <definedName name="__tqs90">'[11]QRE''s'!$J$100</definedName>
    <definedName name="__tqs91">'[11]QRE''s'!$K$100</definedName>
    <definedName name="__tqs92">'[11]QRE''s'!$L$100</definedName>
    <definedName name="__tqs93">'[11]QRE''s'!$M$100</definedName>
    <definedName name="__tqs94">'[11]QRE''s'!$N$100</definedName>
    <definedName name="__tqs95">'[11]QRE''s'!$O$100</definedName>
    <definedName name="__tqs96">'[11]QRE''s'!$P$100</definedName>
    <definedName name="__tqs97">'[11]QRE''s'!$Q$100</definedName>
    <definedName name="__tqs98">'[11]QRE''s'!$R$100</definedName>
    <definedName name="_1__123Graph_ACONTRACT_BY_B_U" hidden="1">'[11]QRE Charts'!$D$275:$Q$275</definedName>
    <definedName name="_10__123Graph_AWAGES_BY_B_U" hidden="1">'[17]QRE Charts'!$D$223:$R$223</definedName>
    <definedName name="_10__123Graph_BQRE_S_BY_TYPE" hidden="1">'[11]QRE''s'!$D$100:$R$100</definedName>
    <definedName name="_11__123Graph_BCONTRACT_BY_B_U" hidden="1">'[17]QRE Charts'!$D$276:$Q$276</definedName>
    <definedName name="_11__123Graph_BSENS_COMPARISON" hidden="1">'[11]QRE Charts'!$E$366:$O$366</definedName>
    <definedName name="_12__123Graph_BQRE_S_BY_CO." hidden="1">'[17]QRE Charts'!$D$302:$R$302</definedName>
    <definedName name="_12__123Graph_BSUPPLIES_BY_B_U" hidden="1">'[11]QRE Charts'!$D$250:$Q$250</definedName>
    <definedName name="_123Graph_B.1" hidden="1">#REF!</definedName>
    <definedName name="_13__123Graph_BQRE_S_BY_TYPE" hidden="1">'[17]QRE''s'!$D$100:$R$100</definedName>
    <definedName name="_13__123Graph_BTAX_CREDIT" hidden="1">'[11]QRE Charts'!$E$332:$E$342</definedName>
    <definedName name="_14__123Graph_BSENS_COMPARISON" hidden="1">'[17]QRE Charts'!$E$366:$O$366</definedName>
    <definedName name="_14__123Graph_BWAGES_BY_B_U" hidden="1">'[11]QRE Charts'!$D$224:$R$224</definedName>
    <definedName name="_15__123Graph_BSUPPLIES_BY_B_U" hidden="1">'[17]QRE Charts'!$D$250:$Q$250</definedName>
    <definedName name="_15__123Graph_CCONTRACT_BY_B_U" hidden="1">'[11]QRE Charts'!$D$277:$Q$277</definedName>
    <definedName name="_16__123Graph_BTAX_CREDIT" hidden="1">'[17]QRE Charts'!$E$332:$E$342</definedName>
    <definedName name="_16__123Graph_CQRE_S_BY_CO." hidden="1">'[11]QRE Charts'!$D$303:$R$303</definedName>
    <definedName name="_17__123Graph_BWAGES_BY_B_U" hidden="1">'[17]QRE Charts'!$D$224:$R$224</definedName>
    <definedName name="_17__123Graph_CQRE_S_BY_TYPE" hidden="1">'[11]QRE''s'!$D$101:$R$101</definedName>
    <definedName name="_18__123Graph_CCONTRACT_BY_B_U" hidden="1">'[17]QRE Charts'!$D$277:$Q$277</definedName>
    <definedName name="_18__123Graph_CSENS_COMPARISON" hidden="1">'[11]QRE Charts'!$E$367:$O$367</definedName>
    <definedName name="_19__123Graph_CQRE_S_BY_CO." hidden="1">'[17]QRE Charts'!$D$303:$R$303</definedName>
    <definedName name="_19__123Graph_CSUPPLIES_BY_B_U" hidden="1">'[11]QRE Charts'!$D$251:$Q$251</definedName>
    <definedName name="_1JE220_WP" localSheetId="16">#REF!</definedName>
    <definedName name="_1JE220_WP">#REF!</definedName>
    <definedName name="_1K" localSheetId="20" hidden="1">[18]Masterdata!#REF!</definedName>
    <definedName name="_1K" localSheetId="14" hidden="1">[18]Masterdata!#REF!</definedName>
    <definedName name="_1K" localSheetId="13" hidden="1">[18]Masterdata!#REF!</definedName>
    <definedName name="_1K" localSheetId="19" hidden="1">[18]Masterdata!#REF!</definedName>
    <definedName name="_1K" hidden="1">[18]Masterdata!#REF!</definedName>
    <definedName name="_2__123Graph_AQRE_S_BY_CO." hidden="1">'[11]QRE Charts'!$D$301:$R$301</definedName>
    <definedName name="_20__123Graph_CQRE_S_BY_TYPE" hidden="1">'[17]QRE''s'!$D$101:$R$101</definedName>
    <definedName name="_20__123Graph_CWAGES_BY_B_U" hidden="1">'[11]QRE Charts'!$D$225:$R$225</definedName>
    <definedName name="_21__123Graph_CSENS_COMPARISON" hidden="1">'[17]QRE Charts'!$E$367:$O$367</definedName>
    <definedName name="_21__123Graph_DCONTRACT_BY_B_U" hidden="1">'[11]QRE Charts'!$D$278:$Q$278</definedName>
    <definedName name="_22__123Graph_CSUPPLIES_BY_B_U" hidden="1">'[17]QRE Charts'!$D$251:$Q$251</definedName>
    <definedName name="_22__123Graph_DQRE_S_BY_CO." hidden="1">'[11]QRE Charts'!$D$304:$R$304</definedName>
    <definedName name="_23__123Graph_CWAGES_BY_B_U" hidden="1">'[17]QRE Charts'!$D$225:$R$225</definedName>
    <definedName name="_23__123Graph_DSUPPLIES_BY_B_U" hidden="1">'[11]QRE Charts'!$D$252:$Q$252</definedName>
    <definedName name="_24__123Graph_DCONTRACT_BY_B_U" hidden="1">'[17]QRE Charts'!$D$278:$Q$278</definedName>
    <definedName name="_24__123Graph_DWAGES_BY_B_U" hidden="1">'[11]QRE Charts'!$D$226:$R$226</definedName>
    <definedName name="_25__123Graph_DQRE_S_BY_CO." hidden="1">'[17]QRE Charts'!$D$304:$R$304</definedName>
    <definedName name="_25__123Graph_ECONTRACT_BY_B_U" hidden="1">'[11]QRE Charts'!$D$279:$Q$279</definedName>
    <definedName name="_26__123Graph_DSUPPLIES_BY_B_U" hidden="1">'[17]QRE Charts'!$D$252:$Q$252</definedName>
    <definedName name="_26__123Graph_EQRE_S_BY_CO." hidden="1">'[11]QRE Charts'!$D$305:$R$305</definedName>
    <definedName name="_27__123Graph_DWAGES_BY_B_U" hidden="1">'[17]QRE Charts'!$D$226:$R$226</definedName>
    <definedName name="_27__123Graph_ESUPPLIES_BY_B_U" hidden="1">'[11]QRE Charts'!$D$253:$Q$253</definedName>
    <definedName name="_28__123Graph_ECONTRACT_BY_B_U" hidden="1">'[17]QRE Charts'!$D$279:$Q$279</definedName>
    <definedName name="_28__123Graph_EWAGES_BY_B_U" hidden="1">'[11]QRE Charts'!$D$227:$R$227</definedName>
    <definedName name="_29__123Graph_EQRE_S_BY_CO." hidden="1">'[17]QRE Charts'!$D$305:$R$305</definedName>
    <definedName name="_29__123Graph_FCONTRACT_BY_B_U" hidden="1">'[11]QRE Charts'!$D$280:$Q$280</definedName>
    <definedName name="_2JE220_WP" localSheetId="16">#REF!</definedName>
    <definedName name="_2JE220_WP">#REF!</definedName>
    <definedName name="_2K" localSheetId="20" hidden="1">[18]Masterdata!#REF!</definedName>
    <definedName name="_2K" localSheetId="14" hidden="1">[18]Masterdata!#REF!</definedName>
    <definedName name="_2K" localSheetId="13" hidden="1">[18]Masterdata!#REF!</definedName>
    <definedName name="_2K" localSheetId="19" hidden="1">[18]Masterdata!#REF!</definedName>
    <definedName name="_2K" hidden="1">[18]Masterdata!#REF!</definedName>
    <definedName name="_2QTR" localSheetId="16">#REF!</definedName>
    <definedName name="_2QTR">#REF!</definedName>
    <definedName name="_2S" localSheetId="20" hidden="1">[18]Masterdata!#REF!</definedName>
    <definedName name="_2S" localSheetId="14" hidden="1">[18]Masterdata!#REF!</definedName>
    <definedName name="_2S" localSheetId="13" hidden="1">[18]Masterdata!#REF!</definedName>
    <definedName name="_2S" localSheetId="19" hidden="1">[18]Masterdata!#REF!</definedName>
    <definedName name="_2S" hidden="1">[18]Masterdata!#REF!</definedName>
    <definedName name="_3_" localSheetId="16">[2]IS!#REF!</definedName>
    <definedName name="_3_">[2]IS!#REF!</definedName>
    <definedName name="_3__123Graph_AQRE_S_BY_TYPE" hidden="1">'[11]QRE''s'!$D$99:$R$99</definedName>
    <definedName name="_30__123Graph_ESUPPLIES_BY_B_U" hidden="1">'[17]QRE Charts'!$D$253:$Q$253</definedName>
    <definedName name="_30__123Graph_FQRE_S_BY_CO." hidden="1">'[11]QRE Charts'!$D$306:$R$306</definedName>
    <definedName name="_31__123Graph_EWAGES_BY_B_U" hidden="1">'[17]QRE Charts'!$D$227:$R$227</definedName>
    <definedName name="_31__123Graph_FSUPPLIES_BY_B_U" hidden="1">'[11]QRE Charts'!$D$254:$Q$254</definedName>
    <definedName name="_32__123Graph_FCONTRACT_BY_B_U" hidden="1">'[17]QRE Charts'!$D$280:$Q$280</definedName>
    <definedName name="_32__123Graph_FWAGES_BY_B_U" hidden="1">'[11]QRE Charts'!$D$228:$R$228</definedName>
    <definedName name="_33__123Graph_FQRE_S_BY_CO." hidden="1">'[17]QRE Charts'!$D$306:$R$306</definedName>
    <definedName name="_33__123Graph_XCONTRACT_BY_B_U" hidden="1">'[11]QRE Charts'!$D$222:$R$222</definedName>
    <definedName name="_34__123Graph_FSUPPLIES_BY_B_U" hidden="1">'[17]QRE Charts'!$D$254:$Q$254</definedName>
    <definedName name="_34__123Graph_XQRE_S_BY_CO." hidden="1">'[11]QRE Charts'!$D$222:$R$222</definedName>
    <definedName name="_35__123Graph_FWAGES_BY_B_U" hidden="1">'[17]QRE Charts'!$D$228:$R$228</definedName>
    <definedName name="_35__123Graph_XQRE_S_BY_TYPE" hidden="1">'[11]QRE Charts'!$D$222:$R$222</definedName>
    <definedName name="_36__123Graph_XCONTRACT_BY_B_U" hidden="1">'[17]QRE Charts'!$D$222:$R$222</definedName>
    <definedName name="_36__123Graph_XSUPPLIES_BY_B_U" hidden="1">'[11]QRE Charts'!$D$222:$R$222</definedName>
    <definedName name="_37__123Graph_XQRE_S_BY_CO." hidden="1">'[17]QRE Charts'!$D$222:$R$222</definedName>
    <definedName name="_37__123Graph_XTAX_CREDIT" hidden="1">'[11]QRE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'[11]QRE Charts'!$E$365:$O$365</definedName>
    <definedName name="_40__123Graph_XTAX_CREDIT" hidden="1">'[17]QRE Charts'!$C$332:$C$342</definedName>
    <definedName name="_4JE220_WP" localSheetId="16">#REF!</definedName>
    <definedName name="_4JE220_WP">#REF!</definedName>
    <definedName name="_4S" localSheetId="20" hidden="1">[18]Masterdata!#REF!</definedName>
    <definedName name="_4S" localSheetId="14" hidden="1">[18]Masterdata!#REF!</definedName>
    <definedName name="_4S" localSheetId="13" hidden="1">[18]Masterdata!#REF!</definedName>
    <definedName name="_4S" localSheetId="19" hidden="1">[18]Masterdata!#REF!</definedName>
    <definedName name="_4S" hidden="1">[18]Masterdata!#REF!</definedName>
    <definedName name="_5__123Graph_AQRE_S_BY_CO." hidden="1">'[17]QRE Charts'!$D$301:$R$301</definedName>
    <definedName name="_5__123Graph_ASUPPLIES_BY_B_U" hidden="1">'[11]QRE Charts'!$D$249:$Q$249</definedName>
    <definedName name="_6__123Graph_AQRE_S_BY_TYPE" hidden="1">'[17]QRE''s'!$D$99:$R$99</definedName>
    <definedName name="_6__123Graph_ATAX_CREDIT" hidden="1">'[11]QRE Charts'!$D$332:$D$342</definedName>
    <definedName name="_6501">#REF!</definedName>
    <definedName name="_6532" localSheetId="16">#REF!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'[11]QRE Charts'!$D$223:$R$223</definedName>
    <definedName name="_8__123Graph_ASUPPLIES_BY_B_U" hidden="1">'[17]QRE Charts'!$D$249:$Q$249</definedName>
    <definedName name="_8__123Graph_BCONTRACT_BY_B_U" hidden="1">'[11]QRE Charts'!$D$276:$Q$276</definedName>
    <definedName name="_84_PHASE1">[11]Comparison!$E$9:$E$165</definedName>
    <definedName name="_85_PHASE1">[11]Comparison!$I$9:$I$165</definedName>
    <definedName name="_86_PHASE1">[11]Comparison!$M$9:$M$165</definedName>
    <definedName name="_87_PHASE1">[11]Comparison!$Q$9:$Q$165</definedName>
    <definedName name="_88_PHASE1">[11]Comparison!$U$9:$U$165</definedName>
    <definedName name="_88TOTALS" localSheetId="16">#REF!</definedName>
    <definedName name="_88TOTALS">#REF!</definedName>
    <definedName name="_89_PHASE1">[11]Comparison!$AD$9:$AD$165</definedName>
    <definedName name="_9__123Graph_ATAX_CREDIT" hidden="1">'[17]QRE Charts'!$D$332:$D$342</definedName>
    <definedName name="_9__123Graph_BQRE_S_BY_CO." hidden="1">'[11]QRE Charts'!$D$302:$R$302</definedName>
    <definedName name="_90_PHASE1">[11]Comparison!$AH$9:$AH$165</definedName>
    <definedName name="_91_PHASE1">[11]Comparison!$AL$9:$AL$165</definedName>
    <definedName name="_92_PHASE1">[11]Comparison!$AP$9:$AP$165</definedName>
    <definedName name="_93_PHASE1">[11]Comparison!$AT$9:$AT$165</definedName>
    <definedName name="_94_PHASE1">[11]Comparison!$AX$9:$AX$165</definedName>
    <definedName name="_95_PHASE1">[11]Comparison!$BB$9:$BB$165</definedName>
    <definedName name="_96_PHASE1">[11]Comparison!$BF$9:$BF$165</definedName>
    <definedName name="_97_PHASE1">[11]Comparison!$BJ$9:$BJ$165</definedName>
    <definedName name="_98_PHASE1">[11]Comparison!$BN$9:$BN$165</definedName>
    <definedName name="_agr100101" localSheetId="16">#REF!</definedName>
    <definedName name="_agr100101">#REF!</definedName>
    <definedName name="_agr100102" localSheetId="16">#REF!</definedName>
    <definedName name="_agr100102">#REF!</definedName>
    <definedName name="_agr100103" localSheetId="16">#REF!</definedName>
    <definedName name="_agr100103">#REF!</definedName>
    <definedName name="_agr101102">#REF!</definedName>
    <definedName name="_agr101103">#REF!</definedName>
    <definedName name="_agr102103">#REF!</definedName>
    <definedName name="_agr8590">#REF!</definedName>
    <definedName name="_agr8690">[11]Model!$I$58</definedName>
    <definedName name="_agr8691" localSheetId="16">#REF!</definedName>
    <definedName name="_agr8691">#REF!</definedName>
    <definedName name="_agr8790">[11]Model!$I$59</definedName>
    <definedName name="_agr8791">[11]Model!$J$59</definedName>
    <definedName name="_agr8792" localSheetId="16">#REF!</definedName>
    <definedName name="_agr8792">#REF!</definedName>
    <definedName name="_agr8890">[11]Model!$I$60</definedName>
    <definedName name="_agr8891">[11]Model!$J$60</definedName>
    <definedName name="_agr8892">[11]Model!$K$60</definedName>
    <definedName name="_agr8893" localSheetId="16">#REF!</definedName>
    <definedName name="_agr8893">#REF!</definedName>
    <definedName name="_agr8990">[11]Model!$I$61</definedName>
    <definedName name="_agr8991">[11]Model!$J$61</definedName>
    <definedName name="_agr8992">[11]Model!$K$61</definedName>
    <definedName name="_agr8993">[11]Model!$L$61</definedName>
    <definedName name="_agr8994" localSheetId="16">#REF!</definedName>
    <definedName name="_agr8994">#REF!</definedName>
    <definedName name="_agr9091">[11]Model!$J$62</definedName>
    <definedName name="_agr9092">[11]Model!$K$62</definedName>
    <definedName name="_agr9093">[11]Model!$L$62</definedName>
    <definedName name="_agr9094">[11]Model!$M$62</definedName>
    <definedName name="_agr9095" localSheetId="16">#REF!</definedName>
    <definedName name="_agr9095">#REF!</definedName>
    <definedName name="_agr9192">[11]Model!$K$63</definedName>
    <definedName name="_agr9193">[11]Model!$L$63</definedName>
    <definedName name="_agr9194">[11]Model!$M$63</definedName>
    <definedName name="_agr9195">[11]Model!$N$63</definedName>
    <definedName name="_agr9196" localSheetId="16">#REF!</definedName>
    <definedName name="_agr9196">#REF!</definedName>
    <definedName name="_agr9293">[11]Model!$L$64</definedName>
    <definedName name="_agr9294">[11]Model!$M$64</definedName>
    <definedName name="_agr9295">[11]Model!$N$64</definedName>
    <definedName name="_agr9296">[11]Model!$O$64</definedName>
    <definedName name="_agr9297" localSheetId="16">#REF!</definedName>
    <definedName name="_agr9297">#REF!</definedName>
    <definedName name="_agr9394">[11]Model!$M$65</definedName>
    <definedName name="_agr9395">[11]Model!$N$65</definedName>
    <definedName name="_agr9396">[11]Model!$O$65</definedName>
    <definedName name="_agr9397">[11]Model!$P$65</definedName>
    <definedName name="_agr9398" localSheetId="16">#REF!</definedName>
    <definedName name="_agr9398">#REF!</definedName>
    <definedName name="_agr9495">[11]Model!$N$66</definedName>
    <definedName name="_agr9496">[11]Model!$O$66</definedName>
    <definedName name="_agr9497">[11]Model!$P$66</definedName>
    <definedName name="_agr9498">[11]Model!$Q$66</definedName>
    <definedName name="_agr9499" localSheetId="16">#REF!</definedName>
    <definedName name="_agr9499">#REF!</definedName>
    <definedName name="_agr95100" localSheetId="16">#REF!</definedName>
    <definedName name="_agr95100">#REF!</definedName>
    <definedName name="_agr9596">[11]Model!$O$67</definedName>
    <definedName name="_agr9597">[11]Model!$P$67</definedName>
    <definedName name="_agr9598">[11]Model!$Q$67</definedName>
    <definedName name="_agr9599" localSheetId="16">#REF!</definedName>
    <definedName name="_agr9599">#REF!</definedName>
    <definedName name="_agr96100" localSheetId="16">#REF!</definedName>
    <definedName name="_agr96100">#REF!</definedName>
    <definedName name="_agr96101" localSheetId="16">#REF!</definedName>
    <definedName name="_agr96101">#REF!</definedName>
    <definedName name="_agr9697">[11]Model!$P$68</definedName>
    <definedName name="_agr9698">[11]Model!$Q$68</definedName>
    <definedName name="_agr9699" localSheetId="16">#REF!</definedName>
    <definedName name="_agr9699">#REF!</definedName>
    <definedName name="_agr97100" localSheetId="16">#REF!</definedName>
    <definedName name="_agr97100">#REF!</definedName>
    <definedName name="_agr97101" localSheetId="16">#REF!</definedName>
    <definedName name="_agr97101">#REF!</definedName>
    <definedName name="_agr97102">#REF!</definedName>
    <definedName name="_agr9798">[11]Model!$Q$69</definedName>
    <definedName name="_agr9799" localSheetId="16">#REF!</definedName>
    <definedName name="_agr9799">#REF!</definedName>
    <definedName name="_agr98100" localSheetId="16">#REF!</definedName>
    <definedName name="_agr98100">#REF!</definedName>
    <definedName name="_agr98101" localSheetId="16">#REF!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'[5]Cost Center List'!#REF!</definedName>
    <definedName name="_DAT10" localSheetId="16">#REF!</definedName>
    <definedName name="_DAT10">#REF!</definedName>
    <definedName name="_DAT11">#REF!</definedName>
    <definedName name="_dat1111">[8]Sheet1!$G$2:$G$29</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6">#REF!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0" hidden="1">{#N/A,#N/A,FALSE,"EMPPAY"}</definedName>
    <definedName name="_FEB01" localSheetId="14" hidden="1">{#N/A,#N/A,FALSE,"EMPPAY"}</definedName>
    <definedName name="_FEB01" localSheetId="15" hidden="1">{#N/A,#N/A,FALSE,"EMPPAY"}</definedName>
    <definedName name="_FEB01" localSheetId="13" hidden="1">{#N/A,#N/A,FALSE,"EMPPAY"}</definedName>
    <definedName name="_FEB01" hidden="1">{#N/A,#N/A,FALSE,"EMPPAY"}</definedName>
    <definedName name="_FED179">[19]DEPR96!#REF!</definedName>
    <definedName name="_Fill" localSheetId="20" hidden="1">#REF!</definedName>
    <definedName name="_Fill" localSheetId="14" hidden="1">#REF!</definedName>
    <definedName name="_Fill" localSheetId="13" hidden="1">#REF!</definedName>
    <definedName name="_Fill" localSheetId="16" hidden="1">#REF!</definedName>
    <definedName name="_Fill" localSheetId="18" hidden="1">#REF!</definedName>
    <definedName name="_Fill" localSheetId="19" hidden="1">#REF!</definedName>
    <definedName name="_Fill" hidden="1">#REF!</definedName>
    <definedName name="_Fill.1" hidden="1">#REF!</definedName>
    <definedName name="_xlnm._FilterDatabase" localSheetId="9" hidden="1">'4 - 100 Basis Pt ROE'!$A$1:$I$323</definedName>
    <definedName name="_xlnm._FilterDatabase" localSheetId="0" hidden="1">'ATT H-3D'!$A$1:$H$387</definedName>
    <definedName name="_gas2" localSheetId="16">#REF!</definedName>
    <definedName name="_gas2">#REF!</definedName>
    <definedName name="_gas2006">#REF!</definedName>
    <definedName name="_H1" localSheetId="14">{"'Metretek HTML'!$A$7:$W$42"}</definedName>
    <definedName name="_H1" localSheetId="15">{"'Metretek HTML'!$A$7:$W$42"}</definedName>
    <definedName name="_H1" localSheetId="16">{"'Metretek HTML'!$A$7:$W$42"}</definedName>
    <definedName name="_H1">{"'Metretek HTML'!$A$7:$W$42"}</definedName>
    <definedName name="_JAN01" localSheetId="20" hidden="1">{#N/A,#N/A,FALSE,"EMPPAY"}</definedName>
    <definedName name="_JAN01" localSheetId="14" hidden="1">{#N/A,#N/A,FALSE,"EMPPAY"}</definedName>
    <definedName name="_JAN01" localSheetId="15" hidden="1">{#N/A,#N/A,FALSE,"EMPPAY"}</definedName>
    <definedName name="_JAN01" localSheetId="13" hidden="1">{#N/A,#N/A,FALSE,"EMPPAY"}</definedName>
    <definedName name="_JAN01" hidden="1">{#N/A,#N/A,FALSE,"EMPPAY"}</definedName>
    <definedName name="_JAN2001" localSheetId="20" hidden="1">{#N/A,#N/A,FALSE,"EMPPAY"}</definedName>
    <definedName name="_JAN2001" localSheetId="14" hidden="1">{#N/A,#N/A,FALSE,"EMPPAY"}</definedName>
    <definedName name="_JAN2001" localSheetId="15" hidden="1">{#N/A,#N/A,FALSE,"EMPPAY"}</definedName>
    <definedName name="_JAN2001" localSheetId="13" hidden="1">{#N/A,#N/A,FALSE,"EMPPAY"}</definedName>
    <definedName name="_JAN2001" hidden="1">{#N/A,#N/A,FALSE,"EMPPAY"}</definedName>
    <definedName name="_je1" localSheetId="16">#REF!</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'[13]JE 120 Jan-Nov Facesheet'!#REF!</definedName>
    <definedName name="_JE220" localSheetId="16">#REF!</definedName>
    <definedName name="_JE220">#REF!</definedName>
    <definedName name="_JE230" localSheetId="16">#REF!</definedName>
    <definedName name="_JE230">#REF!</definedName>
    <definedName name="_JE234" localSheetId="16">#REF!</definedName>
    <definedName name="_JE234">#REF!</definedName>
    <definedName name="_JE236">#REF!</definedName>
    <definedName name="_JE237">#REF!</definedName>
    <definedName name="_JE24">#REF!</definedName>
    <definedName name="_JE33">#REF!</definedName>
    <definedName name="_Key.1" hidden="1">#REF!</definedName>
    <definedName name="_Key1" localSheetId="19" hidden="1">'[20]Wage SPG 99'!#REF!</definedName>
    <definedName name="_Key1" hidden="1">'[20]Wage SPG 99'!#REF!</definedName>
    <definedName name="_Key2" localSheetId="19"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 localSheetId="16">#REF!</definedName>
    <definedName name="_New2">#REF!</definedName>
    <definedName name="_New3">#REF!</definedName>
    <definedName name="_New4">#REF!</definedName>
    <definedName name="_Order.1" hidden="1">255</definedName>
    <definedName name="_Order1">255</definedName>
    <definedName name="_Order2" localSheetId="20" hidden="1">0</definedName>
    <definedName name="_Order2" localSheetId="14" hidden="1">0</definedName>
    <definedName name="_Order2" localSheetId="13" hidden="1">0</definedName>
    <definedName name="_Order2" localSheetId="18" hidden="1">0</definedName>
    <definedName name="_Order2" localSheetId="19"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'[11]QRE''s'!$D$1:$D$65536</definedName>
    <definedName name="_qre84100" localSheetId="16">#REF!</definedName>
    <definedName name="_qre84100">#REF!</definedName>
    <definedName name="_qre84101" localSheetId="16">#REF!</definedName>
    <definedName name="_qre84101">#REF!</definedName>
    <definedName name="_qre84102" localSheetId="16">#REF!</definedName>
    <definedName name="_qre84102">#REF!</definedName>
    <definedName name="_qre84103">#REF!</definedName>
    <definedName name="_qre8490">[11]Model!$I$126</definedName>
    <definedName name="_qre8491">[11]Model!$J$126</definedName>
    <definedName name="_qre8492">[11]Model!$K$126</definedName>
    <definedName name="_qre8493">[11]Model!$L$126</definedName>
    <definedName name="_qre8494">[11]Model!$M$126</definedName>
    <definedName name="_qre8495">[11]Model!$N$126</definedName>
    <definedName name="_qre8496">[11]Model!$O$126</definedName>
    <definedName name="_qre8497">[11]Model!$P$126</definedName>
    <definedName name="_qre8498">[11]Model!$Q$126</definedName>
    <definedName name="_qre8499" localSheetId="16">#REF!</definedName>
    <definedName name="_qre8499">#REF!</definedName>
    <definedName name="_qre85">'[11]QRE''s'!$E$1:$E$65536</definedName>
    <definedName name="_qre85100" localSheetId="16">#REF!</definedName>
    <definedName name="_qre85100">#REF!</definedName>
    <definedName name="_qre85101" localSheetId="16">#REF!</definedName>
    <definedName name="_qre85101">#REF!</definedName>
    <definedName name="_qre85102" localSheetId="16">#REF!</definedName>
    <definedName name="_qre85102">#REF!</definedName>
    <definedName name="_qre85103">#REF!</definedName>
    <definedName name="_qre8590">[11]Model!$I$127</definedName>
    <definedName name="_qre8591">[11]Model!$J$127</definedName>
    <definedName name="_qre8592">[11]Model!$K$127</definedName>
    <definedName name="_qre8593">[11]Model!$L$127</definedName>
    <definedName name="_qre8594">[11]Model!$M$127</definedName>
    <definedName name="_qre8595">[11]Model!$N$127</definedName>
    <definedName name="_qre8596">[11]Model!$O$127</definedName>
    <definedName name="_qre8597">[11]Model!$P$127</definedName>
    <definedName name="_qre8598">[11]Model!$Q$127</definedName>
    <definedName name="_qre8599" localSheetId="16">#REF!</definedName>
    <definedName name="_qre8599">#REF!</definedName>
    <definedName name="_qre86">'[11]QRE''s'!$F$1:$F$65536</definedName>
    <definedName name="_qre86100" localSheetId="16">#REF!</definedName>
    <definedName name="_qre86100">#REF!</definedName>
    <definedName name="_qre86101" localSheetId="16">#REF!</definedName>
    <definedName name="_qre86101">#REF!</definedName>
    <definedName name="_qre86102" localSheetId="16">#REF!</definedName>
    <definedName name="_qre86102">#REF!</definedName>
    <definedName name="_qre86103">#REF!</definedName>
    <definedName name="_qre8690">[11]Model!$I$128</definedName>
    <definedName name="_qre8691">[11]Model!$J$128</definedName>
    <definedName name="_qre8692">[11]Model!$K$128</definedName>
    <definedName name="_qre8693">[11]Model!$L$128</definedName>
    <definedName name="_qre8694">[11]Model!$M$128</definedName>
    <definedName name="_qre8695">[11]Model!$N$128</definedName>
    <definedName name="_qre8696">[11]Model!$O$128</definedName>
    <definedName name="_qre8697">[11]Model!$P$128</definedName>
    <definedName name="_qre8698">[11]Model!$Q$128</definedName>
    <definedName name="_qre8699" localSheetId="16">#REF!</definedName>
    <definedName name="_qre8699">#REF!</definedName>
    <definedName name="_qre87">'[11]QRE''s'!$G$1:$G$65536</definedName>
    <definedName name="_qre87100" localSheetId="16">#REF!</definedName>
    <definedName name="_qre87100">#REF!</definedName>
    <definedName name="_qre87101" localSheetId="16">#REF!</definedName>
    <definedName name="_qre87101">#REF!</definedName>
    <definedName name="_qre87102" localSheetId="16">#REF!</definedName>
    <definedName name="_qre87102">#REF!</definedName>
    <definedName name="_qre87103">#REF!</definedName>
    <definedName name="_qre8790">[11]Model!$I$129</definedName>
    <definedName name="_qre8791">[11]Model!$J$129</definedName>
    <definedName name="_qre8792">[11]Model!$K$129</definedName>
    <definedName name="_qre8793">[11]Model!$L$129</definedName>
    <definedName name="_qre8794">[11]Model!$M$129</definedName>
    <definedName name="_qre8795">[11]Model!$N$129</definedName>
    <definedName name="_qre8796">[11]Model!$O$129</definedName>
    <definedName name="_qre8797">[11]Model!$P$129</definedName>
    <definedName name="_qre8798">[11]Model!$Q$129</definedName>
    <definedName name="_qre8799" localSheetId="16">#REF!</definedName>
    <definedName name="_qre8799">#REF!</definedName>
    <definedName name="_qre88">'[11]QRE''s'!$H$1:$H$65536</definedName>
    <definedName name="_qre88100" localSheetId="16">#REF!</definedName>
    <definedName name="_qre88100">#REF!</definedName>
    <definedName name="_qre88101" localSheetId="16">#REF!</definedName>
    <definedName name="_qre88101">#REF!</definedName>
    <definedName name="_qre88102" localSheetId="16">#REF!</definedName>
    <definedName name="_qre88102">#REF!</definedName>
    <definedName name="_qre88103">#REF!</definedName>
    <definedName name="_qre8890">[11]Model!$I$130</definedName>
    <definedName name="_qre8891">[11]Model!$J$130</definedName>
    <definedName name="_qre8892">[11]Model!$K$130</definedName>
    <definedName name="_qre8893">[11]Model!$L$130</definedName>
    <definedName name="_qre8894">[11]Model!$M$130</definedName>
    <definedName name="_qre8895">[11]Model!$N$130</definedName>
    <definedName name="_qre8896">[11]Model!$O$130</definedName>
    <definedName name="_qre8897">[11]Model!$P$130</definedName>
    <definedName name="_qre8898">[11]Model!$Q$130</definedName>
    <definedName name="_qre8899" localSheetId="16">#REF!</definedName>
    <definedName name="_qre8899">#REF!</definedName>
    <definedName name="_qre89">'[11]QRE''s'!$I$1:$I$65536</definedName>
    <definedName name="_qre90">'[11]QRE''s'!$J$1:$J$65536</definedName>
    <definedName name="_qre91">'[11]QRE''s'!$K$1:$K$65536</definedName>
    <definedName name="_qre92">'[11]QRE''s'!$L$1:$L$65536</definedName>
    <definedName name="_qre93">'[11]QRE''s'!$M$1:$M$65536</definedName>
    <definedName name="_qre94">'[11]QRE''s'!$N$1:$N$65536</definedName>
    <definedName name="_qre95">'[11]QRE''s'!$O$1:$O$65536</definedName>
    <definedName name="_qre96">'[11]QRE''s'!$P$1:$P$65536</definedName>
    <definedName name="_qre97">'[11]QRE''s'!$Q$1:$Q$65536</definedName>
    <definedName name="_qre98">'[11]QRE''s'!$R$1:$R$65536</definedName>
    <definedName name="_Regression_Int">1</definedName>
    <definedName name="_Regression_Out" hidden="1">#REF!</definedName>
    <definedName name="_Regression_X" hidden="1">#REF!</definedName>
    <definedName name="_Regression_Y" hidden="1">#REF!</definedName>
    <definedName name="_ryr56565" localSheetId="20"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3"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6">#REF!</definedName>
    <definedName name="_sr01">#REF!</definedName>
    <definedName name="_sr02" localSheetId="16">#REF!</definedName>
    <definedName name="_sr02">#REF!</definedName>
    <definedName name="_sr03" localSheetId="16">#REF!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'[7]YTD Summary'!#REF!</definedName>
    <definedName name="_SUM3">'[21]Summ 165_236'!#REF!</definedName>
    <definedName name="_SUM4">'[21]Summ 165_236'!#REF!</definedName>
    <definedName name="_Table1_Out" hidden="1">#REF!</definedName>
    <definedName name="_Tax1999">#REF!</definedName>
    <definedName name="_tet12" hidden="1">{"assumptions",#N/A,FALSE,"Scenario 1";"valuation",#N/A,FALSE,"Scenario 1"}</definedName>
    <definedName name="_tet5" hidden="1">{"assumptions",#N/A,FALSE,"Scenario 1";"valuation",#N/A,FALSE,"Scenario 1"}</definedName>
    <definedName name="_tqc100" localSheetId="16">#REF!</definedName>
    <definedName name="_tqc100">#REF!</definedName>
    <definedName name="_tqc101" localSheetId="16">#REF!</definedName>
    <definedName name="_tqc101">#REF!</definedName>
    <definedName name="_tqc102" localSheetId="16">#REF!</definedName>
    <definedName name="_tqc102">#REF!</definedName>
    <definedName name="_tqc103">#REF!</definedName>
    <definedName name="_tqc90">'[11]QRE''s'!$J$101</definedName>
    <definedName name="_tqc91">'[11]QRE''s'!$K$101</definedName>
    <definedName name="_tqc92">'[11]QRE''s'!$L$101</definedName>
    <definedName name="_tqc93">'[11]QRE''s'!$M$101</definedName>
    <definedName name="_tqc94">'[11]QRE''s'!$N$101</definedName>
    <definedName name="_tqc95">'[11]QRE''s'!$O$101</definedName>
    <definedName name="_tqc96">'[11]QRE''s'!$P$101</definedName>
    <definedName name="_tqc97">'[11]QRE''s'!$Q$101</definedName>
    <definedName name="_tqc98">'[11]QRE''s'!$R$101</definedName>
    <definedName name="_tqc99" localSheetId="16">#REF!</definedName>
    <definedName name="_tqc99">#REF!</definedName>
    <definedName name="_tql100" localSheetId="16">#REF!</definedName>
    <definedName name="_tql100">#REF!</definedName>
    <definedName name="_tql101" localSheetId="16">#REF!</definedName>
    <definedName name="_tql101">#REF!</definedName>
    <definedName name="_tql102">#REF!</definedName>
    <definedName name="_tql103">#REF!</definedName>
    <definedName name="_tql90">'[11]QRE''s'!$J$99</definedName>
    <definedName name="_tql91">'[11]QRE''s'!$K$99</definedName>
    <definedName name="_tql92">'[11]QRE''s'!$L$99</definedName>
    <definedName name="_tql93">'[11]QRE''s'!$M$99</definedName>
    <definedName name="_tql94">'[11]QRE''s'!$N$99</definedName>
    <definedName name="_tql95">'[11]QRE''s'!$O$99</definedName>
    <definedName name="_tql96">'[11]QRE''s'!$P$99</definedName>
    <definedName name="_tql97">'[11]QRE''s'!$Q$99</definedName>
    <definedName name="_tql98">'[11]QRE''s'!$R$99</definedName>
    <definedName name="_tql99" localSheetId="16">#REF!</definedName>
    <definedName name="_tql99">#REF!</definedName>
    <definedName name="_tqs100" localSheetId="16">#REF!</definedName>
    <definedName name="_tqs100">#REF!</definedName>
    <definedName name="_tqs101" localSheetId="16">#REF!</definedName>
    <definedName name="_tqs101">#REF!</definedName>
    <definedName name="_tqs102">#REF!</definedName>
    <definedName name="_tqs103">#REF!</definedName>
    <definedName name="_tqs90">'[11]QRE''s'!$J$100</definedName>
    <definedName name="_tqs91">'[11]QRE''s'!$K$100</definedName>
    <definedName name="_tqs92">'[11]QRE''s'!$L$100</definedName>
    <definedName name="_tqs93">'[11]QRE''s'!$M$100</definedName>
    <definedName name="_tqs94">'[11]QRE''s'!$N$100</definedName>
    <definedName name="_tqs95">'[11]QRE''s'!$O$100</definedName>
    <definedName name="_tqs96">'[11]QRE''s'!$P$100</definedName>
    <definedName name="_tqs97">'[11]QRE''s'!$Q$100</definedName>
    <definedName name="_tqs98">'[11]QRE''s'!$R$100</definedName>
    <definedName name="_tqs99" localSheetId="16">#REF!</definedName>
    <definedName name="_tqs99">#REF!</definedName>
    <definedName name="A" localSheetId="20" hidden="1">{#N/A,#N/A,FALSE,"EMPPAY"}</definedName>
    <definedName name="A" localSheetId="14" hidden="1">{#N/A,#N/A,FALSE,"EMPPAY"}</definedName>
    <definedName name="A" localSheetId="13" hidden="1">{#N/A,#N/A,FALSE,"EMPPAY"}</definedName>
    <definedName name="A" localSheetId="16">#REF!</definedName>
    <definedName name="A" localSheetId="18" hidden="1">{#N/A,#N/A,FALSE,"EMPPAY"}</definedName>
    <definedName name="a" localSheetId="19">'9A - Gross Plant &amp; ARO'!$E$31</definedName>
    <definedName name="A">#REF!</definedName>
    <definedName name="a.1" hidden="1">{"LBO Summary",#N/A,FALSE,"Summary"}</definedName>
    <definedName name="AA" localSheetId="16">#REF!</definedName>
    <definedName name="AA">#REF!</definedName>
    <definedName name="AA.print">#REF!</definedName>
    <definedName name="aaa" localSheetId="20"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8"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8"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14">{"'Metretek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16">[19]DEPR96!#REF!</definedName>
    <definedName name="AC">[19]DEPR96!#REF!</definedName>
    <definedName name="AC_255">'[22]AC 255'!$A$1:$M$32</definedName>
    <definedName name="AC_282">[23]December!#REF!</definedName>
    <definedName name="Accounts_Payable" localSheetId="16">#REF!</definedName>
    <definedName name="Accounts_Payable">#REF!</definedName>
    <definedName name="Accounts_Receivable" localSheetId="16">#REF!</definedName>
    <definedName name="Accounts_Receivable">#REF!</definedName>
    <definedName name="Accounts_Receivable_Customer___Net" localSheetId="16">#REF!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[7]December!#REF!</definedName>
    <definedName name="ACCTTextLen">#REF!</definedName>
    <definedName name="Accum._Other_Comprehensive_Income" localSheetId="16">#REF!</definedName>
    <definedName name="Accum._Other_Comprehensive_Income">#REF!</definedName>
    <definedName name="ACQ" localSheetId="16">[19]DEPR96!#REF!</definedName>
    <definedName name="ACQ">[19]DEPR96!#REF!</definedName>
    <definedName name="ACRS" localSheetId="16">#REF!</definedName>
    <definedName name="ACRS">#REF!</definedName>
    <definedName name="Active1" localSheetId="16">#REF!</definedName>
    <definedName name="Active1">#REF!</definedName>
    <definedName name="Active2">#REF!</definedName>
    <definedName name="ActivityType">'[24]Activity Type'!$1:$1048576</definedName>
    <definedName name="ACTTextLen">#REF!</definedName>
    <definedName name="Actual">[25]Assumptions!$E$52</definedName>
    <definedName name="adds2008" localSheetId="16">#REF!</definedName>
    <definedName name="adds2008">#REF!</definedName>
    <definedName name="adfsadfds" localSheetId="20"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3"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16">#REF!</definedName>
    <definedName name="Adjustments_to_Reconcile_Net_Income_to_Net_Cash">#REF!</definedName>
    <definedName name="Admin___Other_Labor_included_in_O_M" localSheetId="16">#REF!</definedName>
    <definedName name="Admin___Other_Labor_included_in_O_M">#REF!</definedName>
    <definedName name="ads">#REF!</definedName>
    <definedName name="ADTL">'[26]C. Input'!$F$144</definedName>
    <definedName name="Affiliate_Interest_Expense__Revenue" localSheetId="16">#REF!</definedName>
    <definedName name="Affiliate_Interest_Expense__Revenue">#REF!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16">#REF!</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14" hidden="1">{#N/A,#N/A,FALSE,"Aging Summary";#N/A,#N/A,FALSE,"Ratio Analysis";#N/A,#N/A,FALSE,"Test 120 Day Accts";#N/A,#N/A,FALSE,"Tickmarks"}</definedName>
    <definedName name="aging" localSheetId="15"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16">#REF!</definedName>
    <definedName name="aircdy">#REF!</definedName>
    <definedName name="aircgrtm1" localSheetId="16">[11]AIRC!#REF!</definedName>
    <definedName name="aircgrtm1">[11]AIRC!#REF!</definedName>
    <definedName name="aircgrtm2" localSheetId="16">[11]AIRC!#REF!</definedName>
    <definedName name="aircgrtm2">[11]AIRC!#REF!</definedName>
    <definedName name="aircgrtm3">[11]AIRC!#REF!</definedName>
    <definedName name="aircgrtm4">[11]AIRC!#REF!</definedName>
    <definedName name="aircqre">[11]AIRC!$C$15</definedName>
    <definedName name="aircqrelabel">[11]AIRC!$B$15</definedName>
    <definedName name="airctitle">[11]AIRC!$A$1</definedName>
    <definedName name="airctm1">[11]AIRC!#REF!</definedName>
    <definedName name="airctm2">[11]AIRC!#REF!</definedName>
    <definedName name="airctm3">[11]AIRC!#REF!</definedName>
    <definedName name="airctm4">[11]AIRC!#REF!</definedName>
    <definedName name="ALERT1" localSheetId="16">#REF!</definedName>
    <definedName name="ALERT1">#REF!</definedName>
    <definedName name="ALERT2" localSheetId="16">#REF!</definedName>
    <definedName name="ALERT2">#REF!</definedName>
    <definedName name="ALERT3" localSheetId="16">#REF!</definedName>
    <definedName name="ALERT3">#REF!</definedName>
    <definedName name="Alignment" hidden="1">"a1"</definedName>
    <definedName name="ALL_QRES">[11]Sens_QRE_Factor!$D$8:$R$98</definedName>
    <definedName name="ALL_QRES0.75">'[11]QRE Charts'!$E$365</definedName>
    <definedName name="ALL_QRES0.80">'[11]QRE Charts'!$F$365</definedName>
    <definedName name="ALL_QRES0.85">'[11]QRE Charts'!$G$365</definedName>
    <definedName name="ALL_QRES0.90">'[11]QRE Charts'!$H$365</definedName>
    <definedName name="ALL_QRES0.95">'[11]QRE Charts'!$I$365</definedName>
    <definedName name="ALL_QRES1.00">'[11]QRE Charts'!$J$365</definedName>
    <definedName name="ALL_QRES1.05">'[11]QRE Charts'!$K$365</definedName>
    <definedName name="ALL_QRES1.10">'[11]QRE Charts'!$L$365</definedName>
    <definedName name="ALL_QRES1.15">'[11]QRE Charts'!$M$365</definedName>
    <definedName name="ALL_QRES1.20">'[11]QRE Charts'!$N$365</definedName>
    <definedName name="ALL_QRES1.25">'[11]QRE Charts'!$O$365</definedName>
    <definedName name="ALL_SENS_FACT" localSheetId="16">#REF!</definedName>
    <definedName name="ALL_SENS_FACT">#REF!</definedName>
    <definedName name="AllASS">[29]ALL!$B$25</definedName>
    <definedName name="ALLCGI">[29]ALL!$D$25</definedName>
    <definedName name="ALLOC" localSheetId="16">#REF!</definedName>
    <definedName name="ALLOC">#REF!</definedName>
    <definedName name="Allocator.gross.plant">'[30]Appendix A'!$H$30</definedName>
    <definedName name="Allocator.net.plant">'[30]Appendix A'!$H$33</definedName>
    <definedName name="Allocator.wages.salary">'[30]Appendix A'!$H$18</definedName>
    <definedName name="ALLOW" localSheetId="16">#REF!</definedName>
    <definedName name="ALLOW">#REF!</definedName>
    <definedName name="Allow_for_Funds_Used_During_Const.">#REF!</definedName>
    <definedName name="ALLRD">[29]ALL!$C$25</definedName>
    <definedName name="ALLSKP">[29]ALL!$E$25</definedName>
    <definedName name="ALLYRS_MESSAGE" localSheetId="16">#REF!</definedName>
    <definedName name="ALLYRS_MESSAGE">#REF!</definedName>
    <definedName name="ALOC">#REF!</definedName>
    <definedName name="ALOC_2">#REF!</definedName>
    <definedName name="alsdfa" localSheetId="20"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3"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16">#REF!</definedName>
    <definedName name="ALTMIN">[31]Pepco!#REF!</definedName>
    <definedName name="AMERICA" localSheetId="16">#REF!</definedName>
    <definedName name="AMERICA">#REF!</definedName>
    <definedName name="AMOR_BOM">#REF!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16">#REF!</definedName>
    <definedName name="Amortization___Other_Assets">#REF!</definedName>
    <definedName name="AMOUNT">#REF!</definedName>
    <definedName name="ANNSUM">#REF!</definedName>
    <definedName name="Annualization_Rate">#REF!</definedName>
    <definedName name="anscount" hidden="1">1</definedName>
    <definedName name="AO.print">#REF!</definedName>
    <definedName name="APA" localSheetId="16">#REF!</definedName>
    <definedName name="APA">#REF!</definedName>
    <definedName name="APN">'[32]Gas Ferc 2 2003'!$V$2</definedName>
    <definedName name="APR">[33]load!#REF!</definedName>
    <definedName name="APR_13_WRKSHT_SUM" localSheetId="16">#REF!</definedName>
    <definedName name="APR_13_WRKSHT_SUM">#REF!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14">{"'Metretek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 localSheetId="16">[31]Pepco!#REF!</definedName>
    <definedName name="asda">[31]Pepco!#REF!</definedName>
    <definedName name="asdf" localSheetId="20"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3"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0"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3"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0"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3"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6">#REF!</definedName>
    <definedName name="ASOFDATE">#REF!</definedName>
    <definedName name="AsOfMonthText">[34]Input!$B$6</definedName>
    <definedName name="assd" localSheetId="20"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3"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6">#REF!</definedName>
    <definedName name="Asset_Retirement_Obligations">#REF!</definedName>
    <definedName name="ASSET_SALES__input" localSheetId="16">#REF!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6">'[35]Aday IS DECo &amp; Other'!#REF!</definedName>
    <definedName name="Assets_Held_for_Sale_YR_2005">'[35]Aday IS DECo &amp; Other'!#REF!</definedName>
    <definedName name="Assets_Held_for_Sale_YR_2006" localSheetId="16">'[35]Aday IS DECo &amp; Other'!#REF!</definedName>
    <definedName name="Assets_Held_for_Sale_YR_2006">'[35]Aday IS DECo &amp; Other'!#REF!</definedName>
    <definedName name="Assets_Held_for_Sale_YR_2007" localSheetId="16">'[35]Aday IS DECo &amp; Other'!#REF!</definedName>
    <definedName name="Assets_Held_for_Sale_YR_2007">'[35]Aday IS DECo &amp; Other'!#REF!</definedName>
    <definedName name="Assets_Held_for_Sale_YR_2008" localSheetId="16">'[35]Aday IS DECo &amp; Other'!#REF!</definedName>
    <definedName name="Assets_Held_for_Sale_YR_2008">'[35]Aday IS DECo &amp; Other'!#REF!</definedName>
    <definedName name="ASSUMPT">#REF!</definedName>
    <definedName name="AUG" localSheetId="16">#REF!</definedName>
    <definedName name="AUG">#REF!</definedName>
    <definedName name="AV.FM.1..adjusted..print">#REF!</definedName>
    <definedName name="AV.FM.1.print">#REF!</definedName>
    <definedName name="AVG">#REF!</definedName>
    <definedName name="avoidint">"V2001-12-31"</definedName>
    <definedName name="az" localSheetId="14">{"'Metretek HTML'!$A$7:$W$42"}</definedName>
    <definedName name="az" localSheetId="15">{"'Metretek HTML'!$A$7:$W$42"}</definedName>
    <definedName name="az" localSheetId="16">{"'Metretek HTML'!$A$7:$W$42"}</definedName>
    <definedName name="az">{"'Metretek HTML'!$A$7:$W$42"}</definedName>
    <definedName name="B">#REF!</definedName>
    <definedName name="b_u_10">'[11]QRE''s'!$A$39:$IV$94</definedName>
    <definedName name="b_u_11">'[11]QRE''s'!$A$43:$IV$94</definedName>
    <definedName name="b_u_12">'[11]QRE''s'!$A$47:$IV$94</definedName>
    <definedName name="b_u_13">'[11]QRE''s'!$A$51:$IV$94</definedName>
    <definedName name="b_u_14">'[11]QRE''s'!$A$55:$IV$94</definedName>
    <definedName name="b_u_15">'[11]QRE''s'!$A$59:$IV$94</definedName>
    <definedName name="b_u_16">'[11]QRE''s'!$A$63:$IV$94</definedName>
    <definedName name="b_u_17">'[11]QRE''s'!$A$67:$IV$94</definedName>
    <definedName name="b_u_18">'[11]QRE''s'!$A$71:$IV$94</definedName>
    <definedName name="b_u_19">'[11]QRE''s'!$A$75:$IV$94</definedName>
    <definedName name="b_u_2">'[11]QRE''s'!$A$11:$IV$94</definedName>
    <definedName name="b_u_20">'[11]QRE''s'!$A$79:$IV$94</definedName>
    <definedName name="b_u_21">'[11]QRE''s'!$A$83:$IV$94</definedName>
    <definedName name="b_u_22">'[11]QRE''s'!$A$87:$IV$94</definedName>
    <definedName name="b_u_23">'[11]QRE''s'!$A$91:$IV$94</definedName>
    <definedName name="b_u_3">'[11]QRE''s'!$A$11:$IV$94</definedName>
    <definedName name="b_u_4">'[11]QRE''s'!$A$15:$IV$94</definedName>
    <definedName name="b_u_5">'[11]QRE''s'!$A$19:$IV$94</definedName>
    <definedName name="b_u_6">'[11]QRE''s'!$A$23:$IV$94</definedName>
    <definedName name="b_u_7">'[11]QRE''s'!$A$27:$IV$94</definedName>
    <definedName name="b_u_8">'[11]QRE''s'!$A$31:$IV$94</definedName>
    <definedName name="b_u_9">'[11]QRE''s'!$A$35:$IV$94</definedName>
    <definedName name="BA.print" localSheetId="16">#REF!</definedName>
    <definedName name="BA.print">#REF!</definedName>
    <definedName name="BadErrMsg">#REF!</definedName>
    <definedName name="BAL">#REF!</definedName>
    <definedName name="BALANCE">'[36]MTHLY BAL.'!$A$6:$O$89</definedName>
    <definedName name="Balance_Sheet_Assets" localSheetId="16">#REF!</definedName>
    <definedName name="Balance_Sheet_Assets">#REF!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[11]Sens_QRE_Factor!$D$8:$H$98</definedName>
    <definedName name="BASE_MESSAGE" localSheetId="16">#REF!</definedName>
    <definedName name="BASE_MESSAGE">#REF!</definedName>
    <definedName name="BASE_QRES">[11]Sens_QRE_Factor!$D$8:$H$98</definedName>
    <definedName name="BASE_QRES0.75">'[11]QRE Charts'!$E$366</definedName>
    <definedName name="BASE_QRES0.80">'[11]QRE Charts'!$F$366</definedName>
    <definedName name="BASE_QRES0.85">'[11]QRE Charts'!$G$366</definedName>
    <definedName name="BASE_QRES0.90">'[11]QRE Charts'!$H$366</definedName>
    <definedName name="BASE_QRES0.95">'[11]QRE Charts'!$I$366</definedName>
    <definedName name="BASE_QRES1.00">'[11]QRE Charts'!$J$366</definedName>
    <definedName name="BASE_QRES1.05">'[11]QRE Charts'!$K$366</definedName>
    <definedName name="BASE_QRES1.10">'[11]QRE Charts'!$L$366</definedName>
    <definedName name="BASE_QRES1.15">'[11]QRE Charts'!$M$366</definedName>
    <definedName name="BASE_QRES1.20">'[11]QRE Charts'!$N$366</definedName>
    <definedName name="BASE_QRES1.25">'[11]QRE Charts'!$O$366</definedName>
    <definedName name="BASE_SENS_FACT" localSheetId="16">#REF!</definedName>
    <definedName name="BASE_SENS_FACT">#REF!</definedName>
    <definedName name="BASIC">#REF!</definedName>
    <definedName name="Basic_Data" localSheetId="16">#REF!</definedName>
    <definedName name="Basic_Data">#REF!</definedName>
    <definedName name="Basis_Points">[25]Assumptions!$H$15</definedName>
    <definedName name="BB" localSheetId="16">#REF!</definedName>
    <definedName name="BB">#REF!</definedName>
    <definedName name="BB.print" localSheetId="16">#REF!</definedName>
    <definedName name="BB.print">#REF!</definedName>
    <definedName name="bbb" localSheetId="20"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8"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8"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8"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8"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#REF!</definedName>
    <definedName name="below">OFFSET(!A1,1,0)</definedName>
    <definedName name="benefit">#REF!</definedName>
    <definedName name="Benefits">350</definedName>
    <definedName name="beny" localSheetId="20"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3"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4" hidden="1">#REF!</definedName>
    <definedName name="BEx0017DGUEDPCFJUPUZOOLJCS2B" localSheetId="15" hidden="1">#REF!</definedName>
    <definedName name="BEx0017DGUEDPCFJUPUZOOLJCS2B" localSheetId="16" hidden="1">#REF!</definedName>
    <definedName name="BEx0017DGUEDPCFJUPUZOOLJCS2B" localSheetId="19" hidden="1">#REF!</definedName>
    <definedName name="BEx0017DGUEDPCFJUPUZOOLJCS2B" hidden="1">#REF!</definedName>
    <definedName name="BEx001CNWHJ5RULCSFM36ZCGJ1UH" localSheetId="16" hidden="1">#REF!</definedName>
    <definedName name="BEx001CNWHJ5RULCSFM36ZCGJ1UH" localSheetId="19" hidden="1">#REF!</definedName>
    <definedName name="BEx001CNWHJ5RULCSFM36ZCGJ1UH" hidden="1">#REF!</definedName>
    <definedName name="BEx004791UAJIJSN57OT7YBLNP82" localSheetId="16" hidden="1">#REF!</definedName>
    <definedName name="BEx004791UAJIJSN57OT7YBLNP82" localSheetId="19" hidden="1">#REF!</definedName>
    <definedName name="BEx004791UAJIJSN57OT7YBLNP82" hidden="1">#REF!</definedName>
    <definedName name="BEx008P2NVFDLBHL7IZ5WTMVOQ1F" localSheetId="19" hidden="1">#REF!</definedName>
    <definedName name="BEx008P2NVFDLBHL7IZ5WTMVOQ1F" hidden="1">#REF!</definedName>
    <definedName name="BEx009G00IN0JUIAQ4WE9NHTMQE2" localSheetId="19" hidden="1">#REF!</definedName>
    <definedName name="BEx009G00IN0JUIAQ4WE9NHTMQE2" hidden="1">#REF!</definedName>
    <definedName name="BEx00DXTY2JDVGWQKV8H7FG4SV30" localSheetId="19" hidden="1">#REF!</definedName>
    <definedName name="BEx00DXTY2JDVGWQKV8H7FG4SV30" hidden="1">#REF!</definedName>
    <definedName name="BEx00GHLTYRH5N2S6P78YW1CD30N" localSheetId="19" hidden="1">#REF!</definedName>
    <definedName name="BEx00GHLTYRH5N2S6P78YW1CD30N" hidden="1">#REF!</definedName>
    <definedName name="BEx00JC31DY11L45SEU4B10BIN6W" localSheetId="19" hidden="1">#REF!</definedName>
    <definedName name="BEx00JC31DY11L45SEU4B10BIN6W" hidden="1">#REF!</definedName>
    <definedName name="BEx00KZHZBHP3TDV1YMX4B19B95O" localSheetId="19" hidden="1">#REF!</definedName>
    <definedName name="BEx00KZHZBHP3TDV1YMX4B19B95O" hidden="1">#REF!</definedName>
    <definedName name="BEx00MBY8XXUOHIZ4LHXHPD7WYD5" localSheetId="19" hidden="1">#REF!</definedName>
    <definedName name="BEx00MBY8XXUOHIZ4LHXHPD7WYD5" hidden="1">#REF!</definedName>
    <definedName name="BEx00O4PAWETUBT0XVI1C4OHM15U" localSheetId="19" hidden="1">'[38]10.08.5 - 2008 Capital - TDBU'!#REF!</definedName>
    <definedName name="BEx00O4PAWETUBT0XVI1C4OHM15U" hidden="1">'[38]10.08.5 - 2008 Capital - TDBU'!#REF!</definedName>
    <definedName name="BEx01HY6E3GJ66ABU5ABN26V6Q13" localSheetId="14" hidden="1">#REF!</definedName>
    <definedName name="BEx01HY6E3GJ66ABU5ABN26V6Q13" localSheetId="15" hidden="1">#REF!</definedName>
    <definedName name="BEx01HY6E3GJ66ABU5ABN26V6Q13" localSheetId="16" hidden="1">#REF!</definedName>
    <definedName name="BEx01HY6E3GJ66ABU5ABN26V6Q13" localSheetId="19" hidden="1">#REF!</definedName>
    <definedName name="BEx01HY6E3GJ66ABU5ABN26V6Q13" hidden="1">#REF!</definedName>
    <definedName name="BEx01PQPVA98GRAAKX3HEZZ0XK5C" localSheetId="16" hidden="1">#REF!</definedName>
    <definedName name="BEx01PQPVA98GRAAKX3HEZZ0XK5C" localSheetId="19" hidden="1">#REF!</definedName>
    <definedName name="BEx01PQPVA98GRAAKX3HEZZ0XK5C" hidden="1">#REF!</definedName>
    <definedName name="BEx01PW5YQKEGAR8JDDI5OARYXDF" localSheetId="16" hidden="1">#REF!</definedName>
    <definedName name="BEx01PW5YQKEGAR8JDDI5OARYXDF" localSheetId="19" hidden="1">#REF!</definedName>
    <definedName name="BEx01PW5YQKEGAR8JDDI5OARYXDF" hidden="1">#REF!</definedName>
    <definedName name="BEx01XJ94SHJ1YQ7ORPW0RQGKI2H" localSheetId="19" hidden="1">#REF!</definedName>
    <definedName name="BEx01XJ94SHJ1YQ7ORPW0RQGKI2H" hidden="1">#REF!</definedName>
    <definedName name="BEx0262TTS9LPE4KF6VUW72201AB" localSheetId="19" hidden="1">#REF!</definedName>
    <definedName name="BEx0262TTS9LPE4KF6VUW72201AB" hidden="1">#REF!</definedName>
    <definedName name="BEx02PPH4OWYB9ZB2611OC9DA9MZ" localSheetId="19" hidden="1">#REF!</definedName>
    <definedName name="BEx02PPH4OWYB9ZB2611OC9DA9MZ" hidden="1">#REF!</definedName>
    <definedName name="BEx02Q08R9G839Q4RFGG9026C7PX" localSheetId="19" hidden="1">#REF!</definedName>
    <definedName name="BEx02Q08R9G839Q4RFGG9026C7PX" hidden="1">#REF!</definedName>
    <definedName name="BEx02SEL3Z1QWGAHXDPUA9WLTTPS" localSheetId="19" hidden="1">#REF!</definedName>
    <definedName name="BEx02SEL3Z1QWGAHXDPUA9WLTTPS" hidden="1">#REF!</definedName>
    <definedName name="BEx02Y3KJZH5BGDM9QEZ1PVVI114" localSheetId="19" hidden="1">#REF!</definedName>
    <definedName name="BEx02Y3KJZH5BGDM9QEZ1PVVI114" hidden="1">#REF!</definedName>
    <definedName name="BEx0313GRLLASDTVPW5DHTXHE74M" localSheetId="19" hidden="1">#REF!</definedName>
    <definedName name="BEx0313GRLLASDTVPW5DHTXHE74M" hidden="1">#REF!</definedName>
    <definedName name="BEx1F0SOZ3H5XUHXD7O01TCR8T6J" localSheetId="19" hidden="1">#REF!</definedName>
    <definedName name="BEx1F0SOZ3H5XUHXD7O01TCR8T6J" hidden="1">#REF!</definedName>
    <definedName name="BEx1F9HL824UCNCVZ2U62J4KZCX8" localSheetId="19" hidden="1">#REF!</definedName>
    <definedName name="BEx1F9HL824UCNCVZ2U62J4KZCX8" hidden="1">#REF!</definedName>
    <definedName name="BEx1FEVSJKTI1Q1Z874QZVFSJSVA" localSheetId="19" hidden="1">#REF!</definedName>
    <definedName name="BEx1FEVSJKTI1Q1Z874QZVFSJSVA" hidden="1">#REF!</definedName>
    <definedName name="BEx1FGDRUHHLI1GBHELT4PK0LY4V" localSheetId="19" hidden="1">#REF!</definedName>
    <definedName name="BEx1FGDRUHHLI1GBHELT4PK0LY4V" hidden="1">#REF!</definedName>
    <definedName name="BEx1FJZ7GKO99IYTP6GGGF7EUL3Z" localSheetId="19" hidden="1">#REF!</definedName>
    <definedName name="BEx1FJZ7GKO99IYTP6GGGF7EUL3Z" hidden="1">#REF!</definedName>
    <definedName name="BEx1FXBADB31WUEH8U617C5F40X9" localSheetId="19" hidden="1">#REF!</definedName>
    <definedName name="BEx1FXBADB31WUEH8U617C5F40X9" hidden="1">#REF!</definedName>
    <definedName name="BEx1FZV2CM77TBH1R6YYV9P06KA2" localSheetId="19" hidden="1">#REF!</definedName>
    <definedName name="BEx1FZV2CM77TBH1R6YYV9P06KA2" hidden="1">#REF!</definedName>
    <definedName name="BEx1G59AY8195JTUM6P18VXUFJ3E" localSheetId="19" hidden="1">#REF!</definedName>
    <definedName name="BEx1G59AY8195JTUM6P18VXUFJ3E" hidden="1">#REF!</definedName>
    <definedName name="BEx1GRFPRSO5UT952RBFGUHDUZN5" localSheetId="19" hidden="1">#REF!</definedName>
    <definedName name="BEx1GRFPRSO5UT952RBFGUHDUZN5" hidden="1">#REF!</definedName>
    <definedName name="BEx1GVMRHFXUP6XYYY9NR12PV5TF" localSheetId="19" hidden="1">#REF!</definedName>
    <definedName name="BEx1GVMRHFXUP6XYYY9NR12PV5TF" hidden="1">#REF!</definedName>
    <definedName name="BEx1H6KIT7BHUH6MDDWC935V9N47" localSheetId="19" hidden="1">#REF!</definedName>
    <definedName name="BEx1H6KIT7BHUH6MDDWC935V9N47" hidden="1">#REF!</definedName>
    <definedName name="BEx1HDGOOJ3SKHYMWUZJ1P0RQZ9N" localSheetId="19" hidden="1">#REF!</definedName>
    <definedName name="BEx1HDGOOJ3SKHYMWUZJ1P0RQZ9N" hidden="1">#REF!</definedName>
    <definedName name="BEx1HDM5ZXSJG6JQEMSFV52PZ10V" localSheetId="19" hidden="1">#REF!</definedName>
    <definedName name="BEx1HDM5ZXSJG6JQEMSFV52PZ10V" hidden="1">#REF!</definedName>
    <definedName name="BEx1HETBBZVN5F43LKOFMC4QB0CR" localSheetId="19" hidden="1">#REF!</definedName>
    <definedName name="BEx1HETBBZVN5F43LKOFMC4QB0CR" hidden="1">#REF!</definedName>
    <definedName name="BEx1HGWNWPLNXICOTP90TKQVVE4E" localSheetId="19" hidden="1">#REF!</definedName>
    <definedName name="BEx1HGWNWPLNXICOTP90TKQVVE4E" hidden="1">#REF!</definedName>
    <definedName name="BEx1HIPLJZABY0EMUOTZN0EQMDPU" localSheetId="19" hidden="1">#REF!</definedName>
    <definedName name="BEx1HIPLJZABY0EMUOTZN0EQMDPU" hidden="1">#REF!</definedName>
    <definedName name="BEx1HO94JIRX219MPWMB5E5XZ04X" localSheetId="19" hidden="1">#REF!</definedName>
    <definedName name="BEx1HO94JIRX219MPWMB5E5XZ04X" hidden="1">#REF!</definedName>
    <definedName name="BEx1HQNF6KHM21E3XLW0NMSSEI9S" localSheetId="19" hidden="1">#REF!</definedName>
    <definedName name="BEx1HQNF6KHM21E3XLW0NMSSEI9S" hidden="1">#REF!</definedName>
    <definedName name="BEx1HSLNWIW4S97ZBYY7I7M5YVH4" localSheetId="19" hidden="1">#REF!</definedName>
    <definedName name="BEx1HSLNWIW4S97ZBYY7I7M5YVH4" hidden="1">#REF!</definedName>
    <definedName name="BEx1HU8WGEGZ07PO2AYJ3Q7JV682" localSheetId="19" hidden="1">'[38]10.08.3 - 2008 Expense - TDBU'!#REF!</definedName>
    <definedName name="BEx1HU8WGEGZ07PO2AYJ3Q7JV682" hidden="1">'[38]10.08.3 - 2008 Expense - TDBU'!#REF!</definedName>
    <definedName name="BEx1I4QKTILCKZUSOJCVZN7SNHL5" localSheetId="14" hidden="1">#REF!</definedName>
    <definedName name="BEx1I4QKTILCKZUSOJCVZN7SNHL5" localSheetId="15" hidden="1">#REF!</definedName>
    <definedName name="BEx1I4QKTILCKZUSOJCVZN7SNHL5" localSheetId="16" hidden="1">#REF!</definedName>
    <definedName name="BEx1I4QKTILCKZUSOJCVZN7SNHL5" localSheetId="19" hidden="1">#REF!</definedName>
    <definedName name="BEx1I4QKTILCKZUSOJCVZN7SNHL5" hidden="1">#REF!</definedName>
    <definedName name="BEx1IE0ZP7RIFM9FI24S9I6AAJ14" localSheetId="16" hidden="1">#REF!</definedName>
    <definedName name="BEx1IE0ZP7RIFM9FI24S9I6AAJ14" localSheetId="19" hidden="1">#REF!</definedName>
    <definedName name="BEx1IE0ZP7RIFM9FI24S9I6AAJ14" hidden="1">#REF!</definedName>
    <definedName name="BEx1IGQ5B697MNDOE06MVSR0H58E" localSheetId="16" hidden="1">#REF!</definedName>
    <definedName name="BEx1IGQ5B697MNDOE06MVSR0H58E" localSheetId="19" hidden="1">#REF!</definedName>
    <definedName name="BEx1IGQ5B697MNDOE06MVSR0H58E" hidden="1">#REF!</definedName>
    <definedName name="BEx1IKRPW8MLB9Y485M1TL2IT9SH" localSheetId="19" hidden="1">#REF!</definedName>
    <definedName name="BEx1IKRPW8MLB9Y485M1TL2IT9SH" hidden="1">#REF!</definedName>
    <definedName name="BEx1J0CSSHDJGBJUHVOEMCF2P4DL" localSheetId="19" hidden="1">#REF!</definedName>
    <definedName name="BEx1J0CSSHDJGBJUHVOEMCF2P4DL" hidden="1">#REF!</definedName>
    <definedName name="BEx1J61RRF9LJ3V3R5OY3WJ6VBWR" localSheetId="19" hidden="1">#REF!</definedName>
    <definedName name="BEx1J61RRF9LJ3V3R5OY3WJ6VBWR" hidden="1">#REF!</definedName>
    <definedName name="BEx1J7E8VCGLPYU82QXVUG5N3ZAI" localSheetId="19" hidden="1">#REF!</definedName>
    <definedName name="BEx1J7E8VCGLPYU82QXVUG5N3ZAI" hidden="1">#REF!</definedName>
    <definedName name="BEx1JGE2YQWH8S25USOY08XVGO0D" localSheetId="19" hidden="1">#REF!</definedName>
    <definedName name="BEx1JGE2YQWH8S25USOY08XVGO0D" hidden="1">#REF!</definedName>
    <definedName name="BEx1JJJC9T1W7HY4V7HP1S1W4JO1" localSheetId="19" hidden="1">#REF!</definedName>
    <definedName name="BEx1JJJC9T1W7HY4V7HP1S1W4JO1" hidden="1">#REF!</definedName>
    <definedName name="BEx1JKKZSJ7DI4PTFVI9VVFMB1X2" localSheetId="19" hidden="1">#REF!</definedName>
    <definedName name="BEx1JKKZSJ7DI4PTFVI9VVFMB1X2" hidden="1">#REF!</definedName>
    <definedName name="BEx1JUBQFRVMASSFK4B3V0AD7YP9" localSheetId="19" hidden="1">#REF!</definedName>
    <definedName name="BEx1JUBQFRVMASSFK4B3V0AD7YP9" hidden="1">#REF!</definedName>
    <definedName name="BEx1JVTNDJQ0189VAB5O88Z9N2B1" localSheetId="19" hidden="1">#REF!</definedName>
    <definedName name="BEx1JVTNDJQ0189VAB5O88Z9N2B1" hidden="1">#REF!</definedName>
    <definedName name="BEx1JXBM5W4YRWNQ0P95QQS6JWD6" localSheetId="19" hidden="1">#REF!</definedName>
    <definedName name="BEx1JXBM5W4YRWNQ0P95QQS6JWD6" hidden="1">#REF!</definedName>
    <definedName name="BEx1K4D3BL8221FE5HGCB9VDX83Q" localSheetId="19" hidden="1">'[38]10.08.5 - 2008 Capital - TDBU'!#REF!</definedName>
    <definedName name="BEx1K4D3BL8221FE5HGCB9VDX83Q" hidden="1">'[38]10.08.5 - 2008 Capital - TDBU'!#REF!</definedName>
    <definedName name="BEx1K95QRKBCQOHKAK00IAOF748I" localSheetId="14" hidden="1">#REF!</definedName>
    <definedName name="BEx1K95QRKBCQOHKAK00IAOF748I" localSheetId="15" hidden="1">#REF!</definedName>
    <definedName name="BEx1K95QRKBCQOHKAK00IAOF748I" localSheetId="16" hidden="1">#REF!</definedName>
    <definedName name="BEx1K95QRKBCQOHKAK00IAOF748I" localSheetId="19" hidden="1">#REF!</definedName>
    <definedName name="BEx1K95QRKBCQOHKAK00IAOF748I" hidden="1">#REF!</definedName>
    <definedName name="BEx1KGCOC0TV99C9CNDK7IZRHVGO" localSheetId="16" hidden="1">#REF!</definedName>
    <definedName name="BEx1KGCOC0TV99C9CNDK7IZRHVGO" localSheetId="19" hidden="1">#REF!</definedName>
    <definedName name="BEx1KGCOC0TV99C9CNDK7IZRHVGO" hidden="1">#REF!</definedName>
    <definedName name="BEx1KGY9QEHZ9QSARMQUTQKRK4UX" localSheetId="16" hidden="1">#REF!</definedName>
    <definedName name="BEx1KGY9QEHZ9QSARMQUTQKRK4UX" localSheetId="19" hidden="1">#REF!</definedName>
    <definedName name="BEx1KGY9QEHZ9QSARMQUTQKRK4UX" hidden="1">#REF!</definedName>
    <definedName name="BEx1KKP1ELIF2UII2FWVGL7M1X7J" localSheetId="19" hidden="1">#REF!</definedName>
    <definedName name="BEx1KKP1ELIF2UII2FWVGL7M1X7J" hidden="1">#REF!</definedName>
    <definedName name="BEx1KUVWMB0QCWA3RBE4CADFVRIS" localSheetId="19" hidden="1">#REF!</definedName>
    <definedName name="BEx1KUVWMB0QCWA3RBE4CADFVRIS" hidden="1">#REF!</definedName>
    <definedName name="BEx1L2OG1SDFK2TPXELJ77YP4NI2" localSheetId="19" hidden="1">#REF!</definedName>
    <definedName name="BEx1L2OG1SDFK2TPXELJ77YP4NI2" hidden="1">#REF!</definedName>
    <definedName name="BEx1L6Q60MWRDJB4L20LK0XPA0Z2" localSheetId="19" hidden="1">#REF!</definedName>
    <definedName name="BEx1L6Q60MWRDJB4L20LK0XPA0Z2" hidden="1">#REF!</definedName>
    <definedName name="BEx1LAX8UE95OMEMCKW7PJJO7FX5" localSheetId="19" hidden="1">#REF!</definedName>
    <definedName name="BEx1LAX8UE95OMEMCKW7PJJO7FX5" hidden="1">#REF!</definedName>
    <definedName name="BEx1LD63FP2Z4BR9TKSHOZW9KKZ5" localSheetId="19" hidden="1">#REF!</definedName>
    <definedName name="BEx1LD63FP2Z4BR9TKSHOZW9KKZ5" hidden="1">#REF!</definedName>
    <definedName name="BEx1LDMB9RW982DUILM2WPT5VWQ3" localSheetId="19" hidden="1">#REF!</definedName>
    <definedName name="BEx1LDMB9RW982DUILM2WPT5VWQ3" hidden="1">#REF!</definedName>
    <definedName name="BEx1LR3VGF6TOZ4ZPIXZ96JKRKKD" localSheetId="19" hidden="1">#REF!</definedName>
    <definedName name="BEx1LR3VGF6TOZ4ZPIXZ96JKRKKD" hidden="1">#REF!</definedName>
    <definedName name="BEx1LRPGDQCOEMW8YT80J1XCDCIV" localSheetId="19" hidden="1">#REF!</definedName>
    <definedName name="BEx1LRPGDQCOEMW8YT80J1XCDCIV" hidden="1">#REF!</definedName>
    <definedName name="BEx1LRUSJW4JG54X07QWD9R27WV9" localSheetId="19" hidden="1">#REF!</definedName>
    <definedName name="BEx1LRUSJW4JG54X07QWD9R27WV9" hidden="1">#REF!</definedName>
    <definedName name="BEx1LU92C01NBTGCF0WADTO32CU2" localSheetId="19" hidden="1">#REF!</definedName>
    <definedName name="BEx1LU92C01NBTGCF0WADTO32CU2" hidden="1">#REF!</definedName>
    <definedName name="BEx1M1WBK5T0LP1AK2JYV6W87ID6" localSheetId="19" hidden="1">#REF!</definedName>
    <definedName name="BEx1M1WBK5T0LP1AK2JYV6W87ID6" hidden="1">#REF!</definedName>
    <definedName name="BEx1M51HHDYGIT8PON7U8ICL2S95" localSheetId="19" hidden="1">#REF!</definedName>
    <definedName name="BEx1M51HHDYGIT8PON7U8ICL2S95" hidden="1">#REF!</definedName>
    <definedName name="BEx1M68NRL0QD9UQV1RA9L68505H" localSheetId="19" hidden="1">#REF!</definedName>
    <definedName name="BEx1M68NRL0QD9UQV1RA9L68505H" hidden="1">#REF!</definedName>
    <definedName name="BEx1MQ0S8ZPM3QRPBJFVO8KGKJO2" localSheetId="19" hidden="1">#REF!</definedName>
    <definedName name="BEx1MQ0S8ZPM3QRPBJFVO8KGKJO2" hidden="1">#REF!</definedName>
    <definedName name="BEx1MTRKKVCHOZ0YGID6HZ49LJTO" localSheetId="19" hidden="1">#REF!</definedName>
    <definedName name="BEx1MTRKKVCHOZ0YGID6HZ49LJTO" hidden="1">#REF!</definedName>
    <definedName name="BEx1N3CUJ3UX61X38ZAJVPEN4KMC" localSheetId="19" hidden="1">#REF!</definedName>
    <definedName name="BEx1N3CUJ3UX61X38ZAJVPEN4KMC" hidden="1">#REF!</definedName>
    <definedName name="BEx1NM34KQTO1LDNSAFD1L82UZFG" localSheetId="19" hidden="1">#REF!</definedName>
    <definedName name="BEx1NM34KQTO1LDNSAFD1L82UZFG" hidden="1">#REF!</definedName>
    <definedName name="BEx1NNQJ0R56EJAAW1MXNECZ55XH" localSheetId="19" hidden="1">'[38]10.08.5 - 2008 Capital - TDBU'!#REF!</definedName>
    <definedName name="BEx1NNQJ0R56EJAAW1MXNECZ55XH" hidden="1">'[38]10.08.5 - 2008 Capital - TDBU'!#REF!</definedName>
    <definedName name="BEx1NO6TXZVOGCUWCCRTXRXWW0XL" localSheetId="14" hidden="1">#REF!</definedName>
    <definedName name="BEx1NO6TXZVOGCUWCCRTXRXWW0XL" localSheetId="15" hidden="1">#REF!</definedName>
    <definedName name="BEx1NO6TXZVOGCUWCCRTXRXWW0XL" localSheetId="16" hidden="1">#REF!</definedName>
    <definedName name="BEx1NO6TXZVOGCUWCCRTXRXWW0XL" localSheetId="19" hidden="1">#REF!</definedName>
    <definedName name="BEx1NO6TXZVOGCUWCCRTXRXWW0XL" hidden="1">#REF!</definedName>
    <definedName name="BEx1NS8EU5P9FQV3S0WRTXI5L361" localSheetId="16" hidden="1">#REF!</definedName>
    <definedName name="BEx1NS8EU5P9FQV3S0WRTXI5L361" localSheetId="19" hidden="1">#REF!</definedName>
    <definedName name="BEx1NS8EU5P9FQV3S0WRTXI5L361" hidden="1">#REF!</definedName>
    <definedName name="BEx1NUBX5VUYZFKQH69FN6BTLWCR" localSheetId="16" hidden="1">#REF!</definedName>
    <definedName name="BEx1NUBX5VUYZFKQH69FN6BTLWCR" localSheetId="19" hidden="1">#REF!</definedName>
    <definedName name="BEx1NUBX5VUYZFKQH69FN6BTLWCR" hidden="1">#REF!</definedName>
    <definedName name="BEx1NZ4K1L8UON80Y2A4RASKWGNP" localSheetId="19" hidden="1">#REF!</definedName>
    <definedName name="BEx1NZ4K1L8UON80Y2A4RASKWGNP" hidden="1">#REF!</definedName>
    <definedName name="BEx1O24FHGT1KV1PHK1VQ1OUH4VP" localSheetId="19" hidden="1">#REF!</definedName>
    <definedName name="BEx1O24FHGT1KV1PHK1VQ1OUH4VP" hidden="1">#REF!</definedName>
    <definedName name="BEx1OFB62PDZZNV8TCVH2GJNNOSC" localSheetId="19" hidden="1">#REF!</definedName>
    <definedName name="BEx1OFB62PDZZNV8TCVH2GJNNOSC" hidden="1">#REF!</definedName>
    <definedName name="BEx1OLAZ915OGYWP0QP1QQWDLCRX" localSheetId="19" hidden="1">#REF!</definedName>
    <definedName name="BEx1OLAZ915OGYWP0QP1QQWDLCRX" hidden="1">#REF!</definedName>
    <definedName name="BEx1OO5ER042IS6IC4TLDI75JNVH" localSheetId="19" hidden="1">#REF!</definedName>
    <definedName name="BEx1OO5ER042IS6IC4TLDI75JNVH" hidden="1">#REF!</definedName>
    <definedName name="BEx1OTE544O0H6QOAIX6QZKHCDFW" localSheetId="19" hidden="1">#REF!</definedName>
    <definedName name="BEx1OTE544O0H6QOAIX6QZKHCDFW" hidden="1">#REF!</definedName>
    <definedName name="BEx1OTE54CBSUT8FWKRALEDCUWN4" localSheetId="19" hidden="1">#REF!</definedName>
    <definedName name="BEx1OTE54CBSUT8FWKRALEDCUWN4" hidden="1">#REF!</definedName>
    <definedName name="BEx1OVSMPADTX95QUOX34KZQ8EDY" localSheetId="19" hidden="1">#REF!</definedName>
    <definedName name="BEx1OVSMPADTX95QUOX34KZQ8EDY" hidden="1">#REF!</definedName>
    <definedName name="BEx1OX544IO9FQJI7YYQGZCEHB3O" localSheetId="19" hidden="1">#REF!</definedName>
    <definedName name="BEx1OX544IO9FQJI7YYQGZCEHB3O" hidden="1">#REF!</definedName>
    <definedName name="BEx1OY6SVEUT2EQ26P7EKEND342G" localSheetId="19" hidden="1">#REF!</definedName>
    <definedName name="BEx1OY6SVEUT2EQ26P7EKEND342G" hidden="1">#REF!</definedName>
    <definedName name="BEx1OYN1LPIPI12O9G6F7QAOS9T4" localSheetId="19" hidden="1">#REF!</definedName>
    <definedName name="BEx1OYN1LPIPI12O9G6F7QAOS9T4" hidden="1">#REF!</definedName>
    <definedName name="BEx1P1HHKJA799O3YZXQAX6KFH58" localSheetId="19" hidden="1">#REF!</definedName>
    <definedName name="BEx1P1HHKJA799O3YZXQAX6KFH58" hidden="1">#REF!</definedName>
    <definedName name="BEx1P34W467WGPOXPK292QFJIPHJ" localSheetId="19" hidden="1">#REF!</definedName>
    <definedName name="BEx1P34W467WGPOXPK292QFJIPHJ" hidden="1">#REF!</definedName>
    <definedName name="BEx1P58EB7DAA5Y346WUQVQR9QEO" localSheetId="19" hidden="1">#REF!</definedName>
    <definedName name="BEx1P58EB7DAA5Y346WUQVQR9QEO" hidden="1">#REF!</definedName>
    <definedName name="BEx1P7S1J4TKGVJ43C2Q2R3M9WRB" localSheetId="19" hidden="1">#REF!</definedName>
    <definedName name="BEx1P7S1J4TKGVJ43C2Q2R3M9WRB" hidden="1">#REF!</definedName>
    <definedName name="BEx1PA11BLPVZM8RC5BL46WX8YB5" localSheetId="19" hidden="1">#REF!</definedName>
    <definedName name="BEx1PA11BLPVZM8RC5BL46WX8YB5" hidden="1">#REF!</definedName>
    <definedName name="BEx1PBZ4BEFIPGMQXT9T8S4PZ2IM" localSheetId="19" hidden="1">#REF!</definedName>
    <definedName name="BEx1PBZ4BEFIPGMQXT9T8S4PZ2IM" hidden="1">#REF!</definedName>
    <definedName name="BEx1PKINWPH6BLUM5BTUM1OMO78L" localSheetId="19" hidden="1">#REF!</definedName>
    <definedName name="BEx1PKINWPH6BLUM5BTUM1OMO78L" hidden="1">#REF!</definedName>
    <definedName name="BEx1PLF2CFSXBZPVI6CJ534EIJDN" localSheetId="19" hidden="1">#REF!</definedName>
    <definedName name="BEx1PLF2CFSXBZPVI6CJ534EIJDN" hidden="1">#REF!</definedName>
    <definedName name="BEx1PMWZB2DO6EM9BKLUICZJ65HD" localSheetId="19" hidden="1">#REF!</definedName>
    <definedName name="BEx1PMWZB2DO6EM9BKLUICZJ65HD" hidden="1">#REF!</definedName>
    <definedName name="BEx1PUK290DX9LHEN2RS5E5L92YR" localSheetId="19" hidden="1">#REF!</definedName>
    <definedName name="BEx1PUK290DX9LHEN2RS5E5L92YR" hidden="1">#REF!</definedName>
    <definedName name="BEx1PWNKPN825TMXC0L3V3FWMXS4" localSheetId="19" hidden="1">'[38]10.08.2 - 2008 Expense'!#REF!</definedName>
    <definedName name="BEx1PWNKPN825TMXC0L3V3FWMXS4" hidden="1">'[38]10.08.2 - 2008 Expense'!#REF!</definedName>
    <definedName name="BEx1Q21TG5PWZ4V504UC7VGQ9FEI" localSheetId="14" hidden="1">#REF!</definedName>
    <definedName name="BEx1Q21TG5PWZ4V504UC7VGQ9FEI" localSheetId="15" hidden="1">#REF!</definedName>
    <definedName name="BEx1Q21TG5PWZ4V504UC7VGQ9FEI" localSheetId="16" hidden="1">#REF!</definedName>
    <definedName name="BEx1Q21TG5PWZ4V504UC7VGQ9FEI" localSheetId="19" hidden="1">#REF!</definedName>
    <definedName name="BEx1Q21TG5PWZ4V504UC7VGQ9FEI" hidden="1">#REF!</definedName>
    <definedName name="BEx1QA54J2A4I7IBQR19BTY28ZMR" localSheetId="16" hidden="1">#REF!</definedName>
    <definedName name="BEx1QA54J2A4I7IBQR19BTY28ZMR" localSheetId="19" hidden="1">#REF!</definedName>
    <definedName name="BEx1QA54J2A4I7IBQR19BTY28ZMR" hidden="1">#REF!</definedName>
    <definedName name="BEx1QMKTAIQ9VGEWQ95YM98EUX0H" localSheetId="16" hidden="1">#REF!</definedName>
    <definedName name="BEx1QMKTAIQ9VGEWQ95YM98EUX0H" localSheetId="19" hidden="1">#REF!</definedName>
    <definedName name="BEx1QMKTAIQ9VGEWQ95YM98EUX0H" hidden="1">#REF!</definedName>
    <definedName name="BEx1QMQAHG3KQUK59DVM68SWKZIZ" localSheetId="19" hidden="1">#REF!</definedName>
    <definedName name="BEx1QMQAHG3KQUK59DVM68SWKZIZ" hidden="1">#REF!</definedName>
    <definedName name="BEx1R9YFKJCMSEST8OVCAO5E47FO" localSheetId="19" hidden="1">#REF!</definedName>
    <definedName name="BEx1R9YFKJCMSEST8OVCAO5E47FO" hidden="1">#REF!</definedName>
    <definedName name="BEx1RBGC06B3T52OIC0EQ1KGVP1I" localSheetId="19" hidden="1">#REF!</definedName>
    <definedName name="BEx1RBGC06B3T52OIC0EQ1KGVP1I" hidden="1">#REF!</definedName>
    <definedName name="BEx1RG3NJLA83JCT26IM1NH7FHA3" localSheetId="19" hidden="1">#REF!</definedName>
    <definedName name="BEx1RG3NJLA83JCT26IM1NH7FHA3" hidden="1">#REF!</definedName>
    <definedName name="BEx1RPJGA9DKDGRAYU2BHE6FRJ0N" localSheetId="19" hidden="1">#REF!</definedName>
    <definedName name="BEx1RPJGA9DKDGRAYU2BHE6FRJ0N" hidden="1">#REF!</definedName>
    <definedName name="BEx1RRC7X4NI1CU4EO5XYE2GVARJ" localSheetId="19" hidden="1">#REF!</definedName>
    <definedName name="BEx1RRC7X4NI1CU4EO5XYE2GVARJ" hidden="1">#REF!</definedName>
    <definedName name="BEx1RZA1NCGT832L7EMR7GMF588W" localSheetId="19" hidden="1">#REF!</definedName>
    <definedName name="BEx1RZA1NCGT832L7EMR7GMF588W" hidden="1">#REF!</definedName>
    <definedName name="BEx1S0XGIPUSZQUCSGWSK10GKW7Y" localSheetId="19" hidden="1">#REF!</definedName>
    <definedName name="BEx1S0XGIPUSZQUCSGWSK10GKW7Y" hidden="1">#REF!</definedName>
    <definedName name="BEx1S5VFNKIXHTTCWSV60UC50EZ8" localSheetId="19" hidden="1">#REF!</definedName>
    <definedName name="BEx1S5VFNKIXHTTCWSV60UC50EZ8" hidden="1">#REF!</definedName>
    <definedName name="BEx1SFGNVAFMGBWWJ1P5SP00N381" localSheetId="19" hidden="1">#REF!</definedName>
    <definedName name="BEx1SFGNVAFMGBWWJ1P5SP00N381" hidden="1">#REF!</definedName>
    <definedName name="BEx1SFGP1BMG8LP140SHD1AEEPXP" localSheetId="19" hidden="1">'[38]10.08.3 - 2008 Expense - TDBU'!#REF!</definedName>
    <definedName name="BEx1SFGP1BMG8LP140SHD1AEEPXP" hidden="1">'[38]10.08.3 - 2008 Expense - TDBU'!#REF!</definedName>
    <definedName name="BEx1SK3U02H0RGKEYXW7ZMCEOF3V" localSheetId="14" hidden="1">#REF!</definedName>
    <definedName name="BEx1SK3U02H0RGKEYXW7ZMCEOF3V" localSheetId="15" hidden="1">#REF!</definedName>
    <definedName name="BEx1SK3U02H0RGKEYXW7ZMCEOF3V" localSheetId="16" hidden="1">#REF!</definedName>
    <definedName name="BEx1SK3U02H0RGKEYXW7ZMCEOF3V" localSheetId="19" hidden="1">#REF!</definedName>
    <definedName name="BEx1SK3U02H0RGKEYXW7ZMCEOF3V" hidden="1">#REF!</definedName>
    <definedName name="BEx1SO5L68CL3H1IC2HQ6TPY8U6F" localSheetId="16" hidden="1">#REF!</definedName>
    <definedName name="BEx1SO5L68CL3H1IC2HQ6TPY8U6F" localSheetId="19" hidden="1">#REF!</definedName>
    <definedName name="BEx1SO5L68CL3H1IC2HQ6TPY8U6F" hidden="1">#REF!</definedName>
    <definedName name="BEx1SSNEZINBJT29QVS62VS1THT4" localSheetId="16" hidden="1">#REF!</definedName>
    <definedName name="BEx1SSNEZINBJT29QVS62VS1THT4" localSheetId="19" hidden="1">#REF!</definedName>
    <definedName name="BEx1SSNEZINBJT29QVS62VS1THT4" hidden="1">#REF!</definedName>
    <definedName name="BEx1SVNCHNANBJIDIQVB8AFK4HAN" localSheetId="19" hidden="1">#REF!</definedName>
    <definedName name="BEx1SVNCHNANBJIDIQVB8AFK4HAN" hidden="1">#REF!</definedName>
    <definedName name="BEx1TE2YGKCOGDSQUWA9TLZW5GV4" localSheetId="19" hidden="1">#REF!</definedName>
    <definedName name="BEx1TE2YGKCOGDSQUWA9TLZW5GV4" hidden="1">#REF!</definedName>
    <definedName name="BEx1TJ0WLS9O7KNSGIPWTYHDYI1D" localSheetId="19" hidden="1">#REF!</definedName>
    <definedName name="BEx1TJ0WLS9O7KNSGIPWTYHDYI1D" hidden="1">#REF!</definedName>
    <definedName name="BEx1TLF98B75D1P3EJQ1GRYKUU6P" localSheetId="19" hidden="1">#REF!</definedName>
    <definedName name="BEx1TLF98B75D1P3EJQ1GRYKUU6P" hidden="1">#REF!</definedName>
    <definedName name="BEx1TYRAHXVPGDVF5KTTB3900F58" localSheetId="19" hidden="1">'[38]10.08.4 -2008 Capital'!#REF!</definedName>
    <definedName name="BEx1TYRAHXVPGDVF5KTTB3900F58" hidden="1">'[38]10.08.4 -2008 Capital'!#REF!</definedName>
    <definedName name="BEx1U15M7LVVFZENH830B2BGWC04" localSheetId="14" hidden="1">#REF!</definedName>
    <definedName name="BEx1U15M7LVVFZENH830B2BGWC04" localSheetId="15" hidden="1">#REF!</definedName>
    <definedName name="BEx1U15M7LVVFZENH830B2BGWC04" localSheetId="16" hidden="1">#REF!</definedName>
    <definedName name="BEx1U15M7LVVFZENH830B2BGWC04" localSheetId="19" hidden="1">#REF!</definedName>
    <definedName name="BEx1U15M7LVVFZENH830B2BGWC04" hidden="1">#REF!</definedName>
    <definedName name="BEx1U5NGVTXGL4CIPVT5O034KGGR" localSheetId="14" hidden="1">'[38]10.08.3 - 2008 Expense - TDBU'!#REF!</definedName>
    <definedName name="BEx1U5NGVTXGL4CIPVT5O034KGGR" localSheetId="15" hidden="1">'[38]10.08.3 - 2008 Expense - TDBU'!#REF!</definedName>
    <definedName name="BEx1U5NGVTXGL4CIPVT5O034KGGR" localSheetId="19" hidden="1">'[38]10.08.3 - 2008 Expense - TDBU'!#REF!</definedName>
    <definedName name="BEx1U5NGVTXGL4CIPVT5O034KGGR" hidden="1">'[38]10.08.3 - 2008 Expense - TDBU'!#REF!</definedName>
    <definedName name="BEx1U7WFO8OZKB1EBF4H386JW91L" localSheetId="14" hidden="1">#REF!</definedName>
    <definedName name="BEx1U7WFO8OZKB1EBF4H386JW91L" localSheetId="15" hidden="1">#REF!</definedName>
    <definedName name="BEx1U7WFO8OZKB1EBF4H386JW91L" localSheetId="16" hidden="1">#REF!</definedName>
    <definedName name="BEx1U7WFO8OZKB1EBF4H386JW91L" localSheetId="19" hidden="1">#REF!</definedName>
    <definedName name="BEx1U7WFO8OZKB1EBF4H386JW91L" hidden="1">#REF!</definedName>
    <definedName name="BEx1U87938YR9N6HYI24KVBKLOS3" localSheetId="16" hidden="1">#REF!</definedName>
    <definedName name="BEx1U87938YR9N6HYI24KVBKLOS3" localSheetId="19" hidden="1">#REF!</definedName>
    <definedName name="BEx1U87938YR9N6HYI24KVBKLOS3" hidden="1">#REF!</definedName>
    <definedName name="BEx1UESH4KDWHYESQU2IE55RS3LI" localSheetId="16" hidden="1">#REF!</definedName>
    <definedName name="BEx1UESH4KDWHYESQU2IE55RS3LI" localSheetId="19" hidden="1">#REF!</definedName>
    <definedName name="BEx1UESH4KDWHYESQU2IE55RS3LI" hidden="1">#REF!</definedName>
    <definedName name="BEx1UFZM4VZBYSPNK43H7Y6HNB2B" localSheetId="19" hidden="1">#REF!</definedName>
    <definedName name="BEx1UFZM4VZBYSPNK43H7Y6HNB2B" hidden="1">#REF!</definedName>
    <definedName name="BEx1UI8N9KTCPSOJ7RDW0T8UEBNP" localSheetId="19" hidden="1">#REF!</definedName>
    <definedName name="BEx1UI8N9KTCPSOJ7RDW0T8UEBNP" hidden="1">#REF!</definedName>
    <definedName name="BEx1UML0HHJFHA5TBOYQ24I3RV1W" localSheetId="19" hidden="1">#REF!</definedName>
    <definedName name="BEx1UML0HHJFHA5TBOYQ24I3RV1W" hidden="1">#REF!</definedName>
    <definedName name="BEx1UUDIQPZ23XQ79GUL0RAWRSCK" localSheetId="19" hidden="1">#REF!</definedName>
    <definedName name="BEx1UUDIQPZ23XQ79GUL0RAWRSCK" hidden="1">#REF!</definedName>
    <definedName name="BEx1UUTSK2C11SHV8AJXLYCJP9N4" localSheetId="19" hidden="1">#REF!</definedName>
    <definedName name="BEx1UUTSK2C11SHV8AJXLYCJP9N4" hidden="1">#REF!</definedName>
    <definedName name="BEx1V67SEV778NVW68J8W5SND1J7" localSheetId="19" hidden="1">#REF!</definedName>
    <definedName name="BEx1V67SEV778NVW68J8W5SND1J7" hidden="1">#REF!</definedName>
    <definedName name="BEx1VAK6RBDZVE57N471WHPORUOE" localSheetId="19" hidden="1">#REF!</definedName>
    <definedName name="BEx1VAK6RBDZVE57N471WHPORUOE" hidden="1">#REF!</definedName>
    <definedName name="BEx1VIY9SQLRESD11CC4PHYT0XSG" localSheetId="19" hidden="1">#REF!</definedName>
    <definedName name="BEx1VIY9SQLRESD11CC4PHYT0XSG" hidden="1">#REF!</definedName>
    <definedName name="BEx1WC67EH10SC38QWX3WEA5KH3A" localSheetId="19" hidden="1">#REF!</definedName>
    <definedName name="BEx1WC67EH10SC38QWX3WEA5KH3A" hidden="1">#REF!</definedName>
    <definedName name="BEx1WGYTKZZIPM1577W5FEYKFH3V" localSheetId="19" hidden="1">#REF!</definedName>
    <definedName name="BEx1WGYTKZZIPM1577W5FEYKFH3V" hidden="1">#REF!</definedName>
    <definedName name="BEx1WHPURIV3D3PTJJ359H1OP7ZV" localSheetId="19" hidden="1">#REF!</definedName>
    <definedName name="BEx1WHPURIV3D3PTJJ359H1OP7ZV" hidden="1">#REF!</definedName>
    <definedName name="BEx1WLWY2CR1WRD694JJSWSDFAIR" localSheetId="19" hidden="1">#REF!</definedName>
    <definedName name="BEx1WLWY2CR1WRD694JJSWSDFAIR" hidden="1">#REF!</definedName>
    <definedName name="BEx1WMD1LWPWRIK6GGAJRJAHJM8I" localSheetId="19" hidden="1">#REF!</definedName>
    <definedName name="BEx1WMD1LWPWRIK6GGAJRJAHJM8I" hidden="1">#REF!</definedName>
    <definedName name="BEx1WR0D41MR174LBF3P9E3K0J51" localSheetId="19" hidden="1">#REF!</definedName>
    <definedName name="BEx1WR0D41MR174LBF3P9E3K0J51" hidden="1">#REF!</definedName>
    <definedName name="BEx1WUB1FAS5PHU33TJ60SUHR618" localSheetId="19" hidden="1">#REF!</definedName>
    <definedName name="BEx1WUB1FAS5PHU33TJ60SUHR618" hidden="1">#REF!</definedName>
    <definedName name="BEx1WX04G0INSPPG9NTNR3DYR6PZ" localSheetId="19" hidden="1">#REF!</definedName>
    <definedName name="BEx1WX04G0INSPPG9NTNR3DYR6PZ" hidden="1">#REF!</definedName>
    <definedName name="BEx1X1SS6VBZVRNQ2BCV14SDSN2T" localSheetId="19" hidden="1">#REF!</definedName>
    <definedName name="BEx1X1SS6VBZVRNQ2BCV14SDSN2T" hidden="1">#REF!</definedName>
    <definedName name="BEx1X3LHU9DPG01VWX2IF65TRATF" localSheetId="19" hidden="1">#REF!</definedName>
    <definedName name="BEx1X3LHU9DPG01VWX2IF65TRATF" hidden="1">#REF!</definedName>
    <definedName name="BEx1XK8AAMO0AH0Z1OUKW30CA7EQ" localSheetId="19" hidden="1">#REF!</definedName>
    <definedName name="BEx1XK8AAMO0AH0Z1OUKW30CA7EQ" hidden="1">#REF!</definedName>
    <definedName name="BEx1XL4MZ7C80495GHQRWOBS16PQ" localSheetId="19" hidden="1">#REF!</definedName>
    <definedName name="BEx1XL4MZ7C80495GHQRWOBS16PQ" hidden="1">#REF!</definedName>
    <definedName name="BEx1Y2IGS2K95E1M51PEF9KJZ0KB" localSheetId="19" hidden="1">#REF!</definedName>
    <definedName name="BEx1Y2IGS2K95E1M51PEF9KJZ0KB" hidden="1">#REF!</definedName>
    <definedName name="BEx1Y3PKK83X2FN9SAALFHOWKMRQ" localSheetId="19" hidden="1">#REF!</definedName>
    <definedName name="BEx1Y3PKK83X2FN9SAALFHOWKMRQ" hidden="1">#REF!</definedName>
    <definedName name="BEx1Y40E3PP1FR4Z1T8TYMERO4NV" localSheetId="19" hidden="1">#REF!</definedName>
    <definedName name="BEx1Y40E3PP1FR4Z1T8TYMERO4NV" hidden="1">#REF!</definedName>
    <definedName name="BEx1YESSUDLAERX6LBB8V56M8SLC" localSheetId="19" hidden="1">#REF!</definedName>
    <definedName name="BEx1YESSUDLAERX6LBB8V56M8SLC" hidden="1">#REF!</definedName>
    <definedName name="BEx1YL3DJ7Y4AZ01ERCOGW0FJ26T" localSheetId="19" hidden="1">#REF!</definedName>
    <definedName name="BEx1YL3DJ7Y4AZ01ERCOGW0FJ26T" hidden="1">#REF!</definedName>
    <definedName name="BEx1Z2RYHSVD1H37817SN93VMURZ" localSheetId="19" hidden="1">#REF!</definedName>
    <definedName name="BEx1Z2RYHSVD1H37817SN93VMURZ" hidden="1">#REF!</definedName>
    <definedName name="BEx3AMAKWI6458B67VKZO56MCNJW" localSheetId="19" hidden="1">#REF!</definedName>
    <definedName name="BEx3AMAKWI6458B67VKZO56MCNJW" hidden="1">#REF!</definedName>
    <definedName name="BEx3AOOVM42G82TNF53W0EKXLUSI" localSheetId="19" hidden="1">#REF!</definedName>
    <definedName name="BEx3AOOVM42G82TNF53W0EKXLUSI" hidden="1">#REF!</definedName>
    <definedName name="BEx3AZH9W4SUFCAHNDOQ728R9V4L" localSheetId="19" hidden="1">#REF!</definedName>
    <definedName name="BEx3AZH9W4SUFCAHNDOQ728R9V4L" hidden="1">#REF!</definedName>
    <definedName name="BEx3B3OD51ISAN2LLIBMULN0U4ZC" localSheetId="19" hidden="1">#REF!</definedName>
    <definedName name="BEx3B3OD51ISAN2LLIBMULN0U4ZC" hidden="1">#REF!</definedName>
    <definedName name="BEx3BAKI5N8MFGVWZWCRJQZ879OO" localSheetId="19" hidden="1">#REF!</definedName>
    <definedName name="BEx3BAKI5N8MFGVWZWCRJQZ879OO" hidden="1">#REF!</definedName>
    <definedName name="BEx3BG9I89VA2OLYT4PV61JDXU69" localSheetId="19" hidden="1">#REF!</definedName>
    <definedName name="BEx3BG9I89VA2OLYT4PV61JDXU69" hidden="1">#REF!</definedName>
    <definedName name="BEx3BG9J3N0QW0HQLPDKHG4LNUP8" localSheetId="19" hidden="1">#REF!</definedName>
    <definedName name="BEx3BG9J3N0QW0HQLPDKHG4LNUP8" hidden="1">#REF!</definedName>
    <definedName name="BEx3BNR9ES4KY7Q1DK83KC5NDGL8" localSheetId="19" hidden="1">#REF!</definedName>
    <definedName name="BEx3BNR9ES4KY7Q1DK83KC5NDGL8" hidden="1">#REF!</definedName>
    <definedName name="BEx3BQR5VZXNQ4H949ORM8ESU3B3" localSheetId="19" hidden="1">#REF!</definedName>
    <definedName name="BEx3BQR5VZXNQ4H949ORM8ESU3B3" hidden="1">#REF!</definedName>
    <definedName name="BEx3BTLL3ASJN134DLEQTQM70VZM" localSheetId="19" hidden="1">#REF!</definedName>
    <definedName name="BEx3BTLL3ASJN134DLEQTQM70VZM" hidden="1">#REF!</definedName>
    <definedName name="BEx3BW5CTV0DJU5AQS3ZQFK2VLF3" localSheetId="19" hidden="1">#REF!</definedName>
    <definedName name="BEx3BW5CTV0DJU5AQS3ZQFK2VLF3" hidden="1">#REF!</definedName>
    <definedName name="BEx3BWAOSJWUXB8I63LLLOB0IJP1" localSheetId="19" hidden="1">#REF!</definedName>
    <definedName name="BEx3BWAOSJWUXB8I63LLLOB0IJP1" hidden="1">#REF!</definedName>
    <definedName name="BEx3BYP0FG369M7G3JEFLMMXAKTS" localSheetId="19" hidden="1">#REF!</definedName>
    <definedName name="BEx3BYP0FG369M7G3JEFLMMXAKTS" hidden="1">#REF!</definedName>
    <definedName name="BEx3C2QR0WUD19QSVO8EMIPNQJKH" localSheetId="19" hidden="1">#REF!</definedName>
    <definedName name="BEx3C2QR0WUD19QSVO8EMIPNQJKH" hidden="1">#REF!</definedName>
    <definedName name="BEx3C8AAGO4EJFEL0JJN2VY0HYIB" localSheetId="19" hidden="1">#REF!</definedName>
    <definedName name="BEx3C8AAGO4EJFEL0JJN2VY0HYIB" hidden="1">#REF!</definedName>
    <definedName name="BEx3CCS3VNR1KW2R7DKSQFZ17QW0" localSheetId="19" hidden="1">#REF!</definedName>
    <definedName name="BEx3CCS3VNR1KW2R7DKSQFZ17QW0" hidden="1">#REF!</definedName>
    <definedName name="BEx3CJTRYTU2EE1EL7M6DVFD01KO" localSheetId="19" hidden="1">#REF!</definedName>
    <definedName name="BEx3CJTRYTU2EE1EL7M6DVFD01KO" hidden="1">#REF!</definedName>
    <definedName name="BEx3CKFCCPZZ6ROLAT5C1DZNIC1U" localSheetId="19" hidden="1">#REF!</definedName>
    <definedName name="BEx3CKFCCPZZ6ROLAT5C1DZNIC1U" hidden="1">#REF!</definedName>
    <definedName name="BEx3CN4AESXZTH159TR8B9DJG12Z" localSheetId="19" hidden="1">#REF!</definedName>
    <definedName name="BEx3CN4AESXZTH159TR8B9DJG12Z" hidden="1">#REF!</definedName>
    <definedName name="BEx3CO0SVO4WLH0DO43DCHYDTH1P" localSheetId="19" hidden="1">#REF!</definedName>
    <definedName name="BEx3CO0SVO4WLH0DO43DCHYDTH1P" hidden="1">#REF!</definedName>
    <definedName name="BEx3D9G6QTSPF9UYI4X0XY0VE896" localSheetId="19" hidden="1">#REF!</definedName>
    <definedName name="BEx3D9G6QTSPF9UYI4X0XY0VE896" hidden="1">#REF!</definedName>
    <definedName name="BEx3DCQU9PBRXIMLO62KS5RLH447" localSheetId="19" hidden="1">#REF!</definedName>
    <definedName name="BEx3DCQU9PBRXIMLO62KS5RLH447" hidden="1">#REF!</definedName>
    <definedName name="BEx3E9K8R6R3TVXS3UM0127D8DNP" localSheetId="19" hidden="1">#REF!</definedName>
    <definedName name="BEx3E9K8R6R3TVXS3UM0127D8DNP" hidden="1">#REF!</definedName>
    <definedName name="BEx3EE23XC21IEMZ81C84ZBTBZA8" localSheetId="19" hidden="1">#REF!</definedName>
    <definedName name="BEx3EE23XC21IEMZ81C84ZBTBZA8" hidden="1">#REF!</definedName>
    <definedName name="BEx3EF99FD6QNNCNOKDEE67JHTUJ" localSheetId="19" hidden="1">#REF!</definedName>
    <definedName name="BEx3EF99FD6QNNCNOKDEE67JHTUJ" hidden="1">#REF!</definedName>
    <definedName name="BEx3EHCSERZ2O2OAG8Y95UPG2IY9" localSheetId="19" hidden="1">#REF!</definedName>
    <definedName name="BEx3EHCSERZ2O2OAG8Y95UPG2IY9" hidden="1">#REF!</definedName>
    <definedName name="BEx3EJR3TCJDYS7ZXNDS5N9KTGIK" localSheetId="19" hidden="1">#REF!</definedName>
    <definedName name="BEx3EJR3TCJDYS7ZXNDS5N9KTGIK" hidden="1">#REF!</definedName>
    <definedName name="BEx3ELJTTBS6P05CNISMGOJOA60V" localSheetId="19" hidden="1">#REF!</definedName>
    <definedName name="BEx3ELJTTBS6P05CNISMGOJOA60V" hidden="1">#REF!</definedName>
    <definedName name="BEx3EQSLJBDDJRHNX19PBFCKNY2I" localSheetId="19" hidden="1">#REF!</definedName>
    <definedName name="BEx3EQSLJBDDJRHNX19PBFCKNY2I" hidden="1">#REF!</definedName>
    <definedName name="BEx3EUUAX947Q5N6MY6W0KSNY78Y" localSheetId="19" hidden="1">#REF!</definedName>
    <definedName name="BEx3EUUAX947Q5N6MY6W0KSNY78Y" hidden="1">#REF!</definedName>
    <definedName name="BEx3EYVWCTX3E5LGECYH82ENAGBU" localSheetId="19" hidden="1">#REF!</definedName>
    <definedName name="BEx3EYVWCTX3E5LGECYH82ENAGBU" hidden="1">#REF!</definedName>
    <definedName name="BEx3F0JC8H5K4UPZ6HTO1OZ2OOOA" localSheetId="19" hidden="1">#REF!</definedName>
    <definedName name="BEx3F0JC8H5K4UPZ6HTO1OZ2OOOA" hidden="1">#REF!</definedName>
    <definedName name="BEx3F86EA79UA9R15EEYT5ZAYQGI" localSheetId="19" hidden="1">#REF!</definedName>
    <definedName name="BEx3F86EA79UA9R15EEYT5ZAYQGI" hidden="1">#REF!</definedName>
    <definedName name="BEx3FF2JGKF9FOM69W2I5I0JVUSZ" localSheetId="19" hidden="1">#REF!</definedName>
    <definedName name="BEx3FF2JGKF9FOM69W2I5I0JVUSZ" hidden="1">#REF!</definedName>
    <definedName name="BEx3FHMD1P5XBCH23ZKIFO6ZTCNB" localSheetId="19" hidden="1">#REF!</definedName>
    <definedName name="BEx3FHMD1P5XBCH23ZKIFO6ZTCNB" hidden="1">#REF!</definedName>
    <definedName name="BEx3FI2G3YYIACQHXNXEA15M8ZK5" localSheetId="19" hidden="1">#REF!</definedName>
    <definedName name="BEx3FI2G3YYIACQHXNXEA15M8ZK5" hidden="1">#REF!</definedName>
    <definedName name="BEx3FJ9MHSLDK8W91GO85FX1GX57" localSheetId="19" hidden="1">#REF!</definedName>
    <definedName name="BEx3FJ9MHSLDK8W91GO85FX1GX57" hidden="1">#REF!</definedName>
    <definedName name="BEx3FNM4HIBMXBBXPV7LKCWA3GHW" localSheetId="19" hidden="1">#REF!</definedName>
    <definedName name="BEx3FNM4HIBMXBBXPV7LKCWA3GHW" hidden="1">#REF!</definedName>
    <definedName name="BEx3FR251HFU7A33PU01SJUENL2B" localSheetId="19" hidden="1">#REF!</definedName>
    <definedName name="BEx3FR251HFU7A33PU01SJUENL2B" hidden="1">#REF!</definedName>
    <definedName name="BEx3FRIE1T53ZMO1E61ZGQ9THDOQ" localSheetId="19" hidden="1">'[38]10.08.5 - 2008 Capital - TDBU'!#REF!</definedName>
    <definedName name="BEx3FRIE1T53ZMO1E61ZGQ9THDOQ" hidden="1">'[38]10.08.5 - 2008 Capital - TDBU'!#REF!</definedName>
    <definedName name="BEx3FX7EJL47JSLSWP3EOC265WAE" localSheetId="14" hidden="1">#REF!</definedName>
    <definedName name="BEx3FX7EJL47JSLSWP3EOC265WAE" localSheetId="15" hidden="1">#REF!</definedName>
    <definedName name="BEx3FX7EJL47JSLSWP3EOC265WAE" localSheetId="16" hidden="1">#REF!</definedName>
    <definedName name="BEx3FX7EJL47JSLSWP3EOC265WAE" localSheetId="19" hidden="1">#REF!</definedName>
    <definedName name="BEx3FX7EJL47JSLSWP3EOC265WAE" hidden="1">#REF!</definedName>
    <definedName name="BEx3G201R8NLJ6FIHO2QS0SW9QVV" localSheetId="16" hidden="1">#REF!</definedName>
    <definedName name="BEx3G201R8NLJ6FIHO2QS0SW9QVV" localSheetId="19" hidden="1">#REF!</definedName>
    <definedName name="BEx3G201R8NLJ6FIHO2QS0SW9QVV" hidden="1">#REF!</definedName>
    <definedName name="BEx3G2LL2II66XY5YCDPG4JE13A3" localSheetId="16" hidden="1">#REF!</definedName>
    <definedName name="BEx3G2LL2II66XY5YCDPG4JE13A3" localSheetId="19" hidden="1">#REF!</definedName>
    <definedName name="BEx3G2LL2II66XY5YCDPG4JE13A3" hidden="1">#REF!</definedName>
    <definedName name="BEx3G2WA0DTYY9D8AGHHOBTPE2B2" localSheetId="19" hidden="1">#REF!</definedName>
    <definedName name="BEx3G2WA0DTYY9D8AGHHOBTPE2B2" hidden="1">#REF!</definedName>
    <definedName name="BEx3G3HT0ZM1BO84RTJMXZ1842C6" localSheetId="19" hidden="1">'[38]10.08.5 - 2008 Capital - TDBU'!#REF!</definedName>
    <definedName name="BEx3G3HT0ZM1BO84RTJMXZ1842C6" hidden="1">'[38]10.08.5 - 2008 Capital - TDBU'!#REF!</definedName>
    <definedName name="BEx3GCXR6IAS0B6WJ03GJVH7CO52" localSheetId="14" hidden="1">#REF!</definedName>
    <definedName name="BEx3GCXR6IAS0B6WJ03GJVH7CO52" localSheetId="15" hidden="1">#REF!</definedName>
    <definedName name="BEx3GCXR6IAS0B6WJ03GJVH7CO52" localSheetId="16" hidden="1">#REF!</definedName>
    <definedName name="BEx3GCXR6IAS0B6WJ03GJVH7CO52" localSheetId="19" hidden="1">#REF!</definedName>
    <definedName name="BEx3GCXR6IAS0B6WJ03GJVH7CO52" hidden="1">#REF!</definedName>
    <definedName name="BEx3GEVV18SEQDI1JGY7EN6D1GT1" localSheetId="16" hidden="1">#REF!</definedName>
    <definedName name="BEx3GEVV18SEQDI1JGY7EN6D1GT1" localSheetId="19" hidden="1">#REF!</definedName>
    <definedName name="BEx3GEVV18SEQDI1JGY7EN6D1GT1" hidden="1">#REF!</definedName>
    <definedName name="BEx3GKFH64MKQX61S7DYTZ15JCPY" localSheetId="16" hidden="1">#REF!</definedName>
    <definedName name="BEx3GKFH64MKQX61S7DYTZ15JCPY" localSheetId="19" hidden="1">#REF!</definedName>
    <definedName name="BEx3GKFH64MKQX61S7DYTZ15JCPY" hidden="1">#REF!</definedName>
    <definedName name="BEx3GMJ1Y6UU02DLRL0QXCEKDA6C" localSheetId="19" hidden="1">#REF!</definedName>
    <definedName name="BEx3GMJ1Y6UU02DLRL0QXCEKDA6C" hidden="1">#REF!</definedName>
    <definedName name="BEx3GN4LY0135CBDIN1TU2UEODGF" localSheetId="19" hidden="1">#REF!</definedName>
    <definedName name="BEx3GN4LY0135CBDIN1TU2UEODGF" hidden="1">#REF!</definedName>
    <definedName name="BEx3GPDH2AH4QKT4OOSN563XUHBD" localSheetId="19" hidden="1">#REF!</definedName>
    <definedName name="BEx3GPDH2AH4QKT4OOSN563XUHBD" hidden="1">#REF!</definedName>
    <definedName name="BEx3GVD97A24S6H24BSXJFP4JCW6" localSheetId="19" hidden="1">#REF!</definedName>
    <definedName name="BEx3GVD97A24S6H24BSXJFP4JCW6" hidden="1">#REF!</definedName>
    <definedName name="BEx3H5UX2GZFZZT657YR76RHW5I6" localSheetId="19" hidden="1">#REF!</definedName>
    <definedName name="BEx3H5UX2GZFZZT657YR76RHW5I6" hidden="1">#REF!</definedName>
    <definedName name="BEx3HMSEFOP6DBM4R97XA6B7NFG6" localSheetId="19" hidden="1">#REF!</definedName>
    <definedName name="BEx3HMSEFOP6DBM4R97XA6B7NFG6" hidden="1">#REF!</definedName>
    <definedName name="BEx3HNZM1GOP9RT8C2AXOMFXIMQ8" localSheetId="19" hidden="1">#REF!</definedName>
    <definedName name="BEx3HNZM1GOP9RT8C2AXOMFXIMQ8" hidden="1">#REF!</definedName>
    <definedName name="BEx3HWJ5SQSD2CVCQNR183X44FR8" localSheetId="19" hidden="1">#REF!</definedName>
    <definedName name="BEx3HWJ5SQSD2CVCQNR183X44FR8" hidden="1">#REF!</definedName>
    <definedName name="BEx3I09YVXO0G4X7KGSA4WGORM35" localSheetId="19" hidden="1">#REF!</definedName>
    <definedName name="BEx3I09YVXO0G4X7KGSA4WGORM35" hidden="1">#REF!</definedName>
    <definedName name="BEx3I7BLM11AXCZ8E4JU8ZIAXPAS" localSheetId="19" hidden="1">#REF!</definedName>
    <definedName name="BEx3I7BLM11AXCZ8E4JU8ZIAXPAS" hidden="1">#REF!</definedName>
    <definedName name="BEx3ICF1GY8HQEBIU9S43PDJ90BX" localSheetId="19" hidden="1">#REF!</definedName>
    <definedName name="BEx3ICF1GY8HQEBIU9S43PDJ90BX" hidden="1">#REF!</definedName>
    <definedName name="BEx3IYAH2DEBFWO8F94H4MXE3RLY" localSheetId="19" hidden="1">#REF!</definedName>
    <definedName name="BEx3IYAH2DEBFWO8F94H4MXE3RLY" hidden="1">#REF!</definedName>
    <definedName name="BEx3IZXXSYEW50379N2EAFWO8DZV" localSheetId="19" hidden="1">#REF!</definedName>
    <definedName name="BEx3IZXXSYEW50379N2EAFWO8DZV" hidden="1">#REF!</definedName>
    <definedName name="BEx3J1VZVGTKT4ATPO9O5JCSFTTR" localSheetId="19" hidden="1">#REF!</definedName>
    <definedName name="BEx3J1VZVGTKT4ATPO9O5JCSFTTR" hidden="1">#REF!</definedName>
    <definedName name="BEx3JC2TY7JNAAC3L7QHVPQXLGQ8" localSheetId="19" hidden="1">#REF!</definedName>
    <definedName name="BEx3JC2TY7JNAAC3L7QHVPQXLGQ8" hidden="1">#REF!</definedName>
    <definedName name="BEx3JHMINP1THWDI6C83QR21FBGR" localSheetId="19" hidden="1">#REF!</definedName>
    <definedName name="BEx3JHMINP1THWDI6C83QR21FBGR" hidden="1">#REF!</definedName>
    <definedName name="BEx3JX23SYDIGOGM4Y0CQFBW8ZBV" localSheetId="19" hidden="1">#REF!</definedName>
    <definedName name="BEx3JX23SYDIGOGM4Y0CQFBW8ZBV" hidden="1">#REF!</definedName>
    <definedName name="BEx3JXCXCVBZJGV5VEG9MJEI01AL" localSheetId="19" hidden="1">#REF!</definedName>
    <definedName name="BEx3JXCXCVBZJGV5VEG9MJEI01AL" hidden="1">#REF!</definedName>
    <definedName name="BEx3JY98ZGQOIJAD31AKR12C64LP" localSheetId="19" hidden="1">#REF!</definedName>
    <definedName name="BEx3JY98ZGQOIJAD31AKR12C64LP" hidden="1">#REF!</definedName>
    <definedName name="BEx3JYK2N7X59TPJSKYZ77ENY8SS" localSheetId="19" hidden="1">#REF!</definedName>
    <definedName name="BEx3JYK2N7X59TPJSKYZ77ENY8SS" hidden="1">#REF!</definedName>
    <definedName name="BEx3K4EII7GU1CG0BN7UL15M6J8Z" localSheetId="19" hidden="1">#REF!</definedName>
    <definedName name="BEx3K4EII7GU1CG0BN7UL15M6J8Z" hidden="1">#REF!</definedName>
    <definedName name="BEx3K4ZXQUQ2KYZF74B84SO48XMW" localSheetId="19" hidden="1">#REF!</definedName>
    <definedName name="BEx3K4ZXQUQ2KYZF74B84SO48XMW" hidden="1">#REF!</definedName>
    <definedName name="BEx3K5QZUNWBEQQWDCJDXXFBV4QK" localSheetId="19" hidden="1">#REF!</definedName>
    <definedName name="BEx3K5QZUNWBEQQWDCJDXXFBV4QK" hidden="1">#REF!</definedName>
    <definedName name="BEx3KC6WKRCQX6L4P34ZM7CCJFBT" localSheetId="19" hidden="1">#REF!</definedName>
    <definedName name="BEx3KC6WKRCQX6L4P34ZM7CCJFBT" hidden="1">#REF!</definedName>
    <definedName name="BEx3KEFXUCVNVPH7KSEGAZYX13B5" localSheetId="19" hidden="1">#REF!</definedName>
    <definedName name="BEx3KEFXUCVNVPH7KSEGAZYX13B5" hidden="1">#REF!</definedName>
    <definedName name="BEx3KFXUAF6YXAA47B7Q6X9B3VGB" localSheetId="19" hidden="1">#REF!</definedName>
    <definedName name="BEx3KFXUAF6YXAA47B7Q6X9B3VGB" hidden="1">#REF!</definedName>
    <definedName name="BEx3KIXQYOGMPK4WJJAVBRX4NR28" localSheetId="19" hidden="1">#REF!</definedName>
    <definedName name="BEx3KIXQYOGMPK4WJJAVBRX4NR28" hidden="1">#REF!</definedName>
    <definedName name="BEx3KJOMVOSFZVJUL3GKCNP6DQDS" localSheetId="19" hidden="1">#REF!</definedName>
    <definedName name="BEx3KJOMVOSFZVJUL3GKCNP6DQDS" hidden="1">#REF!</definedName>
    <definedName name="BEx3KP2VRBMORK0QEAZUYCXL3DHJ" localSheetId="19" hidden="1">#REF!</definedName>
    <definedName name="BEx3KP2VRBMORK0QEAZUYCXL3DHJ" hidden="1">#REF!</definedName>
    <definedName name="BEx3L4IN3LI4C26SITKTGAH27CDU" localSheetId="19" hidden="1">#REF!</definedName>
    <definedName name="BEx3L4IN3LI4C26SITKTGAH27CDU" hidden="1">#REF!</definedName>
    <definedName name="BEx3L4YQ0J7ZU0M5QM6YIPCEYC9K" localSheetId="19" hidden="1">#REF!</definedName>
    <definedName name="BEx3L4YQ0J7ZU0M5QM6YIPCEYC9K" hidden="1">#REF!</definedName>
    <definedName name="BEx3L60DJOR7NQN42G7YSAODP1EX" localSheetId="19" hidden="1">#REF!</definedName>
    <definedName name="BEx3L60DJOR7NQN42G7YSAODP1EX" hidden="1">#REF!</definedName>
    <definedName name="BEx3L7D0PI38HWZ7VADU16C9E33D" localSheetId="19" hidden="1">#REF!</definedName>
    <definedName name="BEx3L7D0PI38HWZ7VADU16C9E33D" hidden="1">#REF!</definedName>
    <definedName name="BEx3L7NTB2BHXP26B5F4A3PRTY0Z" localSheetId="19" hidden="1">#REF!</definedName>
    <definedName name="BEx3L7NTB2BHXP26B5F4A3PRTY0Z" hidden="1">#REF!</definedName>
    <definedName name="BEx3LM1PR4Y7KINKMTMKR984GX8Q" localSheetId="19" hidden="1">#REF!</definedName>
    <definedName name="BEx3LM1PR4Y7KINKMTMKR984GX8Q" hidden="1">#REF!</definedName>
    <definedName name="BEx3LPCEZ1C0XEKNCM3YT09JWCUO" localSheetId="19" hidden="1">#REF!</definedName>
    <definedName name="BEx3LPCEZ1C0XEKNCM3YT09JWCUO" hidden="1">#REF!</definedName>
    <definedName name="BEx3LTU80DDHQRJRLVN79J3RC5Z0" localSheetId="19" hidden="1">#REF!</definedName>
    <definedName name="BEx3LTU80DDHQRJRLVN79J3RC5Z0" hidden="1">#REF!</definedName>
    <definedName name="BEx3LUL5EICSTN6KP1M6B7NAHYVO" localSheetId="19" hidden="1">#REF!</definedName>
    <definedName name="BEx3LUL5EICSTN6KP1M6B7NAHYVO" hidden="1">#REF!</definedName>
    <definedName name="BEx3M1MR1K1NQD03H74BFWOK4MWQ" localSheetId="19" hidden="1">#REF!</definedName>
    <definedName name="BEx3M1MR1K1NQD03H74BFWOK4MWQ" hidden="1">#REF!</definedName>
    <definedName name="BEx3M4H77MYUKOOD31H9F80NMVK8" localSheetId="19" hidden="1">#REF!</definedName>
    <definedName name="BEx3M4H77MYUKOOD31H9F80NMVK8" hidden="1">#REF!</definedName>
    <definedName name="BEx3M885DQ9KX2HJ6T6P6HDY9GC4" localSheetId="19" hidden="1">#REF!</definedName>
    <definedName name="BEx3M885DQ9KX2HJ6T6P6HDY9GC4" hidden="1">#REF!</definedName>
    <definedName name="BEx3M9VFX329PZWYC4DMZ6P3W9R2" localSheetId="19" hidden="1">#REF!</definedName>
    <definedName name="BEx3M9VFX329PZWYC4DMZ6P3W9R2" hidden="1">#REF!</definedName>
    <definedName name="BEx3MCQ0L5NQSPA1DGA0QTYSLHNP" localSheetId="19" hidden="1">#REF!</definedName>
    <definedName name="BEx3MCQ0L5NQSPA1DGA0QTYSLHNP" hidden="1">#REF!</definedName>
    <definedName name="BEx3MCQ0VEBV0CZXDS505L38EQ8N" localSheetId="19" hidden="1">#REF!</definedName>
    <definedName name="BEx3MCQ0VEBV0CZXDS505L38EQ8N" hidden="1">#REF!</definedName>
    <definedName name="BEx3ME2HC294KYAUDR73NXYGVDW0" localSheetId="19" hidden="1">#REF!</definedName>
    <definedName name="BEx3ME2HC294KYAUDR73NXYGVDW0" hidden="1">#REF!</definedName>
    <definedName name="BEx3MEYV5LQY0BAL7V3CFAFVOM3T" localSheetId="19" hidden="1">#REF!</definedName>
    <definedName name="BEx3MEYV5LQY0BAL7V3CFAFVOM3T" hidden="1">#REF!</definedName>
    <definedName name="BEx3MREOFWJQEYMCMBL7ZE06NBN6" localSheetId="19" hidden="1">#REF!</definedName>
    <definedName name="BEx3MREOFWJQEYMCMBL7ZE06NBN6" hidden="1">#REF!</definedName>
    <definedName name="BEx3MRPHDEYR919ZKPYTH3O7DQTY" localSheetId="19" hidden="1">#REF!</definedName>
    <definedName name="BEx3MRPHDEYR919ZKPYTH3O7DQTY" hidden="1">#REF!</definedName>
    <definedName name="BEx3NKXF7GYXHBK75UI6MDRUSU0J" localSheetId="19" hidden="1">#REF!</definedName>
    <definedName name="BEx3NKXF7GYXHBK75UI6MDRUSU0J" hidden="1">#REF!</definedName>
    <definedName name="BEx3NLIZ7PHF2XE59ECZ3MD04ZG1" localSheetId="19" hidden="1">#REF!</definedName>
    <definedName name="BEx3NLIZ7PHF2XE59ECZ3MD04ZG1" hidden="1">#REF!</definedName>
    <definedName name="BEx3NMQ4BVC94728AUM7CCX7UHTU" localSheetId="19" hidden="1">#REF!</definedName>
    <definedName name="BEx3NMQ4BVC94728AUM7CCX7UHTU" hidden="1">#REF!</definedName>
    <definedName name="BEx3NNBPZUO6BZU0DLA11SQERG4L" localSheetId="19" hidden="1">#REF!</definedName>
    <definedName name="BEx3NNBPZUO6BZU0DLA11SQERG4L" hidden="1">#REF!</definedName>
    <definedName name="BEx3NR2I4OUFP3Z2QZEDU2PIFIDI" localSheetId="19" hidden="1">#REF!</definedName>
    <definedName name="BEx3NR2I4OUFP3Z2QZEDU2PIFIDI" hidden="1">#REF!</definedName>
    <definedName name="BEx3NVV3RL4UV2EU430NY5LKTPXD" localSheetId="19" hidden="1">#REF!</definedName>
    <definedName name="BEx3NVV3RL4UV2EU430NY5LKTPXD" hidden="1">#REF!</definedName>
    <definedName name="BEx3O1420BO99ELGBDOEK6YUS2AH" localSheetId="19" hidden="1">#REF!</definedName>
    <definedName name="BEx3O1420BO99ELGBDOEK6YUS2AH" hidden="1">#REF!</definedName>
    <definedName name="BEx3O19B8FTTAPVT5DZXQGQXWFR8" localSheetId="19" hidden="1">#REF!</definedName>
    <definedName name="BEx3O19B8FTTAPVT5DZXQGQXWFR8" hidden="1">#REF!</definedName>
    <definedName name="BEx3O208V4211X3WMWUFFIW28Y5U" localSheetId="19" hidden="1">#REF!</definedName>
    <definedName name="BEx3O208V4211X3WMWUFFIW28Y5U" hidden="1">#REF!</definedName>
    <definedName name="BEx3O7JY7N5U41CVEUHYIEK343YH" localSheetId="19" hidden="1">#REF!</definedName>
    <definedName name="BEx3O7JY7N5U41CVEUHYIEK343YH" hidden="1">#REF!</definedName>
    <definedName name="BEx3O85IKWARA6NCJOLRBRJFMEWW" localSheetId="19" hidden="1">[39]Table!#REF!</definedName>
    <definedName name="BEx3O85IKWARA6NCJOLRBRJFMEWW" hidden="1">[39]Table!#REF!</definedName>
    <definedName name="BEx3OFCGQH8N5QT3C8M44CX5CLHX" localSheetId="14" hidden="1">#REF!</definedName>
    <definedName name="BEx3OFCGQH8N5QT3C8M44CX5CLHX" localSheetId="15" hidden="1">#REF!</definedName>
    <definedName name="BEx3OFCGQH8N5QT3C8M44CX5CLHX" localSheetId="16" hidden="1">#REF!</definedName>
    <definedName name="BEx3OFCGQH8N5QT3C8M44CX5CLHX" localSheetId="19" hidden="1">#REF!</definedName>
    <definedName name="BEx3OFCGQH8N5QT3C8M44CX5CLHX" hidden="1">#REF!</definedName>
    <definedName name="BEx3OJZSCGFRW7SVGBFI0X9DNVMM" localSheetId="16" hidden="1">#REF!</definedName>
    <definedName name="BEx3OJZSCGFRW7SVGBFI0X9DNVMM" localSheetId="19" hidden="1">#REF!</definedName>
    <definedName name="BEx3OJZSCGFRW7SVGBFI0X9DNVMM" hidden="1">#REF!</definedName>
    <definedName name="BEx3ORSBUXAF21MKEY90YJV9AY9A" localSheetId="16" hidden="1">#REF!</definedName>
    <definedName name="BEx3ORSBUXAF21MKEY90YJV9AY9A" localSheetId="19" hidden="1">#REF!</definedName>
    <definedName name="BEx3ORSBUXAF21MKEY90YJV9AY9A" hidden="1">#REF!</definedName>
    <definedName name="BEx3OV8BH6PYNZT7C246LOAU9SVX" localSheetId="19" hidden="1">#REF!</definedName>
    <definedName name="BEx3OV8BH6PYNZT7C246LOAU9SVX" hidden="1">#REF!</definedName>
    <definedName name="BEx3OXRYJZUEY6E72UJU0PHLMYAR" localSheetId="19" hidden="1">#REF!</definedName>
    <definedName name="BEx3OXRYJZUEY6E72UJU0PHLMYAR" hidden="1">#REF!</definedName>
    <definedName name="BEx3P59TTRSGQY888P5C1O7M2PQT" localSheetId="19" hidden="1">#REF!</definedName>
    <definedName name="BEx3P59TTRSGQY888P5C1O7M2PQT" hidden="1">#REF!</definedName>
    <definedName name="BEx3PDNRRNKD5GOUBUQFXAHIXLD9" localSheetId="19" hidden="1">#REF!</definedName>
    <definedName name="BEx3PDNRRNKD5GOUBUQFXAHIXLD9" hidden="1">#REF!</definedName>
    <definedName name="BEx3PDT8GNPWLLN02IH1XPV90XYK" localSheetId="19" hidden="1">#REF!</definedName>
    <definedName name="BEx3PDT8GNPWLLN02IH1XPV90XYK" hidden="1">#REF!</definedName>
    <definedName name="BEx3PG24EE6BFX4WK0PD7YR4MWXE" localSheetId="19" hidden="1">#REF!</definedName>
    <definedName name="BEx3PG24EE6BFX4WK0PD7YR4MWXE" hidden="1">#REF!</definedName>
    <definedName name="BEx3PKEMDW8KZEP11IL927C5O7I2" localSheetId="19" hidden="1">#REF!</definedName>
    <definedName name="BEx3PKEMDW8KZEP11IL927C5O7I2" hidden="1">#REF!</definedName>
    <definedName name="BEx3PKJZ1Z7L9S6KV8KXVS6B2FX4" localSheetId="19" hidden="1">#REF!</definedName>
    <definedName name="BEx3PKJZ1Z7L9S6KV8KXVS6B2FX4" hidden="1">#REF!</definedName>
    <definedName name="BEx3PMNG53Z5HY138H99QOMTX8W3" localSheetId="19" hidden="1">#REF!</definedName>
    <definedName name="BEx3PMNG53Z5HY138H99QOMTX8W3" hidden="1">#REF!</definedName>
    <definedName name="BEx3PP1RRSFZ8UC0JC9R91W6LNKW" localSheetId="19" hidden="1">#REF!</definedName>
    <definedName name="BEx3PP1RRSFZ8UC0JC9R91W6LNKW" hidden="1">#REF!</definedName>
    <definedName name="BEx3PPCKN624WDXN9HIU6BDOOFL1" localSheetId="19" hidden="1">#REF!</definedName>
    <definedName name="BEx3PPCKN624WDXN9HIU6BDOOFL1" hidden="1">#REF!</definedName>
    <definedName name="BEx3PVXYZC8WB9ZJE7OCKUXZ46EA" localSheetId="19" hidden="1">#REF!</definedName>
    <definedName name="BEx3PVXYZC8WB9ZJE7OCKUXZ46EA" hidden="1">#REF!</definedName>
    <definedName name="BEx3Q0VWPU5EQECK7MQ47TYJ3SWW" localSheetId="19" hidden="1">#REF!</definedName>
    <definedName name="BEx3Q0VWPU5EQECK7MQ47TYJ3SWW" hidden="1">#REF!</definedName>
    <definedName name="BEx3Q7BZ9PUXK2RLIOFSIS9AHU1B" localSheetId="19" hidden="1">#REF!</definedName>
    <definedName name="BEx3Q7BZ9PUXK2RLIOFSIS9AHU1B" hidden="1">#REF!</definedName>
    <definedName name="BEx3Q8J42S9VU6EAN2Y28MR6DF88" localSheetId="19" hidden="1">#REF!</definedName>
    <definedName name="BEx3Q8J42S9VU6EAN2Y28MR6DF88" hidden="1">#REF!</definedName>
    <definedName name="BEx3QEDFOYFY5NBTININ5W4RLD4Q" localSheetId="19" hidden="1">#REF!</definedName>
    <definedName name="BEx3QEDFOYFY5NBTININ5W4RLD4Q" hidden="1">#REF!</definedName>
    <definedName name="BEx3QIKJ3U962US1Q564NZDLU8LD" localSheetId="19" hidden="1">#REF!</definedName>
    <definedName name="BEx3QIKJ3U962US1Q564NZDLU8LD" hidden="1">#REF!</definedName>
    <definedName name="BEx3QLKKMOCYGB7DSNC29XGRU52O" localSheetId="19" hidden="1">#REF!</definedName>
    <definedName name="BEx3QLKKMOCYGB7DSNC29XGRU52O" hidden="1">#REF!</definedName>
    <definedName name="BEx3QR9D45DHW50VQ7Y3Q1AXPOB9" localSheetId="19" hidden="1">#REF!</definedName>
    <definedName name="BEx3QR9D45DHW50VQ7Y3Q1AXPOB9" hidden="1">#REF!</definedName>
    <definedName name="BEx3QSWT2S5KWG6U2V9711IYDQBM" localSheetId="19" hidden="1">#REF!</definedName>
    <definedName name="BEx3QSWT2S5KWG6U2V9711IYDQBM" hidden="1">#REF!</definedName>
    <definedName name="BEx3QU9AM2D9N0887SF1H9427JKU" localSheetId="19" hidden="1">#REF!</definedName>
    <definedName name="BEx3QU9AM2D9N0887SF1H9427JKU" hidden="1">#REF!</definedName>
    <definedName name="BEx3QVGG7Q2X4HZHJAM35A8T3VR7" localSheetId="19" hidden="1">#REF!</definedName>
    <definedName name="BEx3QVGG7Q2X4HZHJAM35A8T3VR7" hidden="1">#REF!</definedName>
    <definedName name="BEx3R0JUB9YN8PHPPQTAMIT1IHWK" localSheetId="19" hidden="1">#REF!</definedName>
    <definedName name="BEx3R0JUB9YN8PHPPQTAMIT1IHWK" hidden="1">#REF!</definedName>
    <definedName name="BEx3R81NFRO7M81VHVKOBFT0QBIL" localSheetId="19" hidden="1">#REF!</definedName>
    <definedName name="BEx3R81NFRO7M81VHVKOBFT0QBIL" hidden="1">#REF!</definedName>
    <definedName name="BEx3R8N7YCUKJFKXRC8VVKDGUCWT" localSheetId="19" hidden="1">#REF!</definedName>
    <definedName name="BEx3R8N7YCUKJFKXRC8VVKDGUCWT" hidden="1">#REF!</definedName>
    <definedName name="BEx3RFJCSRTFFKD3A8DC3F4ZHW92" localSheetId="19" hidden="1">#REF!</definedName>
    <definedName name="BEx3RFJCSRTFFKD3A8DC3F4ZHW92" hidden="1">#REF!</definedName>
    <definedName name="BEx3RHC2ZD5UFS6QD4OPFCNNMWH1" localSheetId="19" hidden="1">#REF!</definedName>
    <definedName name="BEx3RHC2ZD5UFS6QD4OPFCNNMWH1" hidden="1">#REF!</definedName>
    <definedName name="BEx3RHMVYSP3UJFE4JFGYN439AJK" localSheetId="19" hidden="1">#REF!</definedName>
    <definedName name="BEx3RHMVYSP3UJFE4JFGYN439AJK" hidden="1">#REF!</definedName>
    <definedName name="BEx3RKHARL8IJX5B7DY70B7NIRVT" localSheetId="19" hidden="1">#REF!</definedName>
    <definedName name="BEx3RKHARL8IJX5B7DY70B7NIRVT" hidden="1">#REF!</definedName>
    <definedName name="BEx3RQ10QIWBAPHALAA91BUUCM2X" localSheetId="19" hidden="1">#REF!</definedName>
    <definedName name="BEx3RQ10QIWBAPHALAA91BUUCM2X" hidden="1">#REF!</definedName>
    <definedName name="BEx3RV4E1WT43SZBUN09RTB8EK1O" localSheetId="19" hidden="1">#REF!</definedName>
    <definedName name="BEx3RV4E1WT43SZBUN09RTB8EK1O" hidden="1">#REF!</definedName>
    <definedName name="BEx3RXO31FBRRLV0JNYV5WKXBI0B" localSheetId="19" hidden="1">#REF!</definedName>
    <definedName name="BEx3RXO31FBRRLV0JNYV5WKXBI0B" hidden="1">#REF!</definedName>
    <definedName name="BEx3RXYU0QLFXSFTM5EB20GD03W5" localSheetId="19" hidden="1">#REF!</definedName>
    <definedName name="BEx3RXYU0QLFXSFTM5EB20GD03W5" hidden="1">#REF!</definedName>
    <definedName name="BEx3RYKLC3QQO3XTUN7BEW2AQL98" localSheetId="19" hidden="1">#REF!</definedName>
    <definedName name="BEx3RYKLC3QQO3XTUN7BEW2AQL98" hidden="1">#REF!</definedName>
    <definedName name="BEx3S0D6JUMB108LOCZDSMZJEEJ5" localSheetId="19" hidden="1">#REF!</definedName>
    <definedName name="BEx3S0D6JUMB108LOCZDSMZJEEJ5" hidden="1">#REF!</definedName>
    <definedName name="BEx3SHWF5FZ1ENNWE8YT6JTBCDWU" localSheetId="19" hidden="1">#REF!</definedName>
    <definedName name="BEx3SHWF5FZ1ENNWE8YT6JTBCDWU" hidden="1">#REF!</definedName>
    <definedName name="BEx3SICJ45BYT6FHBER86PJT25FC" localSheetId="19" hidden="1">#REF!</definedName>
    <definedName name="BEx3SICJ45BYT6FHBER86PJT25FC" hidden="1">#REF!</definedName>
    <definedName name="BEx3SMUCMJVGQ2H4EHQI5ZFHEF0P" localSheetId="19" hidden="1">#REF!</definedName>
    <definedName name="BEx3SMUCMJVGQ2H4EHQI5ZFHEF0P" hidden="1">#REF!</definedName>
    <definedName name="BEx3SN56F03CPDRDA7LZ763V0N4I" localSheetId="19" hidden="1">#REF!</definedName>
    <definedName name="BEx3SN56F03CPDRDA7LZ763V0N4I" hidden="1">#REF!</definedName>
    <definedName name="BEx3SPE6N1ORXPRCDL3JPZD73Z9F" localSheetId="19" hidden="1">#REF!</definedName>
    <definedName name="BEx3SPE6N1ORXPRCDL3JPZD73Z9F" hidden="1">#REF!</definedName>
    <definedName name="BEx3T29ZTULQE0OMSMWUMZDU9ZZ0" localSheetId="19" hidden="1">#REF!</definedName>
    <definedName name="BEx3T29ZTULQE0OMSMWUMZDU9ZZ0" hidden="1">#REF!</definedName>
    <definedName name="BEx3T6MJ1QDJ929WMUDVZ0O3UW0Y" localSheetId="19" hidden="1">#REF!</definedName>
    <definedName name="BEx3T6MJ1QDJ929WMUDVZ0O3UW0Y" hidden="1">#REF!</definedName>
    <definedName name="BEx3T90SRPHVFZGKZPEL156PTBLG" localSheetId="19" hidden="1">#REF!</definedName>
    <definedName name="BEx3T90SRPHVFZGKZPEL156PTBLG" hidden="1">#REF!</definedName>
    <definedName name="BEx3TMNO7NM03FQTML6ZEBRQXY0M" localSheetId="19" hidden="1">#REF!</definedName>
    <definedName name="BEx3TMNO7NM03FQTML6ZEBRQXY0M" hidden="1">#REF!</definedName>
    <definedName name="BEx3TPCSI16OAB2L9M9IULQMQ9J9" localSheetId="19" hidden="1">#REF!</definedName>
    <definedName name="BEx3TPCSI16OAB2L9M9IULQMQ9J9" hidden="1">#REF!</definedName>
    <definedName name="BEx3U64YUOZ419BAJS2W78UMATAW" localSheetId="19" hidden="1">#REF!</definedName>
    <definedName name="BEx3U64YUOZ419BAJS2W78UMATAW" hidden="1">#REF!</definedName>
    <definedName name="BEx3U94WCEA5DKMWBEX1GU0LKYG2" localSheetId="19" hidden="1">#REF!</definedName>
    <definedName name="BEx3U94WCEA5DKMWBEX1GU0LKYG2" hidden="1">#REF!</definedName>
    <definedName name="BEx3U9VZ8SQVYS6ZA038J7AP7ZGW" localSheetId="19" hidden="1">#REF!</definedName>
    <definedName name="BEx3U9VZ8SQVYS6ZA038J7AP7ZGW" hidden="1">#REF!</definedName>
    <definedName name="BEx3UG11PSVRK9DW5ZNKOB4T24MN" localSheetId="19" hidden="1">'[38]10.08.5 - 2008 Capital - TDBU'!#REF!</definedName>
    <definedName name="BEx3UG11PSVRK9DW5ZNKOB4T24MN" hidden="1">'[38]10.08.5 - 2008 Capital - TDBU'!#REF!</definedName>
    <definedName name="BEx3UIQ5B7PL8QJ6RI0LF7QJWLLO" localSheetId="14" hidden="1">#REF!</definedName>
    <definedName name="BEx3UIQ5B7PL8QJ6RI0LF7QJWLLO" localSheetId="15" hidden="1">#REF!</definedName>
    <definedName name="BEx3UIQ5B7PL8QJ6RI0LF7QJWLLO" localSheetId="16" hidden="1">#REF!</definedName>
    <definedName name="BEx3UIQ5B7PL8QJ6RI0LF7QJWLLO" localSheetId="19" hidden="1">#REF!</definedName>
    <definedName name="BEx3UIQ5B7PL8QJ6RI0LF7QJWLLO" hidden="1">#REF!</definedName>
    <definedName name="BEx3UIQ5WRJBGNTFCCLOR4N7B1OQ" localSheetId="16" hidden="1">#REF!</definedName>
    <definedName name="BEx3UIQ5WRJBGNTFCCLOR4N7B1OQ" localSheetId="19" hidden="1">#REF!</definedName>
    <definedName name="BEx3UIQ5WRJBGNTFCCLOR4N7B1OQ" hidden="1">#REF!</definedName>
    <definedName name="BEx3UJMIX2NUSSWGMSI25A5DM4CH" localSheetId="16" hidden="1">#REF!</definedName>
    <definedName name="BEx3UJMIX2NUSSWGMSI25A5DM4CH" localSheetId="19" hidden="1">#REF!</definedName>
    <definedName name="BEx3UJMIX2NUSSWGMSI25A5DM4CH" hidden="1">#REF!</definedName>
    <definedName name="BEx3UKOCOQG7S1YQ436S997K1KWV" localSheetId="19" hidden="1">#REF!</definedName>
    <definedName name="BEx3UKOCOQG7S1YQ436S997K1KWV" hidden="1">#REF!</definedName>
    <definedName name="BEx3UQ7WT8T56S476IYJBFTP1FBY" localSheetId="19" hidden="1">'[38]10.08.5 - 2008 Capital - TDBU'!#REF!</definedName>
    <definedName name="BEx3UQ7WT8T56S476IYJBFTP1FBY" hidden="1">'[38]10.08.5 - 2008 Capital - TDBU'!#REF!</definedName>
    <definedName name="BEx3UU46FGPB8C5GM6QZZZNI8FY1" localSheetId="14" hidden="1">#REF!</definedName>
    <definedName name="BEx3UU46FGPB8C5GM6QZZZNI8FY1" localSheetId="15" hidden="1">#REF!</definedName>
    <definedName name="BEx3UU46FGPB8C5GM6QZZZNI8FY1" localSheetId="16" hidden="1">#REF!</definedName>
    <definedName name="BEx3UU46FGPB8C5GM6QZZZNI8FY1" localSheetId="19" hidden="1">#REF!</definedName>
    <definedName name="BEx3UU46FGPB8C5GM6QZZZNI8FY1" hidden="1">#REF!</definedName>
    <definedName name="BEx3UYM19VIXLA0EU7LB9NHA77PB" localSheetId="16" hidden="1">#REF!</definedName>
    <definedName name="BEx3UYM19VIXLA0EU7LB9NHA77PB" localSheetId="19" hidden="1">#REF!</definedName>
    <definedName name="BEx3UYM19VIXLA0EU7LB9NHA77PB" hidden="1">#REF!</definedName>
    <definedName name="BEx3V0EPR8DD44FA1TJFATXBJ5BA" localSheetId="16" hidden="1">#REF!</definedName>
    <definedName name="BEx3V0EPR8DD44FA1TJFATXBJ5BA" localSheetId="19" hidden="1">#REF!</definedName>
    <definedName name="BEx3V0EPR8DD44FA1TJFATXBJ5BA" hidden="1">#REF!</definedName>
    <definedName name="BEx3VML7CG70HPISMVYIUEN3711Q" localSheetId="19" hidden="1">#REF!</definedName>
    <definedName name="BEx3VML7CG70HPISMVYIUEN3711Q" hidden="1">#REF!</definedName>
    <definedName name="BEx56ZID5H04P9AIYLP1OASFGV56" localSheetId="19" hidden="1">#REF!</definedName>
    <definedName name="BEx56ZID5H04P9AIYLP1OASFGV56" hidden="1">#REF!</definedName>
    <definedName name="BEx57VVOKGYOTHR9Z8AJNKRDSU20" localSheetId="19" hidden="1">#REF!</definedName>
    <definedName name="BEx57VVOKGYOTHR9Z8AJNKRDSU20" hidden="1">#REF!</definedName>
    <definedName name="BEx587EYSS57E3PI8DT973HLJM9E" localSheetId="19" hidden="1">#REF!</definedName>
    <definedName name="BEx587EYSS57E3PI8DT973HLJM9E" hidden="1">#REF!</definedName>
    <definedName name="BEx587KFQ3VKCOCY1SA5F24PQGUI" localSheetId="19" hidden="1">#REF!</definedName>
    <definedName name="BEx587KFQ3VKCOCY1SA5F24PQGUI" hidden="1">#REF!</definedName>
    <definedName name="BEx589YSF6Z3BES2WDO9VJF6J7RD" localSheetId="19" hidden="1">#REF!</definedName>
    <definedName name="BEx589YSF6Z3BES2WDO9VJF6J7RD" hidden="1">#REF!</definedName>
    <definedName name="BEx58HRBEO7GYHL70I9S0DIIR5Y3" localSheetId="19" hidden="1">#REF!</definedName>
    <definedName name="BEx58HRBEO7GYHL70I9S0DIIR5Y3" hidden="1">#REF!</definedName>
    <definedName name="BEx58O1WGJ5ARYSTQ7E7Z9CZ70FW" localSheetId="19" hidden="1">#REF!</definedName>
    <definedName name="BEx58O1WGJ5ARYSTQ7E7Z9CZ70FW" hidden="1">#REF!</definedName>
    <definedName name="BEx58O780PQ05NF0Z1SKKRB3N099" localSheetId="19" hidden="1">#REF!</definedName>
    <definedName name="BEx58O780PQ05NF0Z1SKKRB3N099" hidden="1">#REF!</definedName>
    <definedName name="BEx58XHO7ZULLF2EUD7YIS0MGQJ5" localSheetId="19" hidden="1">#REF!</definedName>
    <definedName name="BEx58XHO7ZULLF2EUD7YIS0MGQJ5" hidden="1">#REF!</definedName>
    <definedName name="BEx58ZW0HAIGIPEX9CVA1PQQTR6X" localSheetId="19" hidden="1">#REF!</definedName>
    <definedName name="BEx58ZW0HAIGIPEX9CVA1PQQTR6X" hidden="1">#REF!</definedName>
    <definedName name="BEx59BA1KH3RG6K1LHL7YS2VB79N" localSheetId="19" hidden="1">#REF!</definedName>
    <definedName name="BEx59BA1KH3RG6K1LHL7YS2VB79N" hidden="1">#REF!</definedName>
    <definedName name="BEx59E9WABJP2TN71QAIKK79HPK9" localSheetId="19" hidden="1">#REF!</definedName>
    <definedName name="BEx59E9WABJP2TN71QAIKK79HPK9" hidden="1">#REF!</definedName>
    <definedName name="BEx59P7MAPNU129ZTC5H3EH892G1" localSheetId="19" hidden="1">#REF!</definedName>
    <definedName name="BEx59P7MAPNU129ZTC5H3EH892G1" hidden="1">#REF!</definedName>
    <definedName name="BEx5A11WZRQSIE089QE119AOX9ZG" localSheetId="19" hidden="1">#REF!</definedName>
    <definedName name="BEx5A11WZRQSIE089QE119AOX9ZG" hidden="1">#REF!</definedName>
    <definedName name="BEx5A6ATFUVEJ0HUDROD1OO0CGV5" localSheetId="19" hidden="1">#REF!</definedName>
    <definedName name="BEx5A6ATFUVEJ0HUDROD1OO0CGV5" hidden="1">#REF!</definedName>
    <definedName name="BEx5A7CIGCOTHJKHGUBDZG91JGPZ" localSheetId="19" hidden="1">#REF!</definedName>
    <definedName name="BEx5A7CIGCOTHJKHGUBDZG91JGPZ" hidden="1">#REF!</definedName>
    <definedName name="BEx5A8UFLT2SWVSG5COFA9B8P376" localSheetId="19" hidden="1">#REF!</definedName>
    <definedName name="BEx5A8UFLT2SWVSG5COFA9B8P376" hidden="1">#REF!</definedName>
    <definedName name="BEx5AFFTN3IXIBHDKM0FYC4OFL1S" localSheetId="19" hidden="1">#REF!</definedName>
    <definedName name="BEx5AFFTN3IXIBHDKM0FYC4OFL1S" hidden="1">#REF!</definedName>
    <definedName name="BEx5AOFIO8KVRHIZ1RII337AA8ML" localSheetId="19" hidden="1">#REF!</definedName>
    <definedName name="BEx5AOFIO8KVRHIZ1RII337AA8ML" hidden="1">#REF!</definedName>
    <definedName name="BEx5APRZ66L5BWHFE8E4YYNEDTI4" localSheetId="19" hidden="1">#REF!</definedName>
    <definedName name="BEx5APRZ66L5BWHFE8E4YYNEDTI4" hidden="1">#REF!</definedName>
    <definedName name="BEx5ARVI26GBOMZ6NBHE2KUBTNSP" localSheetId="19" hidden="1">'[38]10.08.3 - 2008 Expense - TDBU'!#REF!</definedName>
    <definedName name="BEx5ARVI26GBOMZ6NBHE2KUBTNSP" hidden="1">'[38]10.08.3 - 2008 Expense - TDBU'!#REF!</definedName>
    <definedName name="BEx5AUVDSQ35VO4BD9AKKGBM5S7D" localSheetId="14" hidden="1">#REF!</definedName>
    <definedName name="BEx5AUVDSQ35VO4BD9AKKGBM5S7D" localSheetId="15" hidden="1">#REF!</definedName>
    <definedName name="BEx5AUVDSQ35VO4BD9AKKGBM5S7D" localSheetId="16" hidden="1">#REF!</definedName>
    <definedName name="BEx5AUVDSQ35VO4BD9AKKGBM5S7D" localSheetId="19" hidden="1">#REF!</definedName>
    <definedName name="BEx5AUVDSQ35VO4BD9AKKGBM5S7D" hidden="1">#REF!</definedName>
    <definedName name="BEx5B4RHHX0J1BF2FZKEA0SPP29O" localSheetId="16" hidden="1">#REF!</definedName>
    <definedName name="BEx5B4RHHX0J1BF2FZKEA0SPP29O" localSheetId="19" hidden="1">#REF!</definedName>
    <definedName name="BEx5B4RHHX0J1BF2FZKEA0SPP29O" hidden="1">#REF!</definedName>
    <definedName name="BEx5B5YMSWP0OVI5CIQRP5V18D0C" localSheetId="16" hidden="1">#REF!</definedName>
    <definedName name="BEx5B5YMSWP0OVI5CIQRP5V18D0C" localSheetId="19" hidden="1">#REF!</definedName>
    <definedName name="BEx5B5YMSWP0OVI5CIQRP5V18D0C" hidden="1">#REF!</definedName>
    <definedName name="BEx5B825RW35M5H0UB2IZGGRS4ER" localSheetId="19" hidden="1">#REF!</definedName>
    <definedName name="BEx5B825RW35M5H0UB2IZGGRS4ER" hidden="1">#REF!</definedName>
    <definedName name="BEx5BAWPMY0TL684WDXX6KKJLRCN" localSheetId="19" hidden="1">#REF!</definedName>
    <definedName name="BEx5BAWPMY0TL684WDXX6KKJLRCN" hidden="1">#REF!</definedName>
    <definedName name="BEx5BBI61U4Y65GD0ARMTALPP7SJ" localSheetId="19" hidden="1">#REF!</definedName>
    <definedName name="BEx5BBI61U4Y65GD0ARMTALPP7SJ" hidden="1">#REF!</definedName>
    <definedName name="BEx5BD5L6LIQ99M87XJMWWNL031Z" localSheetId="19" hidden="1">#REF!</definedName>
    <definedName name="BEx5BD5L6LIQ99M87XJMWWNL031Z" hidden="1">#REF!</definedName>
    <definedName name="BEx5BDR56MEV4IHY6CIH2SVNG1UB" localSheetId="19" hidden="1">#REF!</definedName>
    <definedName name="BEx5BDR56MEV4IHY6CIH2SVNG1UB" hidden="1">#REF!</definedName>
    <definedName name="BEx5BESZC5H329SKHGJOHZFILYJJ" localSheetId="19" hidden="1">#REF!</definedName>
    <definedName name="BEx5BESZC5H329SKHGJOHZFILYJJ" hidden="1">#REF!</definedName>
    <definedName name="BEx5BHSQ42B50IU1TEQFUXFX9XQD" localSheetId="19" hidden="1">#REF!</definedName>
    <definedName name="BEx5BHSQ42B50IU1TEQFUXFX9XQD" hidden="1">#REF!</definedName>
    <definedName name="BEx5BKHUCQEM4FA2DEQUKKC2QEYR" localSheetId="19" hidden="1">#REF!</definedName>
    <definedName name="BEx5BKHUCQEM4FA2DEQUKKC2QEYR" hidden="1">#REF!</definedName>
    <definedName name="BEx5BKSM4UN4C1DM3EYKM79MRC5K" localSheetId="19" hidden="1">#REF!</definedName>
    <definedName name="BEx5BKSM4UN4C1DM3EYKM79MRC5K" hidden="1">#REF!</definedName>
    <definedName name="BEx5BNN8NPH9KVOBARB9CDD9WLB6" localSheetId="19" hidden="1">#REF!</definedName>
    <definedName name="BEx5BNN8NPH9KVOBARB9CDD9WLB6" hidden="1">#REF!</definedName>
    <definedName name="BEx5BQ6UF5C89VX5ZUUUNN7Q2S3Z" localSheetId="19" hidden="1">#REF!</definedName>
    <definedName name="BEx5BQ6UF5C89VX5ZUUUNN7Q2S3Z" hidden="1">#REF!</definedName>
    <definedName name="BEx5BWC3RHNNZZNXQ3IJ1GNNZW7M" localSheetId="19" hidden="1">#REF!</definedName>
    <definedName name="BEx5BWC3RHNNZZNXQ3IJ1GNNZW7M" hidden="1">#REF!</definedName>
    <definedName name="BEx5BXJATFA4GZNILN2UJ1D2AOGO" localSheetId="19" hidden="1">#REF!</definedName>
    <definedName name="BEx5BXJATFA4GZNILN2UJ1D2AOGO" hidden="1">#REF!</definedName>
    <definedName name="BEx5BYFMZ80TDDN2EZO8CF39AIAC" localSheetId="19" hidden="1">#REF!</definedName>
    <definedName name="BEx5BYFMZ80TDDN2EZO8CF39AIAC" hidden="1">#REF!</definedName>
    <definedName name="BEx5C2BWFW6SHZBFDEISKGXHZCQW" localSheetId="19" hidden="1">#REF!</definedName>
    <definedName name="BEx5C2BWFW6SHZBFDEISKGXHZCQW" hidden="1">#REF!</definedName>
    <definedName name="BEx5C49ZFH8TO9ZU55729C3F7XG7" localSheetId="19" hidden="1">#REF!</definedName>
    <definedName name="BEx5C49ZFH8TO9ZU55729C3F7XG7" hidden="1">#REF!</definedName>
    <definedName name="BEx5C8GZQK13G60ZM70P63I5OS0L" localSheetId="19" hidden="1">#REF!</definedName>
    <definedName name="BEx5C8GZQK13G60ZM70P63I5OS0L" hidden="1">#REF!</definedName>
    <definedName name="BEx5CAPTVN2NBT3UOMA1UFAL1C2R" localSheetId="19" hidden="1">#REF!</definedName>
    <definedName name="BEx5CAPTVN2NBT3UOMA1UFAL1C2R" hidden="1">#REF!</definedName>
    <definedName name="BEx5CEM3SYF9XP0ZZVE0GEPCLV3F" localSheetId="19" hidden="1">#REF!</definedName>
    <definedName name="BEx5CEM3SYF9XP0ZZVE0GEPCLV3F" hidden="1">#REF!</definedName>
    <definedName name="BEx5CFYQ0F1Z6P8SCVJ0I3UPVFE4" localSheetId="19" hidden="1">#REF!</definedName>
    <definedName name="BEx5CFYQ0F1Z6P8SCVJ0I3UPVFE4" hidden="1">#REF!</definedName>
    <definedName name="BEx5CINUDCSDCAJSNNV7XVNU8Q79" localSheetId="19" hidden="1">#REF!</definedName>
    <definedName name="BEx5CINUDCSDCAJSNNV7XVNU8Q79" hidden="1">#REF!</definedName>
    <definedName name="BEx5CNLUIOYU8EODGA03Z3547I9T" localSheetId="19" hidden="1">#REF!</definedName>
    <definedName name="BEx5CNLUIOYU8EODGA03Z3547I9T" hidden="1">#REF!</definedName>
    <definedName name="BEx5CPEKNSJORIPFQC2E1LTRYY8L" localSheetId="19" hidden="1">#REF!</definedName>
    <definedName name="BEx5CPEKNSJORIPFQC2E1LTRYY8L" hidden="1">#REF!</definedName>
    <definedName name="BEx5CSUOL05D8PAM2TRDA9VRJT1O" localSheetId="19" hidden="1">#REF!</definedName>
    <definedName name="BEx5CSUOL05D8PAM2TRDA9VRJT1O" hidden="1">#REF!</definedName>
    <definedName name="BEx5CUNFOO4YDFJ22HCMI2QKIGKM" localSheetId="19" hidden="1">#REF!</definedName>
    <definedName name="BEx5CUNFOO4YDFJ22HCMI2QKIGKM" hidden="1">#REF!</definedName>
    <definedName name="BEx5D2W3OTZO7F8Q91CV254Q4LKE" localSheetId="19" hidden="1">#REF!</definedName>
    <definedName name="BEx5D2W3OTZO7F8Q91CV254Q4LKE" hidden="1">#REF!</definedName>
    <definedName name="BEx5D5W0OED6788ZKXNBW6BMYRB4" localSheetId="19" hidden="1">#REF!</definedName>
    <definedName name="BEx5D5W0OED6788ZKXNBW6BMYRB4" hidden="1">#REF!</definedName>
    <definedName name="BEx5D8L47OF0WHBPFWXGZINZWUBZ" localSheetId="19" hidden="1">#REF!</definedName>
    <definedName name="BEx5D8L47OF0WHBPFWXGZINZWUBZ" hidden="1">#REF!</definedName>
    <definedName name="BEx5DAJAHQ2SKUPCKSCR3PYML67L" localSheetId="19" hidden="1">#REF!</definedName>
    <definedName name="BEx5DAJAHQ2SKUPCKSCR3PYML67L" hidden="1">#REF!</definedName>
    <definedName name="BEx5DC18JM1KJCV44PF18E0LNRKA" localSheetId="19" hidden="1">#REF!</definedName>
    <definedName name="BEx5DC18JM1KJCV44PF18E0LNRKA" hidden="1">#REF!</definedName>
    <definedName name="BEx5DJIZBTNS011R9IIG2OQ2L6ZX" localSheetId="19" hidden="1">#REF!</definedName>
    <definedName name="BEx5DJIZBTNS011R9IIG2OQ2L6ZX" hidden="1">#REF!</definedName>
    <definedName name="BEx5E123OLO9WQUOIRIDJ967KAGK" localSheetId="19" hidden="1">#REF!</definedName>
    <definedName name="BEx5E123OLO9WQUOIRIDJ967KAGK" hidden="1">#REF!</definedName>
    <definedName name="BEx5E2UU5NES6W779W2OZTZOB4O7" localSheetId="19" hidden="1">#REF!</definedName>
    <definedName name="BEx5E2UU5NES6W779W2OZTZOB4O7" hidden="1">#REF!</definedName>
    <definedName name="BEx5E4CSE5G83J5K32WENF7BXL82" localSheetId="19" hidden="1">#REF!</definedName>
    <definedName name="BEx5E4CSE5G83J5K32WENF7BXL82" hidden="1">#REF!</definedName>
    <definedName name="BEx5ELQL9B0VR6UT18KP11DHOTFX" localSheetId="19" hidden="1">#REF!</definedName>
    <definedName name="BEx5ELQL9B0VR6UT18KP11DHOTFX" hidden="1">#REF!</definedName>
    <definedName name="BEx5ER4TJTFPN7IB1MNEB1ZFR5M6" localSheetId="19" hidden="1">#REF!</definedName>
    <definedName name="BEx5ER4TJTFPN7IB1MNEB1ZFR5M6" hidden="1">#REF!</definedName>
    <definedName name="BEx5EW87ACRI46LAKG0VDJVFLG7R" localSheetId="19" hidden="1">#REF!</definedName>
    <definedName name="BEx5EW87ACRI46LAKG0VDJVFLG7R" hidden="1">#REF!</definedName>
    <definedName name="BEx5F6KF3SROYIFF0A1HJRV87YZC" localSheetId="19" hidden="1">#REF!</definedName>
    <definedName name="BEx5F6KF3SROYIFF0A1HJRV87YZC" hidden="1">#REF!</definedName>
    <definedName name="BEx5F6V72QTCK7O39Y59R0EVM6CW" localSheetId="19" hidden="1">#REF!</definedName>
    <definedName name="BEx5F6V72QTCK7O39Y59R0EVM6CW" hidden="1">#REF!</definedName>
    <definedName name="BEx5F9K9B2XA4LVU2LJMI89AW8BO" localSheetId="19" hidden="1">#REF!</definedName>
    <definedName name="BEx5F9K9B2XA4LVU2LJMI89AW8BO" hidden="1">#REF!</definedName>
    <definedName name="BEx5FGLQVACD5F5YZG4DGSCHCGO2" localSheetId="19" hidden="1">#REF!</definedName>
    <definedName name="BEx5FGLQVACD5F5YZG4DGSCHCGO2" hidden="1">#REF!</definedName>
    <definedName name="BEx5FLJWHLW3BTZILDPN5NMA449V" localSheetId="19" hidden="1">#REF!</definedName>
    <definedName name="BEx5FLJWHLW3BTZILDPN5NMA449V" hidden="1">#REF!</definedName>
    <definedName name="BEx5FNI2O10YN2SI1NO4X5GP3GTF" localSheetId="19" hidden="1">#REF!</definedName>
    <definedName name="BEx5FNI2O10YN2SI1NO4X5GP3GTF" hidden="1">#REF!</definedName>
    <definedName name="BEx5FO8YRFSZCG3L608EHIHIHFY4" localSheetId="19" hidden="1">#REF!</definedName>
    <definedName name="BEx5FO8YRFSZCG3L608EHIHIHFY4" hidden="1">#REF!</definedName>
    <definedName name="BEx5FOUK8T0EOTFUKGIWKKOE6F7G" localSheetId="19" hidden="1">#REF!</definedName>
    <definedName name="BEx5FOUK8T0EOTFUKGIWKKOE6F7G" hidden="1">#REF!</definedName>
    <definedName name="BEx5FQNA6V4CNYSH013K45RI4BCV" localSheetId="19" hidden="1">#REF!</definedName>
    <definedName name="BEx5FQNA6V4CNYSH013K45RI4BCV" hidden="1">#REF!</definedName>
    <definedName name="BEx5FVQPPEU32CPNV9RRQ9MNLLVE" localSheetId="19" hidden="1">#REF!</definedName>
    <definedName name="BEx5FVQPPEU32CPNV9RRQ9MNLLVE" hidden="1">#REF!</definedName>
    <definedName name="BEx5FZC6RK92TU32WZ4N099LWYKZ" localSheetId="19" hidden="1">#REF!</definedName>
    <definedName name="BEx5FZC6RK92TU32WZ4N099LWYKZ" hidden="1">#REF!</definedName>
    <definedName name="BEx5G08KGMG5X2AQKDGPFYG5GH94" localSheetId="19" hidden="1">#REF!</definedName>
    <definedName name="BEx5G08KGMG5X2AQKDGPFYG5GH94" hidden="1">#REF!</definedName>
    <definedName name="BEx5G1A8TFN4C4QII35U9DKYNIS8" localSheetId="19" hidden="1">#REF!</definedName>
    <definedName name="BEx5G1A8TFN4C4QII35U9DKYNIS8" hidden="1">#REF!</definedName>
    <definedName name="BEx5G1L0QO91KEPDMV1D8OT4BT73" localSheetId="19" hidden="1">#REF!</definedName>
    <definedName name="BEx5G1L0QO91KEPDMV1D8OT4BT73" hidden="1">#REF!</definedName>
    <definedName name="BEx5G86DZL1VYUX6KWODAP3WFAWP" localSheetId="19" hidden="1">#REF!</definedName>
    <definedName name="BEx5G86DZL1VYUX6KWODAP3WFAWP" hidden="1">#REF!</definedName>
    <definedName name="BEx5G8BV2GIOCM3C7IUFK8L04A6M" localSheetId="19" hidden="1">#REF!</definedName>
    <definedName name="BEx5G8BV2GIOCM3C7IUFK8L04A6M" hidden="1">#REF!</definedName>
    <definedName name="BEx5GID9MVBUPFFT9M8K8B5MO9NV" localSheetId="19" hidden="1">#REF!</definedName>
    <definedName name="BEx5GID9MVBUPFFT9M8K8B5MO9NV" hidden="1">#REF!</definedName>
    <definedName name="BEx5GN0EWA9SCQDPQ7NTUQH82QVK" localSheetId="19" hidden="1">#REF!</definedName>
    <definedName name="BEx5GN0EWA9SCQDPQ7NTUQH82QVK" hidden="1">#REF!</definedName>
    <definedName name="BEx5GNBCU4WZ74I0UXFL9ZG2XSGJ" localSheetId="19" hidden="1">#REF!</definedName>
    <definedName name="BEx5GNBCU4WZ74I0UXFL9ZG2XSGJ" hidden="1">#REF!</definedName>
    <definedName name="BEx5GUCTYC7QCWGWU5BTO7Y7HDZX" localSheetId="19" hidden="1">#REF!</definedName>
    <definedName name="BEx5GUCTYC7QCWGWU5BTO7Y7HDZX" hidden="1">#REF!</definedName>
    <definedName name="BEx5GYUPJULJQ624TEESYFG1NFOH" localSheetId="19" hidden="1">#REF!</definedName>
    <definedName name="BEx5GYUPJULJQ624TEESYFG1NFOH" hidden="1">#REF!</definedName>
    <definedName name="BEx5H0NEE0AIN5E2UHJ9J9ISU9N1" localSheetId="19" hidden="1">#REF!</definedName>
    <definedName name="BEx5H0NEE0AIN5E2UHJ9J9ISU9N1" hidden="1">#REF!</definedName>
    <definedName name="BEx5H1UJSEUQM2K8QHQXO5THVHSO" localSheetId="19" hidden="1">#REF!</definedName>
    <definedName name="BEx5H1UJSEUQM2K8QHQXO5THVHSO" hidden="1">#REF!</definedName>
    <definedName name="BEx5H78SWSMTWKQVAC01YN6480JD" localSheetId="19" hidden="1">#REF!</definedName>
    <definedName name="BEx5H78SWSMTWKQVAC01YN6480JD" hidden="1">#REF!</definedName>
    <definedName name="BEx5HAOT9XWUF7XIFRZZS8B9F5TZ" localSheetId="19" hidden="1">#REF!</definedName>
    <definedName name="BEx5HAOT9XWUF7XIFRZZS8B9F5TZ" hidden="1">#REF!</definedName>
    <definedName name="BEx5HE4XRF9BUY04MENWY9CHHN5H" localSheetId="19" hidden="1">#REF!</definedName>
    <definedName name="BEx5HE4XRF9BUY04MENWY9CHHN5H" hidden="1">#REF!</definedName>
    <definedName name="BEx5HFHMABAT0H9KKS754X4T304E" localSheetId="19" hidden="1">#REF!</definedName>
    <definedName name="BEx5HFHMABAT0H9KKS754X4T304E" hidden="1">#REF!</definedName>
    <definedName name="BEx5HGDZ7MX1S3KNXLRL9WU565V4" localSheetId="19" hidden="1">#REF!</definedName>
    <definedName name="BEx5HGDZ7MX1S3KNXLRL9WU565V4" hidden="1">#REF!</definedName>
    <definedName name="BEx5HJ8DU0ZDRX2BY3TDR7LG7FYG" localSheetId="19" hidden="1">#REF!</definedName>
    <definedName name="BEx5HJ8DU0ZDRX2BY3TDR7LG7FYG" hidden="1">#REF!</definedName>
    <definedName name="BEx5HJZ9FAVNZSSBTAYRPZDYM9NU" localSheetId="19" hidden="1">#REF!</definedName>
    <definedName name="BEx5HJZ9FAVNZSSBTAYRPZDYM9NU" hidden="1">#REF!</definedName>
    <definedName name="BEx5HMDKAGHEFJ193YZUKU547LDS" localSheetId="19" hidden="1">#REF!</definedName>
    <definedName name="BEx5HMDKAGHEFJ193YZUKU547LDS" hidden="1">#REF!</definedName>
    <definedName name="BEx5HZ9JMKHNLFWLVUB1WP5B39BL" localSheetId="19" hidden="1">#REF!</definedName>
    <definedName name="BEx5HZ9JMKHNLFWLVUB1WP5B39BL" hidden="1">#REF!</definedName>
    <definedName name="BEx5I1D22RX2VD9NZESVVM6JZ8G5" localSheetId="19" hidden="1">#REF!</definedName>
    <definedName name="BEx5I1D22RX2VD9NZESVVM6JZ8G5" hidden="1">#REF!</definedName>
    <definedName name="BEx5I244LQHZTF3XI66J8705R9XX" localSheetId="19" hidden="1">#REF!</definedName>
    <definedName name="BEx5I244LQHZTF3XI66J8705R9XX" hidden="1">#REF!</definedName>
    <definedName name="BEx5I5K5UOAJ82FDJ4HULUM3KX7E" localSheetId="19" hidden="1">#REF!</definedName>
    <definedName name="BEx5I5K5UOAJ82FDJ4HULUM3KX7E" hidden="1">#REF!</definedName>
    <definedName name="BEx5I8PBP4LIXDGID5BP0THLO0AQ" localSheetId="19" hidden="1">#REF!</definedName>
    <definedName name="BEx5I8PBP4LIXDGID5BP0THLO0AQ" hidden="1">#REF!</definedName>
    <definedName name="BEx5I8USVUB3JP4S9OXGMZVMOQXR" localSheetId="19" hidden="1">#REF!</definedName>
    <definedName name="BEx5I8USVUB3JP4S9OXGMZVMOQXR" hidden="1">#REF!</definedName>
    <definedName name="BEx5I9GDQSYIAL65UQNDMNFQCS9Y" localSheetId="19" hidden="1">#REF!</definedName>
    <definedName name="BEx5I9GDQSYIAL65UQNDMNFQCS9Y" hidden="1">#REF!</definedName>
    <definedName name="BEx5IBUPG9AWNW5PK7JGRGEJ4OLM" localSheetId="19" hidden="1">#REF!</definedName>
    <definedName name="BEx5IBUPG9AWNW5PK7JGRGEJ4OLM" hidden="1">#REF!</definedName>
    <definedName name="BEx5IC06RVN8BSAEPREVKHKLCJ2L" localSheetId="19" hidden="1">#REF!</definedName>
    <definedName name="BEx5IC06RVN8BSAEPREVKHKLCJ2L" hidden="1">#REF!</definedName>
    <definedName name="BEx5IMN4F143KVYVDFOQYZVJG5X6" localSheetId="19" hidden="1">#REF!</definedName>
    <definedName name="BEx5IMN4F143KVYVDFOQYZVJG5X6" hidden="1">#REF!</definedName>
    <definedName name="BEx5ITU42638OWOBF2BOWE37XFP9" localSheetId="19" hidden="1">#REF!</definedName>
    <definedName name="BEx5ITU42638OWOBF2BOWE37XFP9" hidden="1">#REF!</definedName>
    <definedName name="BEx5J0FFP1KS4NGY20AEJI8VREEA" localSheetId="19" hidden="1">#REF!</definedName>
    <definedName name="BEx5J0FFP1KS4NGY20AEJI8VREEA" hidden="1">#REF!</definedName>
    <definedName name="BEx5JF3ZXLDIS8VNKDCY7ZI7H1CI" localSheetId="19" hidden="1">#REF!</definedName>
    <definedName name="BEx5JF3ZXLDIS8VNKDCY7ZI7H1CI" hidden="1">#REF!</definedName>
    <definedName name="BEx5JHCZJ8G6OOOW6EF3GABXKH6F" localSheetId="19" hidden="1">#REF!</definedName>
    <definedName name="BEx5JHCZJ8G6OOOW6EF3GABXKH6F" hidden="1">#REF!</definedName>
    <definedName name="BEx5JJB6W446THXQCRUKD3I7RKLP" localSheetId="19" hidden="1">#REF!</definedName>
    <definedName name="BEx5JJB6W446THXQCRUKD3I7RKLP" hidden="1">#REF!</definedName>
    <definedName name="BEx5JJWTMI37U3RDEJOYLO93RJ6Z" localSheetId="19" hidden="1">#REF!</definedName>
    <definedName name="BEx5JJWTMI37U3RDEJOYLO93RJ6Z" hidden="1">#REF!</definedName>
    <definedName name="BEx5JNCT8Z7XSSPD5EMNAJELCU2V" localSheetId="19" hidden="1">#REF!</definedName>
    <definedName name="BEx5JNCT8Z7XSSPD5EMNAJELCU2V" hidden="1">#REF!</definedName>
    <definedName name="BEx5JQCNT9Y4RM306CHC8IPY3HBZ" localSheetId="19" hidden="1">#REF!</definedName>
    <definedName name="BEx5JQCNT9Y4RM306CHC8IPY3HBZ" hidden="1">#REF!</definedName>
    <definedName name="BEx5K08PYKE6JOKBYIB006TX619P" localSheetId="19" hidden="1">#REF!</definedName>
    <definedName name="BEx5K08PYKE6JOKBYIB006TX619P" hidden="1">#REF!</definedName>
    <definedName name="BEx5K51DSERT1TR7B4A29R41W4NX" localSheetId="19" hidden="1">#REF!</definedName>
    <definedName name="BEx5K51DSERT1TR7B4A29R41W4NX" hidden="1">#REF!</definedName>
    <definedName name="BEx5KF88OT7666J799PZCTHRBOPU" localSheetId="19" hidden="1">#REF!</definedName>
    <definedName name="BEx5KF88OT7666J799PZCTHRBOPU" hidden="1">#REF!</definedName>
    <definedName name="BEx5KMVAY7UVXRQY7NI5EZYMNGC7" localSheetId="19" hidden="1">#REF!</definedName>
    <definedName name="BEx5KMVAY7UVXRQY7NI5EZYMNGC7" hidden="1">#REF!</definedName>
    <definedName name="BEx5KYER580I4T7WTLMUN7NLNP5K" localSheetId="19" hidden="1">#REF!</definedName>
    <definedName name="BEx5KYER580I4T7WTLMUN7NLNP5K" hidden="1">#REF!</definedName>
    <definedName name="BEx5LHLB3M6K4ZKY2F42QBZT30ZH" localSheetId="19" hidden="1">#REF!</definedName>
    <definedName name="BEx5LHLB3M6K4ZKY2F42QBZT30ZH" hidden="1">#REF!</definedName>
    <definedName name="BEx5LRMNU3HXIE1BUMDHRU31F7JJ" localSheetId="19" hidden="1">#REF!</definedName>
    <definedName name="BEx5LRMNU3HXIE1BUMDHRU31F7JJ" hidden="1">#REF!</definedName>
    <definedName name="BEx5LSJ1LPUAX3ENSPECWPG4J7D1" localSheetId="19" hidden="1">#REF!</definedName>
    <definedName name="BEx5LSJ1LPUAX3ENSPECWPG4J7D1" hidden="1">#REF!</definedName>
    <definedName name="BEx5LTKQ8RQWJE4BC88OP928893U" localSheetId="19" hidden="1">#REF!</definedName>
    <definedName name="BEx5LTKQ8RQWJE4BC88OP928893U" hidden="1">#REF!</definedName>
    <definedName name="BEx5LZ9QXSWRX35EGBF4FB303PNE" localSheetId="19" hidden="1">#REF!</definedName>
    <definedName name="BEx5LZ9QXSWRX35EGBF4FB303PNE" hidden="1">#REF!</definedName>
    <definedName name="BEx5MB9BR71LZDG7XXQ2EO58JC5F" localSheetId="19" hidden="1">#REF!</definedName>
    <definedName name="BEx5MB9BR71LZDG7XXQ2EO58JC5F" hidden="1">#REF!</definedName>
    <definedName name="BEx5MLQZM68YQSKARVWTTPINFQ2C" localSheetId="19" hidden="1">[39]Table!#REF!</definedName>
    <definedName name="BEx5MLQZM68YQSKARVWTTPINFQ2C" hidden="1">[39]Table!#REF!</definedName>
    <definedName name="BEx5MVXTKNBXHNWTL43C670E4KXC" localSheetId="14" hidden="1">#REF!</definedName>
    <definedName name="BEx5MVXTKNBXHNWTL43C670E4KXC" localSheetId="15" hidden="1">#REF!</definedName>
    <definedName name="BEx5MVXTKNBXHNWTL43C670E4KXC" localSheetId="16" hidden="1">#REF!</definedName>
    <definedName name="BEx5MVXTKNBXHNWTL43C670E4KXC" localSheetId="19" hidden="1">#REF!</definedName>
    <definedName name="BEx5MVXTKNBXHNWTL43C670E4KXC" hidden="1">#REF!</definedName>
    <definedName name="BEx5N4XI4PWB1W9PMZ4O5R0HWTYD" localSheetId="16" hidden="1">#REF!</definedName>
    <definedName name="BEx5N4XI4PWB1W9PMZ4O5R0HWTYD" localSheetId="19" hidden="1">#REF!</definedName>
    <definedName name="BEx5N4XI4PWB1W9PMZ4O5R0HWTYD" hidden="1">#REF!</definedName>
    <definedName name="BEx5N8TQPT9Q7AMBG5SNEYKR98Y8" localSheetId="16" hidden="1">#REF!</definedName>
    <definedName name="BEx5N8TQPT9Q7AMBG5SNEYKR98Y8" localSheetId="19" hidden="1">#REF!</definedName>
    <definedName name="BEx5N8TQPT9Q7AMBG5SNEYKR98Y8" hidden="1">#REF!</definedName>
    <definedName name="BEx5NA68N6FJFX9UJXK4M14U487F" localSheetId="19" hidden="1">#REF!</definedName>
    <definedName name="BEx5NA68N6FJFX9UJXK4M14U487F" hidden="1">#REF!</definedName>
    <definedName name="BEx5ND64XZTLSC6HF2CJ3WYIIH2F" localSheetId="19" hidden="1">#REF!</definedName>
    <definedName name="BEx5ND64XZTLSC6HF2CJ3WYIIH2F" hidden="1">#REF!</definedName>
    <definedName name="BEx5NHTGLW35S2ITT7VPUKDNZRF7" localSheetId="19" hidden="1">#REF!</definedName>
    <definedName name="BEx5NHTGLW35S2ITT7VPUKDNZRF7" hidden="1">#REF!</definedName>
    <definedName name="BEx5NIKBG2GDJOYGE3WCXKU7YY51" localSheetId="19" hidden="1">#REF!</definedName>
    <definedName name="BEx5NIKBG2GDJOYGE3WCXKU7YY51" hidden="1">#REF!</definedName>
    <definedName name="BEx5NV06L5J5IMKGOMGKGJ4PBZCD" localSheetId="19" hidden="1">#REF!</definedName>
    <definedName name="BEx5NV06L5J5IMKGOMGKGJ4PBZCD" hidden="1">#REF!</definedName>
    <definedName name="BEx5NZSSQ6PY99ZX2D7Q9IGOR34W" localSheetId="19" hidden="1">#REF!</definedName>
    <definedName name="BEx5NZSSQ6PY99ZX2D7Q9IGOR34W" hidden="1">#REF!</definedName>
    <definedName name="BEx5O2CHK5IPBZFPSJ15PKMKXH2W" localSheetId="19" hidden="1">#REF!</definedName>
    <definedName name="BEx5O2CHK5IPBZFPSJ15PKMKXH2W" hidden="1">#REF!</definedName>
    <definedName name="BEx5O3ZUQ2OARA1CDOZ3NC4UE5AA" localSheetId="19" hidden="1">#REF!</definedName>
    <definedName name="BEx5O3ZUQ2OARA1CDOZ3NC4UE5AA" hidden="1">#REF!</definedName>
    <definedName name="BEx5OAFS0NJ2CB86A02E1JYHMLQ1" localSheetId="19" hidden="1">#REF!</definedName>
    <definedName name="BEx5OAFS0NJ2CB86A02E1JYHMLQ1" hidden="1">#REF!</definedName>
    <definedName name="BEx5OFDQH6J3G0YOE5U93X2QN95E" localSheetId="19" hidden="1">#REF!</definedName>
    <definedName name="BEx5OFDQH6J3G0YOE5U93X2QN95E" hidden="1">#REF!</definedName>
    <definedName name="BEx5OG4RPU8W1ETWDWM234NYYYEN" localSheetId="19" hidden="1">#REF!</definedName>
    <definedName name="BEx5OG4RPU8W1ETWDWM234NYYYEN" hidden="1">#REF!</definedName>
    <definedName name="BEx5OP9Y43F99O2IT69MKCCXGL61" localSheetId="19" hidden="1">#REF!</definedName>
    <definedName name="BEx5OP9Y43F99O2IT69MKCCXGL61" hidden="1">#REF!</definedName>
    <definedName name="BEx5ORDB6IPFBL15XLQCRC6PS01K" localSheetId="19" hidden="1">#REF!</definedName>
    <definedName name="BEx5ORDB6IPFBL15XLQCRC6PS01K" hidden="1">#REF!</definedName>
    <definedName name="BEx5P3243YD55WK9A04WKXBOHZ9F" localSheetId="19" hidden="1">'[38]10.08.5 - 2008 Capital - TDBU'!#REF!</definedName>
    <definedName name="BEx5P3243YD55WK9A04WKXBOHZ9F" hidden="1">'[38]10.08.5 - 2008 Capital - TDBU'!#REF!</definedName>
    <definedName name="BEx5P9Y9RDXNUAJ6CZ2LHMM8IM7T" localSheetId="14" hidden="1">#REF!</definedName>
    <definedName name="BEx5P9Y9RDXNUAJ6CZ2LHMM8IM7T" localSheetId="15" hidden="1">#REF!</definedName>
    <definedName name="BEx5P9Y9RDXNUAJ6CZ2LHMM8IM7T" localSheetId="16" hidden="1">#REF!</definedName>
    <definedName name="BEx5P9Y9RDXNUAJ6CZ2LHMM8IM7T" localSheetId="19" hidden="1">#REF!</definedName>
    <definedName name="BEx5P9Y9RDXNUAJ6CZ2LHMM8IM7T" hidden="1">#REF!</definedName>
    <definedName name="BEx5PF76KPATYJ4N41VA1D7CDWY4" localSheetId="16" hidden="1">#REF!</definedName>
    <definedName name="BEx5PF76KPATYJ4N41VA1D7CDWY4" localSheetId="19" hidden="1">#REF!</definedName>
    <definedName name="BEx5PF76KPATYJ4N41VA1D7CDWY4" hidden="1">#REF!</definedName>
    <definedName name="BEx5PHWB2C0D5QLP3BZIP3UO7DIZ" localSheetId="16" hidden="1">#REF!</definedName>
    <definedName name="BEx5PHWB2C0D5QLP3BZIP3UO7DIZ" localSheetId="19" hidden="1">#REF!</definedName>
    <definedName name="BEx5PHWB2C0D5QLP3BZIP3UO7DIZ" hidden="1">#REF!</definedName>
    <definedName name="BEx5PJP02W68K2E46L5C5YBSNU6T" localSheetId="19" hidden="1">#REF!</definedName>
    <definedName name="BEx5PJP02W68K2E46L5C5YBSNU6T" hidden="1">#REF!</definedName>
    <definedName name="BEx5PLCA8DOMAU315YCS5275L2HS" localSheetId="19" hidden="1">#REF!</definedName>
    <definedName name="BEx5PLCA8DOMAU315YCS5275L2HS" hidden="1">#REF!</definedName>
    <definedName name="BEx5PRXMZ5M65Z732WNNGV564C2J" localSheetId="19" hidden="1">#REF!</definedName>
    <definedName name="BEx5PRXMZ5M65Z732WNNGV564C2J" hidden="1">#REF!</definedName>
    <definedName name="BEx5QPSW4IPLH50WSR87HRER05RF" localSheetId="19" hidden="1">#REF!</definedName>
    <definedName name="BEx5QPSW4IPLH50WSR87HRER05RF" hidden="1">#REF!</definedName>
    <definedName name="BEx73V0EP8EMNRC3EZJJKKVKWQVB" localSheetId="19" hidden="1">#REF!</definedName>
    <definedName name="BEx73V0EP8EMNRC3EZJJKKVKWQVB" hidden="1">#REF!</definedName>
    <definedName name="BEx741WJHIJVXUX131SBXTVW8D71" localSheetId="19" hidden="1">#REF!</definedName>
    <definedName name="BEx741WJHIJVXUX131SBXTVW8D71" hidden="1">#REF!</definedName>
    <definedName name="BEx74ESIB9Y8KGETIERMKU5PLCQR" localSheetId="19" hidden="1">#REF!</definedName>
    <definedName name="BEx74ESIB9Y8KGETIERMKU5PLCQR" hidden="1">#REF!</definedName>
    <definedName name="BEx74Q6H3O7133AWQXWC21MI2UFT" localSheetId="19" hidden="1">#REF!</definedName>
    <definedName name="BEx74Q6H3O7133AWQXWC21MI2UFT" hidden="1">#REF!</definedName>
    <definedName name="BEx74SVN624OKKQLMBVAPE9KAL13" localSheetId="19" hidden="1">#REF!</definedName>
    <definedName name="BEx74SVN624OKKQLMBVAPE9KAL13" hidden="1">#REF!</definedName>
    <definedName name="BEx74W6BJ8ENO3J25WNM5H5APKA3" localSheetId="19" hidden="1">#REF!</definedName>
    <definedName name="BEx74W6BJ8ENO3J25WNM5H5APKA3" hidden="1">#REF!</definedName>
    <definedName name="BEx7532GP65LPFYWT7B0NMQMFZNV" localSheetId="19" hidden="1">#REF!</definedName>
    <definedName name="BEx7532GP65LPFYWT7B0NMQMFZNV" hidden="1">#REF!</definedName>
    <definedName name="BEx755GRRD9BL27YHLH5QWIYLWB7" localSheetId="19" hidden="1">#REF!</definedName>
    <definedName name="BEx755GRRD9BL27YHLH5QWIYLWB7" hidden="1">#REF!</definedName>
    <definedName name="BEx7579IFVUAVJ784K1JNXQW1Z9I" localSheetId="19" hidden="1">#REF!</definedName>
    <definedName name="BEx7579IFVUAVJ784K1JNXQW1Z9I" hidden="1">#REF!</definedName>
    <definedName name="BEx759D1D5SXS5ELLZVBI0SXYUNF" localSheetId="19" hidden="1">#REF!</definedName>
    <definedName name="BEx759D1D5SXS5ELLZVBI0SXYUNF" hidden="1">#REF!</definedName>
    <definedName name="BEx75GJZSZHUDN6OOAGQYFUDA2LP" localSheetId="19" hidden="1">#REF!</definedName>
    <definedName name="BEx75GJZSZHUDN6OOAGQYFUDA2LP" hidden="1">#REF!</definedName>
    <definedName name="BEx75HGCCV5K4UCJWYV8EV9AG5YT" localSheetId="19" hidden="1">#REF!</definedName>
    <definedName name="BEx75HGCCV5K4UCJWYV8EV9AG5YT" hidden="1">#REF!</definedName>
    <definedName name="BEx75OHUDAC9RZDLL9L4I1L7VQ21" localSheetId="19" hidden="1">'[38]10.08.4 -2008 Capital'!#REF!</definedName>
    <definedName name="BEx75OHUDAC9RZDLL9L4I1L7VQ21" hidden="1">'[38]10.08.4 -2008 Capital'!#REF!</definedName>
    <definedName name="BEx75PZT8TY5P13U978NVBUXKHT4" localSheetId="14" hidden="1">#REF!</definedName>
    <definedName name="BEx75PZT8TY5P13U978NVBUXKHT4" localSheetId="15" hidden="1">#REF!</definedName>
    <definedName name="BEx75PZT8TY5P13U978NVBUXKHT4" localSheetId="16" hidden="1">#REF!</definedName>
    <definedName name="BEx75PZT8TY5P13U978NVBUXKHT4" localSheetId="19" hidden="1">#REF!</definedName>
    <definedName name="BEx75PZT8TY5P13U978NVBUXKHT4" hidden="1">#REF!</definedName>
    <definedName name="BEx75T55F7GML8V1DMWL26WRT006" localSheetId="16" hidden="1">#REF!</definedName>
    <definedName name="BEx75T55F7GML8V1DMWL26WRT006" localSheetId="19" hidden="1">#REF!</definedName>
    <definedName name="BEx75T55F7GML8V1DMWL26WRT006" hidden="1">#REF!</definedName>
    <definedName name="BEx75VJGR07JY6UUWURQ4PJ29UKC" localSheetId="16" hidden="1">#REF!</definedName>
    <definedName name="BEx75VJGR07JY6UUWURQ4PJ29UKC" localSheetId="19" hidden="1">#REF!</definedName>
    <definedName name="BEx75VJGR07JY6UUWURQ4PJ29UKC" hidden="1">#REF!</definedName>
    <definedName name="BEx7696C3JFS7JTBL4CH2YB4GLHQ" localSheetId="19" hidden="1">#REF!</definedName>
    <definedName name="BEx7696C3JFS7JTBL4CH2YB4GLHQ" hidden="1">#REF!</definedName>
    <definedName name="BEx76F0MJW2PS2LZH14RJZO14ARD" localSheetId="19" hidden="1">'[38]10.08.5 - 2008 Capital - TDBU'!#REF!</definedName>
    <definedName name="BEx76F0MJW2PS2LZH14RJZO14ARD" hidden="1">'[38]10.08.5 - 2008 Capital - TDBU'!#REF!</definedName>
    <definedName name="BEx7741OUGLA0WJQLQRUJSL4DE00" localSheetId="14" hidden="1">#REF!</definedName>
    <definedName name="BEx7741OUGLA0WJQLQRUJSL4DE00" localSheetId="15" hidden="1">#REF!</definedName>
    <definedName name="BEx7741OUGLA0WJQLQRUJSL4DE00" localSheetId="16" hidden="1">#REF!</definedName>
    <definedName name="BEx7741OUGLA0WJQLQRUJSL4DE00" localSheetId="19" hidden="1">#REF!</definedName>
    <definedName name="BEx7741OUGLA0WJQLQRUJSL4DE00" hidden="1">#REF!</definedName>
    <definedName name="BEx774N83DXLJZ54Q42PWIJZ2DN1" localSheetId="16" hidden="1">#REF!</definedName>
    <definedName name="BEx774N83DXLJZ54Q42PWIJZ2DN1" localSheetId="19" hidden="1">#REF!</definedName>
    <definedName name="BEx774N83DXLJZ54Q42PWIJZ2DN1" hidden="1">#REF!</definedName>
    <definedName name="BEx779QNIY3061ZV9BR462WKEGRW" localSheetId="16" hidden="1">#REF!</definedName>
    <definedName name="BEx779QNIY3061ZV9BR462WKEGRW" localSheetId="19" hidden="1">#REF!</definedName>
    <definedName name="BEx779QNIY3061ZV9BR462WKEGRW" hidden="1">#REF!</definedName>
    <definedName name="BEx77G19QU9A95CNHE6QMVSQR2T3" localSheetId="19" hidden="1">#REF!</definedName>
    <definedName name="BEx77G19QU9A95CNHE6QMVSQR2T3" hidden="1">#REF!</definedName>
    <definedName name="BEx77NIZM6XEWOV6EXQU2UG5MSUR" localSheetId="19" hidden="1">'[38]10.08.5 - 2008 Capital - TDBU'!#REF!</definedName>
    <definedName name="BEx77NIZM6XEWOV6EXQU2UG5MSUR" hidden="1">'[38]10.08.5 - 2008 Capital - TDBU'!#REF!</definedName>
    <definedName name="BEx77P0S3GVMS7BJUL9OWUGJ1B02" localSheetId="14" hidden="1">#REF!</definedName>
    <definedName name="BEx77P0S3GVMS7BJUL9OWUGJ1B02" localSheetId="15" hidden="1">#REF!</definedName>
    <definedName name="BEx77P0S3GVMS7BJUL9OWUGJ1B02" localSheetId="16" hidden="1">#REF!</definedName>
    <definedName name="BEx77P0S3GVMS7BJUL9OWUGJ1B02" localSheetId="19" hidden="1">#REF!</definedName>
    <definedName name="BEx77P0S3GVMS7BJUL9OWUGJ1B02" hidden="1">#REF!</definedName>
    <definedName name="BEx77P69SYJJ2S37W7MAD4IWKUO4" localSheetId="16" hidden="1">#REF!</definedName>
    <definedName name="BEx77P69SYJJ2S37W7MAD4IWKUO4" localSheetId="19" hidden="1">#REF!</definedName>
    <definedName name="BEx77P69SYJJ2S37W7MAD4IWKUO4" hidden="1">#REF!</definedName>
    <definedName name="BEx77QDESURI6WW5582YXSK3A972" localSheetId="16" hidden="1">#REF!</definedName>
    <definedName name="BEx77QDESURI6WW5582YXSK3A972" localSheetId="19" hidden="1">#REF!</definedName>
    <definedName name="BEx77QDESURI6WW5582YXSK3A972" hidden="1">#REF!</definedName>
    <definedName name="BEx77U9O8O8ZI1JB5ZFCC25C06DJ" localSheetId="19" hidden="1">#REF!</definedName>
    <definedName name="BEx77U9O8O8ZI1JB5ZFCC25C06DJ" hidden="1">#REF!</definedName>
    <definedName name="BEx77VBI9XOPFHKEWU5EHQ9J675Y" localSheetId="19" hidden="1">#REF!</definedName>
    <definedName name="BEx77VBI9XOPFHKEWU5EHQ9J675Y" hidden="1">#REF!</definedName>
    <definedName name="BEx7809GQOCLHSNH95VOYIX7P1TV" localSheetId="19" hidden="1">#REF!</definedName>
    <definedName name="BEx7809GQOCLHSNH95VOYIX7P1TV" hidden="1">#REF!</definedName>
    <definedName name="BEx780K8XAXUHGVZGZWQ74DK4CI3" localSheetId="19" hidden="1">#REF!</definedName>
    <definedName name="BEx780K8XAXUHGVZGZWQ74DK4CI3" hidden="1">#REF!</definedName>
    <definedName name="BEx78226TN58UE0CTY98YEDU0LSL" localSheetId="19" hidden="1">#REF!</definedName>
    <definedName name="BEx78226TN58UE0CTY98YEDU0LSL" hidden="1">#REF!</definedName>
    <definedName name="BEx787GF57Y7X323F3OTRWSGH7HZ" localSheetId="19" hidden="1">#REF!</definedName>
    <definedName name="BEx787GF57Y7X323F3OTRWSGH7HZ" hidden="1">#REF!</definedName>
    <definedName name="BEx7881ZZBWHRAX6W2GY19J8MGEQ" localSheetId="19" hidden="1">#REF!</definedName>
    <definedName name="BEx7881ZZBWHRAX6W2GY19J8MGEQ" hidden="1">#REF!</definedName>
    <definedName name="BEx78HHRIWDLHQX2LG0HWFRYEL1T" localSheetId="19" hidden="1">#REF!</definedName>
    <definedName name="BEx78HHRIWDLHQX2LG0HWFRYEL1T" hidden="1">#REF!</definedName>
    <definedName name="BEx78LE2GHJ4PVWT3ULLA2J3TY1V" localSheetId="19" hidden="1">#REF!</definedName>
    <definedName name="BEx78LE2GHJ4PVWT3ULLA2J3TY1V" hidden="1">#REF!</definedName>
    <definedName name="BEx78QMXZ2P1ZB3HJ9O50DWHCMXR" localSheetId="19" hidden="1">#REF!</definedName>
    <definedName name="BEx78QMXZ2P1ZB3HJ9O50DWHCMXR" hidden="1">#REF!</definedName>
    <definedName name="BEx78SFO5VR28677DWZEMDN7G86X" localSheetId="19" hidden="1">#REF!</definedName>
    <definedName name="BEx78SFO5VR28677DWZEMDN7G86X" hidden="1">#REF!</definedName>
    <definedName name="BEx78SFOYH1Z0ZDTO47W2M60TW6K" localSheetId="19" hidden="1">#REF!</definedName>
    <definedName name="BEx78SFOYH1Z0ZDTO47W2M60TW6K" hidden="1">#REF!</definedName>
    <definedName name="BEx79APUP133FLMIO8AZJFIIYD1L" localSheetId="19" hidden="1">#REF!</definedName>
    <definedName name="BEx79APUP133FLMIO8AZJFIIYD1L" hidden="1">#REF!</definedName>
    <definedName name="BEx79JK3E6JO8MX4O35A5G8NZCC8" localSheetId="19" hidden="1">#REF!</definedName>
    <definedName name="BEx79JK3E6JO8MX4O35A5G8NZCC8" hidden="1">#REF!</definedName>
    <definedName name="BEx79OCP4HQ6XP8EWNGEUDLOZBBS" localSheetId="19" hidden="1">#REF!</definedName>
    <definedName name="BEx79OCP4HQ6XP8EWNGEUDLOZBBS" hidden="1">#REF!</definedName>
    <definedName name="BEx79SEAYKUZB0H4LYBCD6WWJBG2" localSheetId="19" hidden="1">#REF!</definedName>
    <definedName name="BEx79SEAYKUZB0H4LYBCD6WWJBG2" hidden="1">#REF!</definedName>
    <definedName name="BEx79SJRHTLS9PYM69O9BWW1FMJK" localSheetId="19" hidden="1">#REF!</definedName>
    <definedName name="BEx79SJRHTLS9PYM69O9BWW1FMJK" hidden="1">#REF!</definedName>
    <definedName name="BEx79YJJLBELICW9F9FRYSCQ101L" localSheetId="19" hidden="1">#REF!</definedName>
    <definedName name="BEx79YJJLBELICW9F9FRYSCQ101L" hidden="1">#REF!</definedName>
    <definedName name="BEx79YUC7B0V77FSBGIRCY1BR4VK" localSheetId="19" hidden="1">#REF!</definedName>
    <definedName name="BEx79YUC7B0V77FSBGIRCY1BR4VK" hidden="1">#REF!</definedName>
    <definedName name="BEx7A06T3RC2891FUX05G3QPRAUE" localSheetId="19" hidden="1">#REF!</definedName>
    <definedName name="BEx7A06T3RC2891FUX05G3QPRAUE" hidden="1">#REF!</definedName>
    <definedName name="BEx7A18OPKC61FNESSBTAXMF8AW7" localSheetId="19" hidden="1">#REF!</definedName>
    <definedName name="BEx7A18OPKC61FNESSBTAXMF8AW7" hidden="1">#REF!</definedName>
    <definedName name="BEx7A1DZ3ACKTQDO9ELXW44GL8Y2" localSheetId="19" hidden="1">'[38]10.08.4 -2008 Capital'!#REF!</definedName>
    <definedName name="BEx7A1DZ3ACKTQDO9ELXW44GL8Y2" hidden="1">'[38]10.08.4 -2008 Capital'!#REF!</definedName>
    <definedName name="BEx7A7DRZSSF2EG6JQH27X93U90I" localSheetId="14" hidden="1">#REF!</definedName>
    <definedName name="BEx7A7DRZSSF2EG6JQH27X93U90I" localSheetId="15" hidden="1">#REF!</definedName>
    <definedName name="BEx7A7DRZSSF2EG6JQH27X93U90I" localSheetId="16" hidden="1">#REF!</definedName>
    <definedName name="BEx7A7DRZSSF2EG6JQH27X93U90I" localSheetId="19" hidden="1">#REF!</definedName>
    <definedName name="BEx7A7DRZSSF2EG6JQH27X93U90I" hidden="1">#REF!</definedName>
    <definedName name="BEx7A9S3JA1X7FH4CFSQLTZC4691" localSheetId="16" hidden="1">#REF!</definedName>
    <definedName name="BEx7A9S3JA1X7FH4CFSQLTZC4691" localSheetId="19" hidden="1">#REF!</definedName>
    <definedName name="BEx7A9S3JA1X7FH4CFSQLTZC4691" hidden="1">#REF!</definedName>
    <definedName name="BEx7ABA2C9IWH5VSLVLLLCY62161" localSheetId="16" hidden="1">#REF!</definedName>
    <definedName name="BEx7ABA2C9IWH5VSLVLLLCY62161" localSheetId="19" hidden="1">#REF!</definedName>
    <definedName name="BEx7ABA2C9IWH5VSLVLLLCY62161" hidden="1">#REF!</definedName>
    <definedName name="BEx7AE4LPLX8N85BYB0WCO5S7ZPV" localSheetId="19" hidden="1">#REF!</definedName>
    <definedName name="BEx7AE4LPLX8N85BYB0WCO5S7ZPV" hidden="1">#REF!</definedName>
    <definedName name="BEx7AJ81S7N0ZOX5HWUXTT04D8KK" localSheetId="19" hidden="1">'[38]10.08.5 - 2008 Capital - TDBU'!#REF!</definedName>
    <definedName name="BEx7AJ81S7N0ZOX5HWUXTT04D8KK" hidden="1">'[38]10.08.5 - 2008 Capital - TDBU'!#REF!</definedName>
    <definedName name="BEx7AQKAXA50BVHLEWZFVHEFM6BR" localSheetId="14" hidden="1">#REF!</definedName>
    <definedName name="BEx7AQKAXA50BVHLEWZFVHEFM6BR" localSheetId="15" hidden="1">#REF!</definedName>
    <definedName name="BEx7AQKAXA50BVHLEWZFVHEFM6BR" localSheetId="16" hidden="1">#REF!</definedName>
    <definedName name="BEx7AQKAXA50BVHLEWZFVHEFM6BR" localSheetId="19" hidden="1">#REF!</definedName>
    <definedName name="BEx7AQKAXA50BVHLEWZFVHEFM6BR" hidden="1">#REF!</definedName>
    <definedName name="BEx7ASD1I654MEDCO6GGWA95PXSC" localSheetId="16" hidden="1">#REF!</definedName>
    <definedName name="BEx7ASD1I654MEDCO6GGWA95PXSC" localSheetId="19" hidden="1">#REF!</definedName>
    <definedName name="BEx7ASD1I654MEDCO6GGWA95PXSC" hidden="1">#REF!</definedName>
    <definedName name="BEx7AVCX9S5RJP3NSZ4QM4E6ERDT" localSheetId="16" hidden="1">#REF!</definedName>
    <definedName name="BEx7AVCX9S5RJP3NSZ4QM4E6ERDT" localSheetId="19" hidden="1">#REF!</definedName>
    <definedName name="BEx7AVCX9S5RJP3NSZ4QM4E6ERDT" hidden="1">#REF!</definedName>
    <definedName name="BEx7AVT704ZMAOMB9JGPZ6LXHSQG" localSheetId="19" hidden="1">#REF!</definedName>
    <definedName name="BEx7AVT704ZMAOMB9JGPZ6LXHSQG" hidden="1">#REF!</definedName>
    <definedName name="BEx7AVYIGP0930MV5JEBWRYCJN68" localSheetId="19" hidden="1">#REF!</definedName>
    <definedName name="BEx7AVYIGP0930MV5JEBWRYCJN68" hidden="1">#REF!</definedName>
    <definedName name="BEx7B6LH6917TXOSAAQ6U7HVF018" localSheetId="19" hidden="1">#REF!</definedName>
    <definedName name="BEx7B6LH6917TXOSAAQ6U7HVF018" hidden="1">#REF!</definedName>
    <definedName name="BEx7BPXFZXJ79FQ0E8AQE21PGVHA" localSheetId="19" hidden="1">#REF!</definedName>
    <definedName name="BEx7BPXFZXJ79FQ0E8AQE21PGVHA" hidden="1">#REF!</definedName>
    <definedName name="BEx7C04AM39DQMC1TIX7CFZ2ADHX" localSheetId="19" hidden="1">#REF!</definedName>
    <definedName name="BEx7C04AM39DQMC1TIX7CFZ2ADHX" hidden="1">#REF!</definedName>
    <definedName name="BEx7C1RKPVBM823KIGN85C8NOGLB" localSheetId="19" hidden="1">#REF!</definedName>
    <definedName name="BEx7C1RKPVBM823KIGN85C8NOGLB" hidden="1">#REF!</definedName>
    <definedName name="BEx7C40F0PQURHPI6YQ39NFIR86Z" localSheetId="19" hidden="1">#REF!</definedName>
    <definedName name="BEx7C40F0PQURHPI6YQ39NFIR86Z" hidden="1">#REF!</definedName>
    <definedName name="BEx7C93VR7SYRIJS1JO8YZKSFAW9" localSheetId="19" hidden="1">#REF!</definedName>
    <definedName name="BEx7C93VR7SYRIJS1JO8YZKSFAW9" hidden="1">#REF!</definedName>
    <definedName name="BEx7CCPC6R1KQQZ2JQU6EFI1G0RM" localSheetId="19" hidden="1">#REF!</definedName>
    <definedName name="BEx7CCPC6R1KQQZ2JQU6EFI1G0RM" hidden="1">#REF!</definedName>
    <definedName name="BEx7CDAXF5MHW62MV0JHIEM92MPI" localSheetId="19" hidden="1">#REF!</definedName>
    <definedName name="BEx7CDAXF5MHW62MV0JHIEM92MPI" hidden="1">#REF!</definedName>
    <definedName name="BEx7CIJST9GLS2QD383UK7VUDTGL" localSheetId="19" hidden="1">#REF!</definedName>
    <definedName name="BEx7CIJST9GLS2QD383UK7VUDTGL" hidden="1">#REF!</definedName>
    <definedName name="BEx7CN1OPV8F04BRSJJSWFTXJAD5" localSheetId="19" hidden="1">#REF!</definedName>
    <definedName name="BEx7CN1OPV8F04BRSJJSWFTXJAD5" hidden="1">#REF!</definedName>
    <definedName name="BEx7CO8T2XKC7GHDSYNAWTZ9L7YR" localSheetId="19" hidden="1">#REF!</definedName>
    <definedName name="BEx7CO8T2XKC7GHDSYNAWTZ9L7YR" hidden="1">#REF!</definedName>
    <definedName name="BEx7CW1CF00DO8A36UNC2X7K65C2" localSheetId="19" hidden="1">#REF!</definedName>
    <definedName name="BEx7CW1CF00DO8A36UNC2X7K65C2" hidden="1">#REF!</definedName>
    <definedName name="BEx7CW6NFRL2P4XWP0MWHIYA97KF" localSheetId="19" hidden="1">#REF!</definedName>
    <definedName name="BEx7CW6NFRL2P4XWP0MWHIYA97KF" hidden="1">#REF!</definedName>
    <definedName name="BEx7D5RWKRS4W71J4NZ6ZSFHPKFT" localSheetId="19" hidden="1">#REF!</definedName>
    <definedName name="BEx7D5RWKRS4W71J4NZ6ZSFHPKFT" hidden="1">#REF!</definedName>
    <definedName name="BEx7D8H1TPOX1UN17QZYEV7Q58GA" localSheetId="19" hidden="1">#REF!</definedName>
    <definedName name="BEx7D8H1TPOX1UN17QZYEV7Q58GA" hidden="1">#REF!</definedName>
    <definedName name="BEx7DGF13H2074LRWFZQ45PZ6JPX" localSheetId="19" hidden="1">#REF!</definedName>
    <definedName name="BEx7DGF13H2074LRWFZQ45PZ6JPX" hidden="1">#REF!</definedName>
    <definedName name="BEx7DKWUXEDIISSX4GDD4YYT887F" localSheetId="19" hidden="1">#REF!</definedName>
    <definedName name="BEx7DKWUXEDIISSX4GDD4YYT887F" hidden="1">#REF!</definedName>
    <definedName name="BEx7DMUYR2HC26WW7AOB1TULERMB" localSheetId="19" hidden="1">#REF!</definedName>
    <definedName name="BEx7DMUYR2HC26WW7AOB1TULERMB" hidden="1">#REF!</definedName>
    <definedName name="BEx7DVJTRV44IMJIBFXELE67SZ7S" localSheetId="19" hidden="1">#REF!</definedName>
    <definedName name="BEx7DVJTRV44IMJIBFXELE67SZ7S" hidden="1">#REF!</definedName>
    <definedName name="BEx7DVUMFCI5INHMVFIJ44RTTSTT" localSheetId="19" hidden="1">#REF!</definedName>
    <definedName name="BEx7DVUMFCI5INHMVFIJ44RTTSTT" hidden="1">#REF!</definedName>
    <definedName name="BEx7E2QSW841R32GCRO0M9X6GW5L" localSheetId="19" hidden="1">#REF!</definedName>
    <definedName name="BEx7E2QSW841R32GCRO0M9X6GW5L" hidden="1">#REF!</definedName>
    <definedName name="BEx7E2QT2U8THYOKBPXONB1B47WH" localSheetId="19" hidden="1">#REF!</definedName>
    <definedName name="BEx7E2QT2U8THYOKBPXONB1B47WH" hidden="1">#REF!</definedName>
    <definedName name="BEx7E5QP7W6UKO74F5Y0VJ741HS5" localSheetId="19" hidden="1">#REF!</definedName>
    <definedName name="BEx7E5QP7W6UKO74F5Y0VJ741HS5" hidden="1">#REF!</definedName>
    <definedName name="BEx7E6N29HGH3I47AFB2DCS6MVS6" localSheetId="19" hidden="1">#REF!</definedName>
    <definedName name="BEx7E6N29HGH3I47AFB2DCS6MVS6" hidden="1">#REF!</definedName>
    <definedName name="BEx7EBA8IYHQKT7IQAOAML660SYA" localSheetId="19" hidden="1">#REF!</definedName>
    <definedName name="BEx7EBA8IYHQKT7IQAOAML660SYA" hidden="1">#REF!</definedName>
    <definedName name="BEx7EI6C8MCRZFEQYUBE5FSUTIHK" localSheetId="19" hidden="1">#REF!</definedName>
    <definedName name="BEx7EI6C8MCRZFEQYUBE5FSUTIHK" hidden="1">#REF!</definedName>
    <definedName name="BEx7EI6DL1Z6UWLFBXAKVGZTKHWJ" localSheetId="19" hidden="1">#REF!</definedName>
    <definedName name="BEx7EI6DL1Z6UWLFBXAKVGZTKHWJ" hidden="1">#REF!</definedName>
    <definedName name="BEx7EQKHX7GZYOLXRDU534TT4H64" localSheetId="19" hidden="1">#REF!</definedName>
    <definedName name="BEx7EQKHX7GZYOLXRDU534TT4H64" hidden="1">#REF!</definedName>
    <definedName name="BEx7ETV6L1TM7JSXJIGK3FC6RVZW" localSheetId="19" hidden="1">#REF!</definedName>
    <definedName name="BEx7ETV6L1TM7JSXJIGK3FC6RVZW" hidden="1">#REF!</definedName>
    <definedName name="BEx7EV2C287ME9PQ0FIM5QWZ3O9K" localSheetId="19" hidden="1">#REF!</definedName>
    <definedName name="BEx7EV2C287ME9PQ0FIM5QWZ3O9K" hidden="1">#REF!</definedName>
    <definedName name="BEx7EWK9GUVV6FXWYIGH0TAI4V2O" localSheetId="19" hidden="1">#REF!</definedName>
    <definedName name="BEx7EWK9GUVV6FXWYIGH0TAI4V2O" hidden="1">#REF!</definedName>
    <definedName name="BEx7EYYLHMBYQTH6I377FCQS7CSX" localSheetId="19" hidden="1">#REF!</definedName>
    <definedName name="BEx7EYYLHMBYQTH6I377FCQS7CSX" hidden="1">#REF!</definedName>
    <definedName name="BEx7F3R8WBC6E9U65SYE1VCBPKTN" localSheetId="19" hidden="1">#REF!</definedName>
    <definedName name="BEx7F3R8WBC6E9U65SYE1VCBPKTN" hidden="1">#REF!</definedName>
    <definedName name="BEx7FCLG1RYI2SNOU1Y2GQZNZSWA" localSheetId="19" hidden="1">#REF!</definedName>
    <definedName name="BEx7FCLG1RYI2SNOU1Y2GQZNZSWA" hidden="1">#REF!</definedName>
    <definedName name="BEx7FN32ZGWOAA4TTH79KINTDWR9" localSheetId="19" hidden="1">#REF!</definedName>
    <definedName name="BEx7FN32ZGWOAA4TTH79KINTDWR9" hidden="1">#REF!</definedName>
    <definedName name="BEx7G0F5491O5LOO00O1AXXAE24R" localSheetId="19" hidden="1">#REF!</definedName>
    <definedName name="BEx7G0F5491O5LOO00O1AXXAE24R" hidden="1">#REF!</definedName>
    <definedName name="BEx7G82CKM3NIY1PHNFK28M09PCH" localSheetId="19" hidden="1">#REF!</definedName>
    <definedName name="BEx7G82CKM3NIY1PHNFK28M09PCH" hidden="1">#REF!</definedName>
    <definedName name="BEx7GR3ENYWRXXS5IT0UMEGOLGUH" localSheetId="19" hidden="1">#REF!</definedName>
    <definedName name="BEx7GR3ENYWRXXS5IT0UMEGOLGUH" hidden="1">#REF!</definedName>
    <definedName name="BEx7GSAL6P7TASL8MB63RFST1LJL" localSheetId="19" hidden="1">#REF!</definedName>
    <definedName name="BEx7GSAL6P7TASL8MB63RFST1LJL" hidden="1">#REF!</definedName>
    <definedName name="BEx7H0JCP7ZU8M0UWQXEBQ8U7WXG" localSheetId="19" hidden="1">#REF!</definedName>
    <definedName name="BEx7H0JCP7ZU8M0UWQXEBQ8U7WXG" hidden="1">#REF!</definedName>
    <definedName name="BEx7H0JD6I5I8WQLLWOYWY5YWPQE" localSheetId="19" hidden="1">#REF!</definedName>
    <definedName name="BEx7H0JD6I5I8WQLLWOYWY5YWPQE" hidden="1">#REF!</definedName>
    <definedName name="BEx7H14XCXH7WEXEY1HVO53A6AGH" localSheetId="19" hidden="1">#REF!</definedName>
    <definedName name="BEx7H14XCXH7WEXEY1HVO53A6AGH" hidden="1">#REF!</definedName>
    <definedName name="BEx7HFTIA8AC8BR8HKIN81VE1SGW" localSheetId="19" hidden="1">#REF!</definedName>
    <definedName name="BEx7HFTIA8AC8BR8HKIN81VE1SGW" hidden="1">#REF!</definedName>
    <definedName name="BEx7HGVBEF4LEIF6RC14N3PSU461" localSheetId="19" hidden="1">#REF!</definedName>
    <definedName name="BEx7HGVBEF4LEIF6RC14N3PSU461" hidden="1">#REF!</definedName>
    <definedName name="BEx7HNM5QUG90PN1J2VL176TH6KY" localSheetId="19" hidden="1">#REF!</definedName>
    <definedName name="BEx7HNM5QUG90PN1J2VL176TH6KY" hidden="1">#REF!</definedName>
    <definedName name="BEx7HQ5T9FZ42QWS09UO4DT42Y0R" localSheetId="19" hidden="1">#REF!</definedName>
    <definedName name="BEx7HQ5T9FZ42QWS09UO4DT42Y0R" hidden="1">#REF!</definedName>
    <definedName name="BEx7HRCZE3CVGON1HV07MT5MNDZ3" localSheetId="19" hidden="1">#REF!</definedName>
    <definedName name="BEx7HRCZE3CVGON1HV07MT5MNDZ3" hidden="1">#REF!</definedName>
    <definedName name="BEx7HWGE2CANG5M17X4C8YNC3N8F" localSheetId="19" hidden="1">#REF!</definedName>
    <definedName name="BEx7HWGE2CANG5M17X4C8YNC3N8F" hidden="1">#REF!</definedName>
    <definedName name="BEx7I8FZ96C5JAHXS18ZV0912LZP" localSheetId="19" hidden="1">#REF!</definedName>
    <definedName name="BEx7I8FZ96C5JAHXS18ZV0912LZP" hidden="1">#REF!</definedName>
    <definedName name="BEx7IBVYN47SFZIA0K4MDKQZNN9V" localSheetId="19" hidden="1">#REF!</definedName>
    <definedName name="BEx7IBVYN47SFZIA0K4MDKQZNN9V" hidden="1">#REF!</definedName>
    <definedName name="BEx7IJOI6V63WKXYU6YTHPHUSP7U" localSheetId="19" hidden="1">#REF!</definedName>
    <definedName name="BEx7IJOI6V63WKXYU6YTHPHUSP7U" hidden="1">#REF!</definedName>
    <definedName name="BEx7IRRUY5JMPVVS2G8ZTVLVF9H8" localSheetId="19" hidden="1">#REF!</definedName>
    <definedName name="BEx7IRRUY5JMPVVS2G8ZTVLVF9H8" hidden="1">#REF!</definedName>
    <definedName name="BEx7IV2IJ5WT7UC0UG7WP0WF2JZI" localSheetId="19" hidden="1">#REF!</definedName>
    <definedName name="BEx7IV2IJ5WT7UC0UG7WP0WF2JZI" hidden="1">#REF!</definedName>
    <definedName name="BEx7IXGU74GE5E4S6W4Z13AR092Y" localSheetId="19" hidden="1">#REF!</definedName>
    <definedName name="BEx7IXGU74GE5E4S6W4Z13AR092Y" hidden="1">#REF!</definedName>
    <definedName name="BEx7J4YL8Q3BI1MLH16YYQ18IJRD" localSheetId="19" hidden="1">#REF!</definedName>
    <definedName name="BEx7J4YL8Q3BI1MLH16YYQ18IJRD" hidden="1">#REF!</definedName>
    <definedName name="BEx7J7CWKB4WKZAQMK3Z0S9GSOSM" localSheetId="19" hidden="1">#REF!</definedName>
    <definedName name="BEx7J7CWKB4WKZAQMK3Z0S9GSOSM" hidden="1">#REF!</definedName>
    <definedName name="BEx7JH3HGBPI07OHZ5LFYK0UFZQR" localSheetId="19" hidden="1">#REF!</definedName>
    <definedName name="BEx7JH3HGBPI07OHZ5LFYK0UFZQR" hidden="1">#REF!</definedName>
    <definedName name="BEx7JV194190CNM6WWGQ3UBJ3CHH" localSheetId="19" hidden="1">#REF!</definedName>
    <definedName name="BEx7JV194190CNM6WWGQ3UBJ3CHH" hidden="1">#REF!</definedName>
    <definedName name="BEx7JZJ4XFUATU0PG7083JPTXG4K" localSheetId="19" hidden="1">#REF!</definedName>
    <definedName name="BEx7JZJ4XFUATU0PG7083JPTXG4K" hidden="1">#REF!</definedName>
    <definedName name="BEx7K469BHM1J8L2PEX3Z5HEMTCE" localSheetId="19" hidden="1">#REF!</definedName>
    <definedName name="BEx7K469BHM1J8L2PEX3Z5HEMTCE" hidden="1">#REF!</definedName>
    <definedName name="BEx7K7GZ607XQOGB81A1HINBTGOZ" localSheetId="19" hidden="1">#REF!</definedName>
    <definedName name="BEx7K7GZ607XQOGB81A1HINBTGOZ" hidden="1">#REF!</definedName>
    <definedName name="BEx7KEYPBDXSNROH8M6CDCBN6B50" localSheetId="19" hidden="1">#REF!</definedName>
    <definedName name="BEx7KEYPBDXSNROH8M6CDCBN6B50" hidden="1">#REF!</definedName>
    <definedName name="BEx7KMGGB2E6YDRM0M7DPVYH3ADI" localSheetId="19" hidden="1">'[38]10.08.3 - 2008 Expense - TDBU'!#REF!</definedName>
    <definedName name="BEx7KMGGB2E6YDRM0M7DPVYH3ADI" hidden="1">'[38]10.08.3 - 2008 Expense - TDBU'!#REF!</definedName>
    <definedName name="BEx7KR92AZ8OH3I7N51J8AU9LRP3" localSheetId="14" hidden="1">#REF!</definedName>
    <definedName name="BEx7KR92AZ8OH3I7N51J8AU9LRP3" localSheetId="15" hidden="1">#REF!</definedName>
    <definedName name="BEx7KR92AZ8OH3I7N51J8AU9LRP3" localSheetId="16" hidden="1">#REF!</definedName>
    <definedName name="BEx7KR92AZ8OH3I7N51J8AU9LRP3" localSheetId="19" hidden="1">#REF!</definedName>
    <definedName name="BEx7KR92AZ8OH3I7N51J8AU9LRP3" hidden="1">#REF!</definedName>
    <definedName name="BEx7KSAS8BZT6H8OQCZ5DNSTMO07" localSheetId="16" hidden="1">#REF!</definedName>
    <definedName name="BEx7KSAS8BZT6H8OQCZ5DNSTMO07" localSheetId="19" hidden="1">#REF!</definedName>
    <definedName name="BEx7KSAS8BZT6H8OQCZ5DNSTMO07" hidden="1">#REF!</definedName>
    <definedName name="BEx7KWHTBD21COXVI4HNEQH0Z3L8" localSheetId="16" hidden="1">#REF!</definedName>
    <definedName name="BEx7KWHTBD21COXVI4HNEQH0Z3L8" localSheetId="19" hidden="1">#REF!</definedName>
    <definedName name="BEx7KWHTBD21COXVI4HNEQH0Z3L8" hidden="1">#REF!</definedName>
    <definedName name="BEx7KWY24UYSDR57WCCVR4KEHE7U" localSheetId="19" hidden="1">#REF!</definedName>
    <definedName name="BEx7KWY24UYSDR57WCCVR4KEHE7U" hidden="1">#REF!</definedName>
    <definedName name="BEx7KXUGRMRSUXCM97Z7VRZQ9JH2" localSheetId="19" hidden="1">#REF!</definedName>
    <definedName name="BEx7KXUGRMRSUXCM97Z7VRZQ9JH2" hidden="1">#REF!</definedName>
    <definedName name="BEx7L21IQVP1N1TTQLRMANSSLSLE" localSheetId="19" hidden="1">#REF!</definedName>
    <definedName name="BEx7L21IQVP1N1TTQLRMANSSLSLE" hidden="1">#REF!</definedName>
    <definedName name="BEx7L5C6U8MP6IZ67BD649WQYJEK" localSheetId="19" hidden="1">#REF!</definedName>
    <definedName name="BEx7L5C6U8MP6IZ67BD649WQYJEK" hidden="1">#REF!</definedName>
    <definedName name="BEx7L7QID2UUN1F4435LIWAW8DV3" localSheetId="19" hidden="1">#REF!</definedName>
    <definedName name="BEx7L7QID2UUN1F4435LIWAW8DV3" hidden="1">#REF!</definedName>
    <definedName name="BEx7L8HEYEVTATR0OG5JJO647KNI" localSheetId="19" hidden="1">#REF!</definedName>
    <definedName name="BEx7L8HEYEVTATR0OG5JJO647KNI" hidden="1">#REF!</definedName>
    <definedName name="BEx7L8XOV64OMS15ZFURFEUXLMWF" localSheetId="19" hidden="1">#REF!</definedName>
    <definedName name="BEx7L8XOV64OMS15ZFURFEUXLMWF" hidden="1">#REF!</definedName>
    <definedName name="BEx7LJVFQACL9F4DRS9YZQ9R2N30" localSheetId="19" hidden="1">#REF!</definedName>
    <definedName name="BEx7LJVFQACL9F4DRS9YZQ9R2N30" hidden="1">#REF!</definedName>
    <definedName name="BEx7LZ0D7JSY0VK5FBGMZE26ZKFJ" localSheetId="19" hidden="1">'[38]10.08.2 - 2008 Expense'!#REF!</definedName>
    <definedName name="BEx7LZ0D7JSY0VK5FBGMZE26ZKFJ" hidden="1">'[38]10.08.2 - 2008 Expense'!#REF!</definedName>
    <definedName name="BEx7MAUI1JJFDIJGDW4RWY5384LY" localSheetId="14" hidden="1">#REF!</definedName>
    <definedName name="BEx7MAUI1JJFDIJGDW4RWY5384LY" localSheetId="15" hidden="1">#REF!</definedName>
    <definedName name="BEx7MAUI1JJFDIJGDW4RWY5384LY" localSheetId="16" hidden="1">#REF!</definedName>
    <definedName name="BEx7MAUI1JJFDIJGDW4RWY5384LY" localSheetId="19" hidden="1">#REF!</definedName>
    <definedName name="BEx7MAUI1JJFDIJGDW4RWY5384LY" hidden="1">#REF!</definedName>
    <definedName name="BEx7MJZO3UKAMJ53UWOJ5ZD4GGMQ" localSheetId="16" hidden="1">#REF!</definedName>
    <definedName name="BEx7MJZO3UKAMJ53UWOJ5ZD4GGMQ" localSheetId="19" hidden="1">#REF!</definedName>
    <definedName name="BEx7MJZO3UKAMJ53UWOJ5ZD4GGMQ" hidden="1">#REF!</definedName>
    <definedName name="BEx7MQ4RBQK32VUVPFRBYN76KSOD" localSheetId="16" hidden="1">#REF!</definedName>
    <definedName name="BEx7MQ4RBQK32VUVPFRBYN76KSOD" localSheetId="19" hidden="1">#REF!</definedName>
    <definedName name="BEx7MQ4RBQK32VUVPFRBYN76KSOD" hidden="1">#REF!</definedName>
    <definedName name="BEx7MT4MFNXIVQGAT6D971GZW7CA" localSheetId="19" hidden="1">#REF!</definedName>
    <definedName name="BEx7MT4MFNXIVQGAT6D971GZW7CA" hidden="1">#REF!</definedName>
    <definedName name="BEx7NE3X8Z6J8PMTHDO51G0HICD5" localSheetId="19" hidden="1">#REF!</definedName>
    <definedName name="BEx7NE3X8Z6J8PMTHDO51G0HICD5" hidden="1">#REF!</definedName>
    <definedName name="BEx7NI062THZAM6I8AJWTFJL91CS" localSheetId="19" hidden="1">#REF!</definedName>
    <definedName name="BEx7NI062THZAM6I8AJWTFJL91CS" hidden="1">#REF!</definedName>
    <definedName name="BEx8Z3M9Z5VD3MZ8TD1F5M49MOTD" localSheetId="19" hidden="1">#REF!</definedName>
    <definedName name="BEx8Z3M9Z5VD3MZ8TD1F5M49MOTD" hidden="1">#REF!</definedName>
    <definedName name="BEx8ZCWSI30U7NSNHLBK5HV2J2EN" localSheetId="19" hidden="1">#REF!</definedName>
    <definedName name="BEx8ZCWSI30U7NSNHLBK5HV2J2EN" hidden="1">#REF!</definedName>
    <definedName name="BEx904S75BPRYMHF0083JF7ES4NG" localSheetId="19" hidden="1">#REF!</definedName>
    <definedName name="BEx904S75BPRYMHF0083JF7ES4NG" hidden="1">#REF!</definedName>
    <definedName name="BEx90EZ2HAURBQ5I4V6WD6NYD0AQ" localSheetId="19" hidden="1">#REF!</definedName>
    <definedName name="BEx90EZ2HAURBQ5I4V6WD6NYD0AQ" hidden="1">#REF!</definedName>
    <definedName name="BEx90H2KA91ZVRIJCDN62HJVKQWC" localSheetId="19" hidden="1">#REF!</definedName>
    <definedName name="BEx90H2KA91ZVRIJCDN62HJVKQWC" hidden="1">#REF!</definedName>
    <definedName name="BEx90HDD4RWF7JZGA8GCGG7D63MG" localSheetId="19" hidden="1">#REF!</definedName>
    <definedName name="BEx90HDD4RWF7JZGA8GCGG7D63MG" hidden="1">#REF!</definedName>
    <definedName name="BEx90VGH5H09ON2QXYC9WIIEU98T" localSheetId="19" hidden="1">#REF!</definedName>
    <definedName name="BEx90VGH5H09ON2QXYC9WIIEU98T" hidden="1">#REF!</definedName>
    <definedName name="BEx911LKH78Q9WUWXLOQFEL59ITN" localSheetId="19" hidden="1">#REF!</definedName>
    <definedName name="BEx911LKH78Q9WUWXLOQFEL59ITN" hidden="1">#REF!</definedName>
    <definedName name="BEx911WE3W1AI7TEJHN5ROFMFVQ8" localSheetId="19" hidden="1">'[38]10.08.3 - 2008 Expense - TDBU'!#REF!</definedName>
    <definedName name="BEx911WE3W1AI7TEJHN5ROFMFVQ8" hidden="1">'[38]10.08.3 - 2008 Expense - TDBU'!#REF!</definedName>
    <definedName name="BEx9175B70QXYAU5A8DJPGZQ46L9" localSheetId="14" hidden="1">#REF!</definedName>
    <definedName name="BEx9175B70QXYAU5A8DJPGZQ46L9" localSheetId="15" hidden="1">#REF!</definedName>
    <definedName name="BEx9175B70QXYAU5A8DJPGZQ46L9" localSheetId="16" hidden="1">#REF!</definedName>
    <definedName name="BEx9175B70QXYAU5A8DJPGZQ46L9" localSheetId="19" hidden="1">#REF!</definedName>
    <definedName name="BEx9175B70QXYAU5A8DJPGZQ46L9" hidden="1">#REF!</definedName>
    <definedName name="BEx917QTZAYKMWFVDPZEDX8FH1J3" localSheetId="16" hidden="1">#REF!</definedName>
    <definedName name="BEx917QTZAYKMWFVDPZEDX8FH1J3" localSheetId="19" hidden="1">#REF!</definedName>
    <definedName name="BEx917QTZAYKMWFVDPZEDX8FH1J3" hidden="1">#REF!</definedName>
    <definedName name="BEx91AQQRTV87AO27VWHSFZAD4ZR" localSheetId="16" hidden="1">#REF!</definedName>
    <definedName name="BEx91AQQRTV87AO27VWHSFZAD4ZR" localSheetId="19" hidden="1">#REF!</definedName>
    <definedName name="BEx91AQQRTV87AO27VWHSFZAD4ZR" hidden="1">#REF!</definedName>
    <definedName name="BEx91FU57YXJK7RHMFDKKYY2JFS7" localSheetId="19" hidden="1">#REF!</definedName>
    <definedName name="BEx91FU57YXJK7RHMFDKKYY2JFS7" hidden="1">#REF!</definedName>
    <definedName name="BEx91KXLTRYJVT47UU2JUUFNKFUT" localSheetId="19" hidden="1">#REF!</definedName>
    <definedName name="BEx91KXLTRYJVT47UU2JUUFNKFUT" hidden="1">#REF!</definedName>
    <definedName name="BEx91L8FLL5CWLA2CDHKCOMGVDZN" localSheetId="19" hidden="1">#REF!</definedName>
    <definedName name="BEx91L8FLL5CWLA2CDHKCOMGVDZN" hidden="1">#REF!</definedName>
    <definedName name="BEx91OTVH9ZDBC3QTORU8RZX4EOC" localSheetId="19" hidden="1">#REF!</definedName>
    <definedName name="BEx91OTVH9ZDBC3QTORU8RZX4EOC" hidden="1">#REF!</definedName>
    <definedName name="BEx91QH5JRZKQP1GPN2SQMR3CKAG" localSheetId="19" hidden="1">#REF!</definedName>
    <definedName name="BEx91QH5JRZKQP1GPN2SQMR3CKAG" hidden="1">#REF!</definedName>
    <definedName name="BEx91ROALDNHO7FI4X8L61RH4UJE" localSheetId="19" hidden="1">#REF!</definedName>
    <definedName name="BEx91ROALDNHO7FI4X8L61RH4UJE" hidden="1">#REF!</definedName>
    <definedName name="BEx91TMID71GVYH0U16QM1RV3PX0" localSheetId="19" hidden="1">#REF!</definedName>
    <definedName name="BEx91TMID71GVYH0U16QM1RV3PX0" hidden="1">#REF!</definedName>
    <definedName name="BEx91VF2D78PAF337E3L2L81K9W2" localSheetId="19" hidden="1">#REF!</definedName>
    <definedName name="BEx91VF2D78PAF337E3L2L81K9W2" hidden="1">#REF!</definedName>
    <definedName name="BEx920O0C4FBKNO2WASY82KSAGWC" localSheetId="19" hidden="1">#REF!</definedName>
    <definedName name="BEx920O0C4FBKNO2WASY82KSAGWC" hidden="1">#REF!</definedName>
    <definedName name="BEx921PNZ46VORG2VRMWREWIC0SE" localSheetId="19" hidden="1">#REF!</definedName>
    <definedName name="BEx921PNZ46VORG2VRMWREWIC0SE" hidden="1">#REF!</definedName>
    <definedName name="BEx929YGVS1SWUVBOM0JDPJFRIAE" localSheetId="19" hidden="1">#REF!</definedName>
    <definedName name="BEx929YGVS1SWUVBOM0JDPJFRIAE" hidden="1">#REF!</definedName>
    <definedName name="BEx92DPEKL5WM5A3CN8674JI0PR3" localSheetId="19" hidden="1">#REF!</definedName>
    <definedName name="BEx92DPEKL5WM5A3CN8674JI0PR3" hidden="1">#REF!</definedName>
    <definedName name="BEx92ER2RMY93TZK0D9L9T3H0GI5" localSheetId="19" hidden="1">#REF!</definedName>
    <definedName name="BEx92ER2RMY93TZK0D9L9T3H0GI5" hidden="1">#REF!</definedName>
    <definedName name="BEx92FI04PJT4LI23KKIHRXWJDTT" localSheetId="19" hidden="1">#REF!</definedName>
    <definedName name="BEx92FI04PJT4LI23KKIHRXWJDTT" hidden="1">#REF!</definedName>
    <definedName name="BEx92HR14HQ9D5JXCSPA4SS4RT62" localSheetId="19" hidden="1">#REF!</definedName>
    <definedName name="BEx92HR14HQ9D5JXCSPA4SS4RT62" hidden="1">#REF!</definedName>
    <definedName name="BEx92HWA2D6A5EX9MFG68G0NOMSN" localSheetId="19" hidden="1">#REF!</definedName>
    <definedName name="BEx92HWA2D6A5EX9MFG68G0NOMSN" hidden="1">#REF!</definedName>
    <definedName name="BEx92PUBDIXAU1FW5ZAXECMAU0LN" localSheetId="19" hidden="1">#REF!</definedName>
    <definedName name="BEx92PUBDIXAU1FW5ZAXECMAU0LN" hidden="1">#REF!</definedName>
    <definedName name="BEx92S8MHFFIVRQ2YSHZNQGOFUHD" localSheetId="19" hidden="1">#REF!</definedName>
    <definedName name="BEx92S8MHFFIVRQ2YSHZNQGOFUHD" hidden="1">#REF!</definedName>
    <definedName name="BEx9318BWFQZC3NQS37Q6XU3D425" localSheetId="19" hidden="1">#REF!</definedName>
    <definedName name="BEx9318BWFQZC3NQS37Q6XU3D425" hidden="1">#REF!</definedName>
    <definedName name="BEx93B9OULL2YGC896XXYAAJSTRK" localSheetId="19" hidden="1">#REF!</definedName>
    <definedName name="BEx93B9OULL2YGC896XXYAAJSTRK" hidden="1">#REF!</definedName>
    <definedName name="BEx93FRKF99NRT3LH99UTIH7AAYF" localSheetId="19" hidden="1">#REF!</definedName>
    <definedName name="BEx93FRKF99NRT3LH99UTIH7AAYF" hidden="1">#REF!</definedName>
    <definedName name="BEx93M7FSHP50OG34A4W8W8DF12U" localSheetId="19" hidden="1">#REF!</definedName>
    <definedName name="BEx93M7FSHP50OG34A4W8W8DF12U" hidden="1">#REF!</definedName>
    <definedName name="BEx93OLWY2O3PRA74U41VG5RXT4Q" localSheetId="19" hidden="1">#REF!</definedName>
    <definedName name="BEx93OLWY2O3PRA74U41VG5RXT4Q" hidden="1">#REF!</definedName>
    <definedName name="BEx93RWFAF6YJGYUTITVM445C02U" localSheetId="19" hidden="1">#REF!</definedName>
    <definedName name="BEx93RWFAF6YJGYUTITVM445C02U" hidden="1">#REF!</definedName>
    <definedName name="BEx93SY9RWG3HUV4YXQKXJH9FH14" localSheetId="19" hidden="1">#REF!</definedName>
    <definedName name="BEx93SY9RWG3HUV4YXQKXJH9FH14" hidden="1">#REF!</definedName>
    <definedName name="BEx93TJUX3U0FJDBG6DDSNQ91R5J" localSheetId="19" hidden="1">#REF!</definedName>
    <definedName name="BEx93TJUX3U0FJDBG6DDSNQ91R5J" hidden="1">#REF!</definedName>
    <definedName name="BEx941SIC58506DFIGKOLIHQ7KCX" localSheetId="19" hidden="1">#REF!</definedName>
    <definedName name="BEx941SIC58506DFIGKOLIHQ7KCX" hidden="1">#REF!</definedName>
    <definedName name="BEx942UCRHMI4B0US31HO95GSC2X" localSheetId="19" hidden="1">#REF!</definedName>
    <definedName name="BEx942UCRHMI4B0US31HO95GSC2X" hidden="1">#REF!</definedName>
    <definedName name="BEx944SDUSMOBHNE6J8XN1EOL90T" localSheetId="19" hidden="1">#REF!</definedName>
    <definedName name="BEx944SDUSMOBHNE6J8XN1EOL90T" hidden="1">#REF!</definedName>
    <definedName name="BEx948ZFFQWVIDNG4AZAUGGGEB5U" localSheetId="19" hidden="1">#REF!</definedName>
    <definedName name="BEx948ZFFQWVIDNG4AZAUGGGEB5U" hidden="1">#REF!</definedName>
    <definedName name="BEx94CKXG92OMURH41SNU6IOHK4J" localSheetId="19" hidden="1">#REF!</definedName>
    <definedName name="BEx94CKXG92OMURH41SNU6IOHK4J" hidden="1">#REF!</definedName>
    <definedName name="BEx94GXG30CIVB6ZQN3X3IK6BZXQ" localSheetId="19" hidden="1">#REF!</definedName>
    <definedName name="BEx94GXG30CIVB6ZQN3X3IK6BZXQ" hidden="1">#REF!</definedName>
    <definedName name="BEx94HZ5LURYM9ST744ALV6ZCKYP" localSheetId="19" hidden="1">#REF!</definedName>
    <definedName name="BEx94HZ5LURYM9ST744ALV6ZCKYP" hidden="1">#REF!</definedName>
    <definedName name="BEx94IQ75E90YUMWJ9N591LR7DQQ" localSheetId="19" hidden="1">#REF!</definedName>
    <definedName name="BEx94IQ75E90YUMWJ9N591LR7DQQ" hidden="1">#REF!</definedName>
    <definedName name="BEx94L9TBK45AUQSX1IUZ86U1GPQ" localSheetId="19" hidden="1">#REF!</definedName>
    <definedName name="BEx94L9TBK45AUQSX1IUZ86U1GPQ" hidden="1">#REF!</definedName>
    <definedName name="BEx94N7W5T3U7UOE97D6OVIBUCXS" localSheetId="19" hidden="1">#REF!</definedName>
    <definedName name="BEx94N7W5T3U7UOE97D6OVIBUCXS" hidden="1">#REF!</definedName>
    <definedName name="BEx953PB6S6ECMD8N0JSW0CBG0DA" localSheetId="19" hidden="1">#REF!</definedName>
    <definedName name="BEx953PB6S6ECMD8N0JSW0CBG0DA" hidden="1">#REF!</definedName>
    <definedName name="BEx955NIAWX5OLAHMTV6QFUZPR30" localSheetId="19" hidden="1">#REF!</definedName>
    <definedName name="BEx955NIAWX5OLAHMTV6QFUZPR30" hidden="1">#REF!</definedName>
    <definedName name="BEx9581TYVI2M5TT4ISDAJV4W7Z6" localSheetId="19" hidden="1">#REF!</definedName>
    <definedName name="BEx9581TYVI2M5TT4ISDAJV4W7Z6" hidden="1">#REF!</definedName>
    <definedName name="BEx95NHF4RVUE0YDOAFZEIVBYJXD" localSheetId="19" hidden="1">#REF!</definedName>
    <definedName name="BEx95NHF4RVUE0YDOAFZEIVBYJXD" hidden="1">#REF!</definedName>
    <definedName name="BEx95QBZMG0E2KQ9BERJ861QLYN3" localSheetId="19" hidden="1">#REF!</definedName>
    <definedName name="BEx95QBZMG0E2KQ9BERJ861QLYN3" hidden="1">#REF!</definedName>
    <definedName name="BEx95QHBVDN795UNQJLRXG3RDU49" localSheetId="19" hidden="1">#REF!</definedName>
    <definedName name="BEx95QHBVDN795UNQJLRXG3RDU49" hidden="1">#REF!</definedName>
    <definedName name="BEx95TBVUWV7L7OMFMZDQEXGVHU6" localSheetId="19" hidden="1">#REF!</definedName>
    <definedName name="BEx95TBVUWV7L7OMFMZDQEXGVHU6" hidden="1">#REF!</definedName>
    <definedName name="BEx95TXH048JPPZ7VXKTCAEE6GQS" localSheetId="19" hidden="1">#REF!</definedName>
    <definedName name="BEx95TXH048JPPZ7VXKTCAEE6GQS" hidden="1">#REF!</definedName>
    <definedName name="BEx95U89DZZSVO39TGS62CX8G9N4" localSheetId="19" hidden="1">#REF!</definedName>
    <definedName name="BEx95U89DZZSVO39TGS62CX8G9N4" hidden="1">#REF!</definedName>
    <definedName name="BEx9602K2GHNBUEUVT9ONRQU1GMD" localSheetId="19" hidden="1">#REF!</definedName>
    <definedName name="BEx9602K2GHNBUEUVT9ONRQU1GMD" hidden="1">#REF!</definedName>
    <definedName name="BEx962BL3Y4LA53EBYI64ZYMZE8U" localSheetId="19" hidden="1">#REF!</definedName>
    <definedName name="BEx962BL3Y4LA53EBYI64ZYMZE8U" hidden="1">#REF!</definedName>
    <definedName name="BEx96KR21O7H9R29TN0S45Y3QPUK" localSheetId="19" hidden="1">#REF!</definedName>
    <definedName name="BEx96KR21O7H9R29TN0S45Y3QPUK" hidden="1">#REF!</definedName>
    <definedName name="BEx96KWJ7BHXX4IIM048C3O7S59S" localSheetId="19" hidden="1">'[38]10.08.5 - 2008 Capital - TDBU'!#REF!</definedName>
    <definedName name="BEx96KWJ7BHXX4IIM048C3O7S59S" hidden="1">'[38]10.08.5 - 2008 Capital - TDBU'!#REF!</definedName>
    <definedName name="BEx96SUFKHHFE8XQ6UUO6ILDOXHO" localSheetId="14" hidden="1">#REF!</definedName>
    <definedName name="BEx96SUFKHHFE8XQ6UUO6ILDOXHO" localSheetId="15" hidden="1">#REF!</definedName>
    <definedName name="BEx96SUFKHHFE8XQ6UUO6ILDOXHO" localSheetId="16" hidden="1">#REF!</definedName>
    <definedName name="BEx96SUFKHHFE8XQ6UUO6ILDOXHO" localSheetId="19" hidden="1">#REF!</definedName>
    <definedName name="BEx96SUFKHHFE8XQ6UUO6ILDOXHO" hidden="1">#REF!</definedName>
    <definedName name="BEx96UN4YWXBDEZ1U1ZUIPP41Z7I" localSheetId="16" hidden="1">#REF!</definedName>
    <definedName name="BEx96UN4YWXBDEZ1U1ZUIPP41Z7I" localSheetId="19" hidden="1">#REF!</definedName>
    <definedName name="BEx96UN4YWXBDEZ1U1ZUIPP41Z7I" hidden="1">#REF!</definedName>
    <definedName name="BEx970MYCPJ6DQ44TKLOIGZO5LHH" localSheetId="16" hidden="1">#REF!</definedName>
    <definedName name="BEx970MYCPJ6DQ44TKLOIGZO5LHH" localSheetId="19" hidden="1">#REF!</definedName>
    <definedName name="BEx970MYCPJ6DQ44TKLOIGZO5LHH" hidden="1">#REF!</definedName>
    <definedName name="BEx978KSD61YJH3S9DGO050R2EHA" localSheetId="19" hidden="1">#REF!</definedName>
    <definedName name="BEx978KSD61YJH3S9DGO050R2EHA" hidden="1">#REF!</definedName>
    <definedName name="BEx97CBOZZVIAFCLYWXO84QIM5RH" localSheetId="19" hidden="1">#REF!</definedName>
    <definedName name="BEx97CBOZZVIAFCLYWXO84QIM5RH" hidden="1">#REF!</definedName>
    <definedName name="BEx97H9O1NAKAPK4MX4PKO34ICL5" localSheetId="19" hidden="1">#REF!</definedName>
    <definedName name="BEx97H9O1NAKAPK4MX4PKO34ICL5" hidden="1">#REF!</definedName>
    <definedName name="BEx97HVA5F2I0D6ID81KCUDEQOIH" localSheetId="19" hidden="1">#REF!</definedName>
    <definedName name="BEx97HVA5F2I0D6ID81KCUDEQOIH" hidden="1">#REF!</definedName>
    <definedName name="BEx97MNUZQ1Z0AO2FL7XQYVNCPR7" localSheetId="19" hidden="1">#REF!</definedName>
    <definedName name="BEx97MNUZQ1Z0AO2FL7XQYVNCPR7" hidden="1">#REF!</definedName>
    <definedName name="BEx97NPQBACJVD9K1YXI08RTW9E2" localSheetId="19" hidden="1">#REF!</definedName>
    <definedName name="BEx97NPQBACJVD9K1YXI08RTW9E2" hidden="1">#REF!</definedName>
    <definedName name="BEx97RWQLXS0OORDCN69IGA58CWU" localSheetId="19" hidden="1">#REF!</definedName>
    <definedName name="BEx97RWQLXS0OORDCN69IGA58CWU" hidden="1">#REF!</definedName>
    <definedName name="BEx97YNGGDFIXHTMGFL2IHAQX9MI" localSheetId="19" hidden="1">#REF!</definedName>
    <definedName name="BEx97YNGGDFIXHTMGFL2IHAQX9MI" hidden="1">#REF!</definedName>
    <definedName name="BEx980QZQVMVK22H7FW8VJ1Y8HJR" localSheetId="19" hidden="1">#REF!</definedName>
    <definedName name="BEx980QZQVMVK22H7FW8VJ1Y8HJR" hidden="1">#REF!</definedName>
    <definedName name="BEx981HW73BUZWT14TBTZHC0ZTJ4" localSheetId="19" hidden="1">#REF!</definedName>
    <definedName name="BEx981HW73BUZWT14TBTZHC0ZTJ4" hidden="1">#REF!</definedName>
    <definedName name="BEx9853EGK21LS9VVKSCCC6V43AN" localSheetId="19" hidden="1">#REF!</definedName>
    <definedName name="BEx9853EGK21LS9VVKSCCC6V43AN" hidden="1">#REF!</definedName>
    <definedName name="BEx985JLSPMNH380TKBDXAEFC980" localSheetId="19" hidden="1">#REF!</definedName>
    <definedName name="BEx985JLSPMNH380TKBDXAEFC980" hidden="1">#REF!</definedName>
    <definedName name="BEx9871KU0N99P0900EAK69VFYT2" localSheetId="19" hidden="1">#REF!</definedName>
    <definedName name="BEx9871KU0N99P0900EAK69VFYT2" hidden="1">#REF!</definedName>
    <definedName name="BEx98A6S6VO1UKBYLX05KBIT7SC0" localSheetId="19" hidden="1">#REF!</definedName>
    <definedName name="BEx98A6S6VO1UKBYLX05KBIT7SC0" hidden="1">#REF!</definedName>
    <definedName name="BEx98IFKNJFGZFLID1YTRFEG1SXY" localSheetId="19" hidden="1">#REF!</definedName>
    <definedName name="BEx98IFKNJFGZFLID1YTRFEG1SXY" hidden="1">#REF!</definedName>
    <definedName name="BEx98N2R8QZSZ6MEH3L7U7U7D9GD" localSheetId="19" hidden="1">#REF!</definedName>
    <definedName name="BEx98N2R8QZSZ6MEH3L7U7U7D9GD" hidden="1">#REF!</definedName>
    <definedName name="BEx9915UVD4G7RA3IMLFZ0LG3UA2" localSheetId="19" hidden="1">#REF!</definedName>
    <definedName name="BEx9915UVD4G7RA3IMLFZ0LG3UA2" hidden="1">#REF!</definedName>
    <definedName name="BEx992CZON8AO7U7V88VN1JBO0MG" localSheetId="19" hidden="1">#REF!</definedName>
    <definedName name="BEx992CZON8AO7U7V88VN1JBO0MG" hidden="1">#REF!</definedName>
    <definedName name="BEx9952469XMFGSPXL7CMXHPJF90" localSheetId="19" hidden="1">#REF!</definedName>
    <definedName name="BEx9952469XMFGSPXL7CMXHPJF90" hidden="1">#REF!</definedName>
    <definedName name="BEx996PK8YMHSV0CFJOHOX1OCXHG" localSheetId="19" hidden="1">#REF!</definedName>
    <definedName name="BEx996PK8YMHSV0CFJOHOX1OCXHG" hidden="1">#REF!</definedName>
    <definedName name="BEx99B77I7TUSHRR4HIZ9FU2EIUT" localSheetId="19" hidden="1">#REF!</definedName>
    <definedName name="BEx99B77I7TUSHRR4HIZ9FU2EIUT" hidden="1">#REF!</definedName>
    <definedName name="BEx99Q6PH5F3OQKCCAAO75PYDEFN" localSheetId="19" hidden="1">#REF!</definedName>
    <definedName name="BEx99Q6PH5F3OQKCCAAO75PYDEFN" hidden="1">#REF!</definedName>
    <definedName name="BEx99WBYT2D6UUC1PT7A40ENYID4" localSheetId="19" hidden="1">#REF!</definedName>
    <definedName name="BEx99WBYT2D6UUC1PT7A40ENYID4" hidden="1">#REF!</definedName>
    <definedName name="BEx99XOGHOM28CNCYKQWYGL56W2S" localSheetId="19" hidden="1">#REF!</definedName>
    <definedName name="BEx99XOGHOM28CNCYKQWYGL56W2S" hidden="1">#REF!</definedName>
    <definedName name="BEx99ZRZ4I7FHDPGRAT5VW7NVBPU" localSheetId="19" hidden="1">#REF!</definedName>
    <definedName name="BEx99ZRZ4I7FHDPGRAT5VW7NVBPU" hidden="1">#REF!</definedName>
    <definedName name="BEx9AT5E3ZSHKSOL35O38L8HF9TH" localSheetId="19" hidden="1">#REF!</definedName>
    <definedName name="BEx9AT5E3ZSHKSOL35O38L8HF9TH" hidden="1">#REF!</definedName>
    <definedName name="BEx9AV8W1FAWF5BHATYEN47X12JN" localSheetId="19" hidden="1">#REF!</definedName>
    <definedName name="BEx9AV8W1FAWF5BHATYEN47X12JN" hidden="1">#REF!</definedName>
    <definedName name="BEx9B8A5186FNTQQNLIO5LK02ABI" localSheetId="19" hidden="1">#REF!</definedName>
    <definedName name="BEx9B8A5186FNTQQNLIO5LK02ABI" hidden="1">#REF!</definedName>
    <definedName name="BEx9B8VR20E2CILU4CDQUQQ9ONXK" localSheetId="19" hidden="1">#REF!</definedName>
    <definedName name="BEx9B8VR20E2CILU4CDQUQQ9ONXK" hidden="1">#REF!</definedName>
    <definedName name="BEx9B917BFT5XKMEOKSZYR2JDGKF" localSheetId="19" hidden="1">#REF!</definedName>
    <definedName name="BEx9B917BFT5XKMEOKSZYR2JDGKF" hidden="1">#REF!</definedName>
    <definedName name="BEx9B917EUP13X6FQ3NPQL76XM5V" localSheetId="19" hidden="1">#REF!</definedName>
    <definedName name="BEx9B917EUP13X6FQ3NPQL76XM5V" hidden="1">#REF!</definedName>
    <definedName name="BEx9BAJ5WYEQ623HUT9NNCMP3RUG" localSheetId="19" hidden="1">#REF!</definedName>
    <definedName name="BEx9BAJ5WYEQ623HUT9NNCMP3RUG" hidden="1">#REF!</definedName>
    <definedName name="BEx9BURCKUDZU2MLNSZIIBVDAXBV" localSheetId="19" hidden="1">#REF!</definedName>
    <definedName name="BEx9BURCKUDZU2MLNSZIIBVDAXBV" hidden="1">#REF!</definedName>
    <definedName name="BEx9BYNN9WBL0OZNO7QKTM7XA0XO" localSheetId="19" hidden="1">#REF!</definedName>
    <definedName name="BEx9BYNN9WBL0OZNO7QKTM7XA0XO" hidden="1">#REF!</definedName>
    <definedName name="BEx9BYSYW7QCPXS2NAVLFAU5Y2Z2" localSheetId="19" hidden="1">#REF!</definedName>
    <definedName name="BEx9BYSYW7QCPXS2NAVLFAU5Y2Z2" hidden="1">#REF!</definedName>
    <definedName name="BEx9C590HJ2O31IWJB73C1HR74AI" localSheetId="19" hidden="1">#REF!</definedName>
    <definedName name="BEx9C590HJ2O31IWJB73C1HR74AI" hidden="1">#REF!</definedName>
    <definedName name="BEx9CCQRMYYOGIOYTOM73VKDIPS1" localSheetId="19" hidden="1">#REF!</definedName>
    <definedName name="BEx9CCQRMYYOGIOYTOM73VKDIPS1" hidden="1">#REF!</definedName>
    <definedName name="BEx9COA2U27AO1YZGMLP7B8DR22D" localSheetId="19" hidden="1">#REF!</definedName>
    <definedName name="BEx9COA2U27AO1YZGMLP7B8DR22D" hidden="1">#REF!</definedName>
    <definedName name="BEx9D1BC9FT19KY0INAABNDBAMR1" localSheetId="19" hidden="1">#REF!</definedName>
    <definedName name="BEx9D1BC9FT19KY0INAABNDBAMR1" hidden="1">#REF!</definedName>
    <definedName name="BEx9DN6ZMF18Q39MPMXSDJTZQNJ3" localSheetId="19" hidden="1">#REF!</definedName>
    <definedName name="BEx9DN6ZMF18Q39MPMXSDJTZQNJ3" hidden="1">#REF!</definedName>
    <definedName name="BEx9DUU8DALPSCW66GTMQRPXZ6GL" localSheetId="19" hidden="1">#REF!</definedName>
    <definedName name="BEx9DUU8DALPSCW66GTMQRPXZ6GL" hidden="1">#REF!</definedName>
    <definedName name="BEx9E14TDNSEMI784W0OTIEQMWN6" localSheetId="19" hidden="1">#REF!</definedName>
    <definedName name="BEx9E14TDNSEMI784W0OTIEQMWN6" hidden="1">#REF!</definedName>
    <definedName name="BEx9E2BZ2B1R41FMGJCJ7JLGLUAJ" localSheetId="19" hidden="1">#REF!</definedName>
    <definedName name="BEx9E2BZ2B1R41FMGJCJ7JLGLUAJ" hidden="1">#REF!</definedName>
    <definedName name="BEx9E6DJDRR3E21QMZAPDC3O470U" localSheetId="19" hidden="1">#REF!</definedName>
    <definedName name="BEx9E6DJDRR3E21QMZAPDC3O470U" hidden="1">#REF!</definedName>
    <definedName name="BEx9EG9KBJ77M8LEOR9ITOKN5KXY" localSheetId="19" hidden="1">#REF!</definedName>
    <definedName name="BEx9EG9KBJ77M8LEOR9ITOKN5KXY" hidden="1">#REF!</definedName>
    <definedName name="BEx9EMK6HAJJMVYZTN5AUIV7O1E6" localSheetId="19" hidden="1">#REF!</definedName>
    <definedName name="BEx9EMK6HAJJMVYZTN5AUIV7O1E6" hidden="1">#REF!</definedName>
    <definedName name="BEx9EQLVZHYQ1TPX7WH3SOWXCZLE" localSheetId="19" hidden="1">#REF!</definedName>
    <definedName name="BEx9EQLVZHYQ1TPX7WH3SOWXCZLE" hidden="1">#REF!</definedName>
    <definedName name="BEx9ETLU0EK5LGEM1QCNYN2S8O5F" localSheetId="19" hidden="1">#REF!</definedName>
    <definedName name="BEx9ETLU0EK5LGEM1QCNYN2S8O5F" hidden="1">#REF!</definedName>
    <definedName name="BEx9F0Y2ESUNE3U7TQDLMPE9BO67" localSheetId="19" hidden="1">#REF!</definedName>
    <definedName name="BEx9F0Y2ESUNE3U7TQDLMPE9BO67" hidden="1">#REF!</definedName>
    <definedName name="BEx9F5W18ZGFOKGRE8PR6T1MO6GT" localSheetId="19" hidden="1">#REF!</definedName>
    <definedName name="BEx9F5W18ZGFOKGRE8PR6T1MO6GT" hidden="1">#REF!</definedName>
    <definedName name="BEx9F78N4HY0XFGBQ4UJRD52L1EI" localSheetId="19" hidden="1">#REF!</definedName>
    <definedName name="BEx9F78N4HY0XFGBQ4UJRD52L1EI" hidden="1">#REF!</definedName>
    <definedName name="BEx9FF16LOQP5QIR4UHW5EIFGQB8" localSheetId="19" hidden="1">#REF!</definedName>
    <definedName name="BEx9FF16LOQP5QIR4UHW5EIFGQB8" hidden="1">#REF!</definedName>
    <definedName name="BEx9FJTSRCZ3ZXT3QVBJT5NF8T7V" localSheetId="19" hidden="1">#REF!</definedName>
    <definedName name="BEx9FJTSRCZ3ZXT3QVBJT5NF8T7V" hidden="1">#REF!</definedName>
    <definedName name="BEx9FRBEEYPS5HLS3XT34AKZN94G" localSheetId="19" hidden="1">#REF!</definedName>
    <definedName name="BEx9FRBEEYPS5HLS3XT34AKZN94G" hidden="1">#REF!</definedName>
    <definedName name="BEx9GD1Q3X2QNEWIFN2YPBFX6LMO" localSheetId="19" hidden="1">#REF!</definedName>
    <definedName name="BEx9GD1Q3X2QNEWIFN2YPBFX6LMO" hidden="1">#REF!</definedName>
    <definedName name="BEx9GDY4D8ZPQJCYFIMYM0V0C51Y" localSheetId="19" hidden="1">#REF!</definedName>
    <definedName name="BEx9GDY4D8ZPQJCYFIMYM0V0C51Y" hidden="1">#REF!</definedName>
    <definedName name="BEx9GGY04V0ZWI6O9KZH4KSBB389" localSheetId="19" hidden="1">#REF!</definedName>
    <definedName name="BEx9GGY04V0ZWI6O9KZH4KSBB389" hidden="1">#REF!</definedName>
    <definedName name="BEx9GNOPB6OZ2RH3FCDNJR38RJOS" localSheetId="19" hidden="1">#REF!</definedName>
    <definedName name="BEx9GNOPB6OZ2RH3FCDNJR38RJOS" hidden="1">#REF!</definedName>
    <definedName name="BEx9GUQALUWCD30UKUQGSWW8KBQ7" localSheetId="19" hidden="1">#REF!</definedName>
    <definedName name="BEx9GUQALUWCD30UKUQGSWW8KBQ7" hidden="1">#REF!</definedName>
    <definedName name="BEx9GY6BVFQGCLMOWVT6PIC9WP5X" localSheetId="19" hidden="1">#REF!</definedName>
    <definedName name="BEx9GY6BVFQGCLMOWVT6PIC9WP5X" hidden="1">#REF!</definedName>
    <definedName name="BEx9GZ2P3FDHKXEBXX2VS0BG2NP2" localSheetId="19" hidden="1">#REF!</definedName>
    <definedName name="BEx9GZ2P3FDHKXEBXX2VS0BG2NP2" hidden="1">#REF!</definedName>
    <definedName name="BEx9H04IB14E1437FF2OIRRWBSD7" localSheetId="19" hidden="1">#REF!</definedName>
    <definedName name="BEx9H04IB14E1437FF2OIRRWBSD7" hidden="1">#REF!</definedName>
    <definedName name="BEx9H5O1KDZJCW91Q29VRPY5YS6P" localSheetId="19" hidden="1">#REF!</definedName>
    <definedName name="BEx9H5O1KDZJCW91Q29VRPY5YS6P" hidden="1">#REF!</definedName>
    <definedName name="BEx9H645M2VLV3GR46GAUCXDZQ4K" localSheetId="19" hidden="1">#REF!</definedName>
    <definedName name="BEx9H645M2VLV3GR46GAUCXDZQ4K" hidden="1">#REF!</definedName>
    <definedName name="BEx9H8YR0E906F1JXZMBX3LNT004" localSheetId="19" hidden="1">#REF!</definedName>
    <definedName name="BEx9H8YR0E906F1JXZMBX3LNT004" hidden="1">#REF!</definedName>
    <definedName name="BEx9HVQR4IC0WPZ653S8B4V0A13M" localSheetId="19" hidden="1">'[38]10.08.5 - 2008 Capital - TDBU'!#REF!</definedName>
    <definedName name="BEx9HVQR4IC0WPZ653S8B4V0A13M" hidden="1">'[38]10.08.5 - 2008 Capital - TDBU'!#REF!</definedName>
    <definedName name="BEx9I38IOO8BH8XCE1W3NL31U1L9" localSheetId="14" hidden="1">#REF!</definedName>
    <definedName name="BEx9I38IOO8BH8XCE1W3NL31U1L9" localSheetId="15" hidden="1">#REF!</definedName>
    <definedName name="BEx9I38IOO8BH8XCE1W3NL31U1L9" localSheetId="16" hidden="1">#REF!</definedName>
    <definedName name="BEx9I38IOO8BH8XCE1W3NL31U1L9" localSheetId="19" hidden="1">#REF!</definedName>
    <definedName name="BEx9I38IOO8BH8XCE1W3NL31U1L9" hidden="1">#REF!</definedName>
    <definedName name="BEx9I8XIG7E5NB48QQHXP23FIN60" localSheetId="16" hidden="1">#REF!</definedName>
    <definedName name="BEx9I8XIG7E5NB48QQHXP23FIN60" localSheetId="19" hidden="1">#REF!</definedName>
    <definedName name="BEx9I8XIG7E5NB48QQHXP23FIN60" hidden="1">#REF!</definedName>
    <definedName name="BEx9IHX7C0FG3M2R14H0SWIUGAOA" localSheetId="16" hidden="1">#REF!</definedName>
    <definedName name="BEx9IHX7C0FG3M2R14H0SWIUGAOA" localSheetId="19" hidden="1">#REF!</definedName>
    <definedName name="BEx9IHX7C0FG3M2R14H0SWIUGAOA" hidden="1">#REF!</definedName>
    <definedName name="BEx9IQRF01ATLVK0YE60ARKQJ68L" localSheetId="19" hidden="1">#REF!</definedName>
    <definedName name="BEx9IQRF01ATLVK0YE60ARKQJ68L" hidden="1">#REF!</definedName>
    <definedName name="BEx9IT5QNZWKM6YQ5WER0DC2PMMU" localSheetId="19" hidden="1">#REF!</definedName>
    <definedName name="BEx9IT5QNZWKM6YQ5WER0DC2PMMU" hidden="1">#REF!</definedName>
    <definedName name="BEx9ITRA6B7P81T57OO22V5XLX9P" localSheetId="19" hidden="1">#REF!</definedName>
    <definedName name="BEx9ITRA6B7P81T57OO22V5XLX9P" hidden="1">#REF!</definedName>
    <definedName name="BEx9IW5MFLXTVCJHVUZTUH93AXOS" localSheetId="19" hidden="1">#REF!</definedName>
    <definedName name="BEx9IW5MFLXTVCJHVUZTUH93AXOS" hidden="1">#REF!</definedName>
    <definedName name="BEx9IXCSPSZC80YZUPRCYTG326KV" localSheetId="19" hidden="1">#REF!</definedName>
    <definedName name="BEx9IXCSPSZC80YZUPRCYTG326KV" hidden="1">#REF!</definedName>
    <definedName name="BEx9IZR39NHDGOM97H4E6F81RTQW" localSheetId="19" hidden="1">#REF!</definedName>
    <definedName name="BEx9IZR39NHDGOM97H4E6F81RTQW" hidden="1">#REF!</definedName>
    <definedName name="BEx9J07CU8X78XP5E4QC8XZ6YRCG" localSheetId="19" hidden="1">#REF!</definedName>
    <definedName name="BEx9J07CU8X78XP5E4QC8XZ6YRCG" hidden="1">#REF!</definedName>
    <definedName name="BEx9J6CH5E7YZPER7HXEIOIKGPCA" localSheetId="19" hidden="1">#REF!</definedName>
    <definedName name="BEx9J6CH5E7YZPER7HXEIOIKGPCA" hidden="1">#REF!</definedName>
    <definedName name="BEx9JJTZKVUJAVPTRE0RAVTEH41G" localSheetId="19" hidden="1">#REF!</definedName>
    <definedName name="BEx9JJTZKVUJAVPTRE0RAVTEH41G" hidden="1">#REF!</definedName>
    <definedName name="BEx9JLBYK239B3F841C7YG1GT7ST" localSheetId="19" hidden="1">#REF!</definedName>
    <definedName name="BEx9JLBYK239B3F841C7YG1GT7ST" hidden="1">#REF!</definedName>
    <definedName name="BEx9JQQ6BSIHSV0FS8QDIRPHMMLE" localSheetId="19" hidden="1">#REF!</definedName>
    <definedName name="BEx9JQQ6BSIHSV0FS8QDIRPHMMLE" hidden="1">#REF!</definedName>
    <definedName name="BEx9KP7077LQ4Q2NWSIETHZ0VA05" localSheetId="19" hidden="1">#REF!</definedName>
    <definedName name="BEx9KP7077LQ4Q2NWSIETHZ0VA05" hidden="1">#REF!</definedName>
    <definedName name="BExAW4IIW5D0MDY6TJ3G4FOLPYIR" localSheetId="19" hidden="1">#REF!</definedName>
    <definedName name="BExAW4IIW5D0MDY6TJ3G4FOLPYIR" hidden="1">#REF!</definedName>
    <definedName name="BExAW4TAPBZ18ES67GKFVYMS67N7" localSheetId="19" hidden="1">#REF!</definedName>
    <definedName name="BExAW4TAPBZ18ES67GKFVYMS67N7" hidden="1">#REF!</definedName>
    <definedName name="BExAWOAN9I36Q6B2P1316PE3048X" localSheetId="19" hidden="1">#REF!</definedName>
    <definedName name="BExAWOAN9I36Q6B2P1316PE3048X" hidden="1">#REF!</definedName>
    <definedName name="BExAWSSHUYAPXJEDC9JT9394SHQ5" localSheetId="19" hidden="1">#REF!</definedName>
    <definedName name="BExAWSSHUYAPXJEDC9JT9394SHQ5" hidden="1">#REF!</definedName>
    <definedName name="BExAX410NB4F2XOB84OR2197H8M5" localSheetId="19" hidden="1">#REF!</definedName>
    <definedName name="BExAX410NB4F2XOB84OR2197H8M5" hidden="1">#REF!</definedName>
    <definedName name="BExAX70W4OH6R7K3QT3YA9PA2APO" localSheetId="19" hidden="1">#REF!</definedName>
    <definedName name="BExAX70W4OH6R7K3QT3YA9PA2APO" hidden="1">#REF!</definedName>
    <definedName name="BExAX8TNG8LQ5Q4904SAYQIPGBSV" localSheetId="19" hidden="1">#REF!</definedName>
    <definedName name="BExAX8TNG8LQ5Q4904SAYQIPGBSV" hidden="1">#REF!</definedName>
    <definedName name="BExAXLK9UGB0UFRV7X4UPIUEJ3VZ" localSheetId="19" hidden="1">#REF!</definedName>
    <definedName name="BExAXLK9UGB0UFRV7X4UPIUEJ3VZ" hidden="1">#REF!</definedName>
    <definedName name="BExAY0EAT2LXR5MFGM0DLIB45PLO" localSheetId="19" hidden="1">#REF!</definedName>
    <definedName name="BExAY0EAT2LXR5MFGM0DLIB45PLO" hidden="1">#REF!</definedName>
    <definedName name="BExAYE6LNIEBR9DSNI5JGNITGKIT" localSheetId="19" hidden="1">#REF!</definedName>
    <definedName name="BExAYE6LNIEBR9DSNI5JGNITGKIT" hidden="1">#REF!</definedName>
    <definedName name="BExAYHMLXGGO25P8HYB2S75DEB4F" localSheetId="19" hidden="1">#REF!</definedName>
    <definedName name="BExAYHMLXGGO25P8HYB2S75DEB4F" hidden="1">#REF!</definedName>
    <definedName name="BExAYJQ9G4ZXJFPWD4VIWQU6WUFT" localSheetId="19" hidden="1">#REF!</definedName>
    <definedName name="BExAYJQ9G4ZXJFPWD4VIWQU6WUFT" hidden="1">#REF!</definedName>
    <definedName name="BExAYKXAUWGDOPG952TEJ2UKZKWN" localSheetId="19" hidden="1">#REF!</definedName>
    <definedName name="BExAYKXAUWGDOPG952TEJ2UKZKWN" hidden="1">#REF!</definedName>
    <definedName name="BExAYP9TDTI2MBP6EYE0H39CPMXN" localSheetId="19" hidden="1">#REF!</definedName>
    <definedName name="BExAYP9TDTI2MBP6EYE0H39CPMXN" hidden="1">#REF!</definedName>
    <definedName name="BExAYPPWJPWDKU59O051WMGB7O0J" localSheetId="19" hidden="1">#REF!</definedName>
    <definedName name="BExAYPPWJPWDKU59O051WMGB7O0J" hidden="1">#REF!</definedName>
    <definedName name="BExAYR2JZCJBUH6F1LZC2A7JIVRJ" localSheetId="19" hidden="1">#REF!</definedName>
    <definedName name="BExAYR2JZCJBUH6F1LZC2A7JIVRJ" hidden="1">#REF!</definedName>
    <definedName name="BExAYTGVRD3DLKO75RFPMBKCIWB8" localSheetId="19" hidden="1">#REF!</definedName>
    <definedName name="BExAYTGVRD3DLKO75RFPMBKCIWB8" hidden="1">#REF!</definedName>
    <definedName name="BExAYUYTMF7YSRG951CIIWKZM0T5" localSheetId="19" hidden="1">#REF!</definedName>
    <definedName name="BExAYUYTMF7YSRG951CIIWKZM0T5" hidden="1">#REF!</definedName>
    <definedName name="BExAYY9H9COOT46HJLPVDLTO12UL" localSheetId="19" hidden="1">#REF!</definedName>
    <definedName name="BExAYY9H9COOT46HJLPVDLTO12UL" hidden="1">#REF!</definedName>
    <definedName name="BExAZCNEGB4JYHC8CZ51KTN890US" localSheetId="19" hidden="1">#REF!</definedName>
    <definedName name="BExAZCNEGB4JYHC8CZ51KTN890US" hidden="1">#REF!</definedName>
    <definedName name="BExAZFCI302YFYRDJYQDWQQL0Q0O" localSheetId="19" hidden="1">#REF!</definedName>
    <definedName name="BExAZFCI302YFYRDJYQDWQQL0Q0O" hidden="1">#REF!</definedName>
    <definedName name="BExAZLHLST9OP89R1HJMC1POQG8H" localSheetId="19" hidden="1">#REF!</definedName>
    <definedName name="BExAZLHLST9OP89R1HJMC1POQG8H" hidden="1">#REF!</definedName>
    <definedName name="BExAZMDYMIAA7RX1BMCKU1VLBRGY" localSheetId="19" hidden="1">#REF!</definedName>
    <definedName name="BExAZMDYMIAA7RX1BMCKU1VLBRGY" hidden="1">#REF!</definedName>
    <definedName name="BExAZNL6BHI8DCQWXOX4I2P839UX" localSheetId="19" hidden="1">#REF!</definedName>
    <definedName name="BExAZNL6BHI8DCQWXOX4I2P839UX" hidden="1">#REF!</definedName>
    <definedName name="BExAZRMWSONMCG9KDUM4KAQ7BONM" localSheetId="19" hidden="1">#REF!</definedName>
    <definedName name="BExAZRMWSONMCG9KDUM4KAQ7BONM" hidden="1">#REF!</definedName>
    <definedName name="BExAZTFG4SJRG4TW6JXRF7N08JFI" localSheetId="19" hidden="1">#REF!</definedName>
    <definedName name="BExAZTFG4SJRG4TW6JXRF7N08JFI" hidden="1">#REF!</definedName>
    <definedName name="BExAZUS4A8OHDZK0MWAOCCCKTH73" localSheetId="19" hidden="1">#REF!</definedName>
    <definedName name="BExAZUS4A8OHDZK0MWAOCCCKTH73" hidden="1">#REF!</definedName>
    <definedName name="BExAZX6FECVK3E07KXM2XPYKGM6U" localSheetId="19" hidden="1">#REF!</definedName>
    <definedName name="BExAZX6FECVK3E07KXM2XPYKGM6U" hidden="1">#REF!</definedName>
    <definedName name="BExAZXXGBA3DZ26LBRJCSRIMDYY6" localSheetId="19" hidden="1">'[38]10.08.5 - 2008 Capital - TDBU'!#REF!</definedName>
    <definedName name="BExAZXXGBA3DZ26LBRJCSRIMDYY6" hidden="1">'[38]10.08.5 - 2008 Capital - TDBU'!#REF!</definedName>
    <definedName name="BExB012NJ8GASTNNPBRRFTLHIOC9" localSheetId="14" hidden="1">#REF!</definedName>
    <definedName name="BExB012NJ8GASTNNPBRRFTLHIOC9" localSheetId="15" hidden="1">#REF!</definedName>
    <definedName name="BExB012NJ8GASTNNPBRRFTLHIOC9" localSheetId="16" hidden="1">#REF!</definedName>
    <definedName name="BExB012NJ8GASTNNPBRRFTLHIOC9" localSheetId="19" hidden="1">#REF!</definedName>
    <definedName name="BExB012NJ8GASTNNPBRRFTLHIOC9" hidden="1">#REF!</definedName>
    <definedName name="BExB072HHXVMUC0VYNGG48GRSH5Q" localSheetId="16" hidden="1">#REF!</definedName>
    <definedName name="BExB072HHXVMUC0VYNGG48GRSH5Q" localSheetId="19" hidden="1">#REF!</definedName>
    <definedName name="BExB072HHXVMUC0VYNGG48GRSH5Q" hidden="1">#REF!</definedName>
    <definedName name="BExB0FRDEYDEUEAB1W8KD6D965XA" localSheetId="16" hidden="1">#REF!</definedName>
    <definedName name="BExB0FRDEYDEUEAB1W8KD6D965XA" localSheetId="19" hidden="1">#REF!</definedName>
    <definedName name="BExB0FRDEYDEUEAB1W8KD6D965XA" hidden="1">#REF!</definedName>
    <definedName name="BExB0KPCN7YJORQAYUCF4YKIKPMC" localSheetId="19" hidden="1">#REF!</definedName>
    <definedName name="BExB0KPCN7YJORQAYUCF4YKIKPMC" hidden="1">#REF!</definedName>
    <definedName name="BExB0WE4PI3NOBXXVO9CTEN4DIU2" localSheetId="19" hidden="1">#REF!</definedName>
    <definedName name="BExB0WE4PI3NOBXXVO9CTEN4DIU2" hidden="1">#REF!</definedName>
    <definedName name="BExB0ZJIGMTDV9JC5IILPRZ5BXNJ" localSheetId="19" hidden="1">#REF!</definedName>
    <definedName name="BExB0ZJIGMTDV9JC5IILPRZ5BXNJ" hidden="1">#REF!</definedName>
    <definedName name="BExB10QNIVITUYS55OAEKK3VLJFE" localSheetId="19" hidden="1">#REF!</definedName>
    <definedName name="BExB10QNIVITUYS55OAEKK3VLJFE" hidden="1">#REF!</definedName>
    <definedName name="BExB14HG3PSHTJ4S9G0Y803UWLWP" localSheetId="19" hidden="1">#REF!</definedName>
    <definedName name="BExB14HG3PSHTJ4S9G0Y803UWLWP" hidden="1">#REF!</definedName>
    <definedName name="BExB15ZDRY4CIJ911DONP0KCY9KU" localSheetId="19" hidden="1">#REF!</definedName>
    <definedName name="BExB15ZDRY4CIJ911DONP0KCY9KU" hidden="1">#REF!</definedName>
    <definedName name="BExB16VQY0O0RLZYJFU3OFEONVTE" localSheetId="19" hidden="1">#REF!</definedName>
    <definedName name="BExB16VQY0O0RLZYJFU3OFEONVTE" hidden="1">#REF!</definedName>
    <definedName name="BExB1C4HDPDZBISSQ3JREULJJZ7K" localSheetId="19" hidden="1">#REF!</definedName>
    <definedName name="BExB1C4HDPDZBISSQ3JREULJJZ7K" hidden="1">#REF!</definedName>
    <definedName name="BExB1FKNY2UO4W5FUGFHJOA2WFGG" localSheetId="19" hidden="1">#REF!</definedName>
    <definedName name="BExB1FKNY2UO4W5FUGFHJOA2WFGG" hidden="1">#REF!</definedName>
    <definedName name="BExB1GMD0PIDGTFBGQOPRWQSP9I4" localSheetId="19" hidden="1">#REF!</definedName>
    <definedName name="BExB1GMD0PIDGTFBGQOPRWQSP9I4" hidden="1">#REF!</definedName>
    <definedName name="BExB1Q29OO6LNFNT1EQLA3KYE7MX" localSheetId="19" hidden="1">#REF!</definedName>
    <definedName name="BExB1Q29OO6LNFNT1EQLA3KYE7MX" hidden="1">#REF!</definedName>
    <definedName name="BExB1TNRV5EBWZEHYLHI76T0FVA7" localSheetId="19" hidden="1">#REF!</definedName>
    <definedName name="BExB1TNRV5EBWZEHYLHI76T0FVA7" hidden="1">#REF!</definedName>
    <definedName name="BExB1WI6M8I0EEP1ANUQZCFY24EV" localSheetId="19" hidden="1">#REF!</definedName>
    <definedName name="BExB1WI6M8I0EEP1ANUQZCFY24EV" hidden="1">#REF!</definedName>
    <definedName name="BExB203OWC9QZA3BYOKQ18L4FUJE" localSheetId="19" hidden="1">#REF!</definedName>
    <definedName name="BExB203OWC9QZA3BYOKQ18L4FUJE" hidden="1">#REF!</definedName>
    <definedName name="BExB215I6XJMAXZ5JDHT0R7K0CS1" localSheetId="19" hidden="1">#REF!</definedName>
    <definedName name="BExB215I6XJMAXZ5JDHT0R7K0CS1" hidden="1">#REF!</definedName>
    <definedName name="BExB2CJHTU7C591BR4WRL5L2F2K6" localSheetId="19" hidden="1">#REF!</definedName>
    <definedName name="BExB2CJHTU7C591BR4WRL5L2F2K6" hidden="1">#REF!</definedName>
    <definedName name="BExB2K1AV4PGNS1O6C7D7AO411AX" localSheetId="19" hidden="1">#REF!</definedName>
    <definedName name="BExB2K1AV4PGNS1O6C7D7AO411AX" hidden="1">#REF!</definedName>
    <definedName name="BExB2O2UYHKI324YE324E1N7FVIB" localSheetId="19" hidden="1">#REF!</definedName>
    <definedName name="BExB2O2UYHKI324YE324E1N7FVIB" hidden="1">#REF!</definedName>
    <definedName name="BExB2Q0VJ0MU2URO3JOVUAVHEI3V" localSheetId="19" hidden="1">#REF!</definedName>
    <definedName name="BExB2Q0VJ0MU2URO3JOVUAVHEI3V" hidden="1">#REF!</definedName>
    <definedName name="BExB2TBL7K5D70TOLTXT6SAAJQS9" localSheetId="19" hidden="1">#REF!</definedName>
    <definedName name="BExB2TBL7K5D70TOLTXT6SAAJQS9" hidden="1">#REF!</definedName>
    <definedName name="BExB2WRQ815O1VGMGAGDGQHTTUIN" localSheetId="19" hidden="1">#REF!</definedName>
    <definedName name="BExB2WRQ815O1VGMGAGDGQHTTUIN" hidden="1">#REF!</definedName>
    <definedName name="BExB30IP1DNKNQ6PZ5ERUGR5MK4Z" localSheetId="19" hidden="1">#REF!</definedName>
    <definedName name="BExB30IP1DNKNQ6PZ5ERUGR5MK4Z" hidden="1">#REF!</definedName>
    <definedName name="BExB30YTF8EK04RZ190LBP9R44TW" localSheetId="19" hidden="1">#REF!</definedName>
    <definedName name="BExB30YTF8EK04RZ190LBP9R44TW" hidden="1">#REF!</definedName>
    <definedName name="BExB31PVM8TBKT8GI5VYI71JWZ0D" localSheetId="19" hidden="1">#REF!</definedName>
    <definedName name="BExB31PVM8TBKT8GI5VYI71JWZ0D" hidden="1">#REF!</definedName>
    <definedName name="BExB37UZ7KOLOBAPDS5EM5MJTPFJ" localSheetId="19" hidden="1">#REF!</definedName>
    <definedName name="BExB37UZ7KOLOBAPDS5EM5MJTPFJ" hidden="1">#REF!</definedName>
    <definedName name="BExB3S8NRKFKQZGZDLCF1J5OPNQX" localSheetId="19" hidden="1">#REF!</definedName>
    <definedName name="BExB3S8NRKFKQZGZDLCF1J5OPNQX" hidden="1">#REF!</definedName>
    <definedName name="BExB4016U17W1T4ZWNG5SJCGWE9P" localSheetId="19" hidden="1">#REF!</definedName>
    <definedName name="BExB4016U17W1T4ZWNG5SJCGWE9P" hidden="1">#REF!</definedName>
    <definedName name="BExB442RX0T3L6HUL6X5T21CENW6" localSheetId="19" hidden="1">#REF!</definedName>
    <definedName name="BExB442RX0T3L6HUL6X5T21CENW6" hidden="1">#REF!</definedName>
    <definedName name="BExB472MUJSUYK7SI8BX1ZGQL0NK" localSheetId="19" hidden="1">#REF!</definedName>
    <definedName name="BExB472MUJSUYK7SI8BX1ZGQL0NK" hidden="1">#REF!</definedName>
    <definedName name="BExB4ADD0L7417CII901XTFKXD1J" localSheetId="19" hidden="1">#REF!</definedName>
    <definedName name="BExB4ADD0L7417CII901XTFKXD1J" hidden="1">#REF!</definedName>
    <definedName name="BExB4DO1V1NL2AVK5YE1RSL5RYHL" localSheetId="19" hidden="1">#REF!</definedName>
    <definedName name="BExB4DO1V1NL2AVK5YE1RSL5RYHL" hidden="1">#REF!</definedName>
    <definedName name="BExB4DYU06HCGRIPBSWRCXK804UM" localSheetId="19" hidden="1">#REF!</definedName>
    <definedName name="BExB4DYU06HCGRIPBSWRCXK804UM" hidden="1">#REF!</definedName>
    <definedName name="BExB4XW9A16UWK9TUIA84W8X2ZEA" localSheetId="19" hidden="1">#REF!</definedName>
    <definedName name="BExB4XW9A16UWK9TUIA84W8X2ZEA" hidden="1">#REF!</definedName>
    <definedName name="BExB4Z3EZBGYYI33U0KQ8NEIH8PY" localSheetId="19" hidden="1">#REF!</definedName>
    <definedName name="BExB4Z3EZBGYYI33U0KQ8NEIH8PY" hidden="1">#REF!</definedName>
    <definedName name="BExB55368XW7UX657ZSPC6BFE92S" localSheetId="19" hidden="1">#REF!</definedName>
    <definedName name="BExB55368XW7UX657ZSPC6BFE92S" hidden="1">#REF!</definedName>
    <definedName name="BExB57MZEPL2SA2ONPK66YFLZWJU" localSheetId="19" hidden="1">#REF!</definedName>
    <definedName name="BExB57MZEPL2SA2ONPK66YFLZWJU" hidden="1">#REF!</definedName>
    <definedName name="BExB5833OAOJ22VK1YK47FHUSVK2" localSheetId="19" hidden="1">#REF!</definedName>
    <definedName name="BExB5833OAOJ22VK1YK47FHUSVK2" hidden="1">#REF!</definedName>
    <definedName name="BExB58JDIHS42JZT9DJJMKA8QFCO" localSheetId="19" hidden="1">#REF!</definedName>
    <definedName name="BExB58JDIHS42JZT9DJJMKA8QFCO" hidden="1">#REF!</definedName>
    <definedName name="BExB58U5FQC5JWV9CGC83HLLZUZI" localSheetId="19" hidden="1">#REF!</definedName>
    <definedName name="BExB58U5FQC5JWV9CGC83HLLZUZI" hidden="1">#REF!</definedName>
    <definedName name="BExB5EDO9XUKHF74X3HAU2WPPHZH" localSheetId="19" hidden="1">#REF!</definedName>
    <definedName name="BExB5EDO9XUKHF74X3HAU2WPPHZH" hidden="1">#REF!</definedName>
    <definedName name="BExB5G6EH68AYEP1UT0GHUEL3SLN" localSheetId="19" hidden="1">#REF!</definedName>
    <definedName name="BExB5G6EH68AYEP1UT0GHUEL3SLN" hidden="1">#REF!</definedName>
    <definedName name="BExB5IFAFRG56RCEOOXLOQHCNSLB" localSheetId="19" hidden="1">#REF!</definedName>
    <definedName name="BExB5IFAFRG56RCEOOXLOQHCNSLB" hidden="1">#REF!</definedName>
    <definedName name="BExB5QYVEZWFE5DQVHAM760EV05X" localSheetId="19" hidden="1">#REF!</definedName>
    <definedName name="BExB5QYVEZWFE5DQVHAM760EV05X" hidden="1">#REF!</definedName>
    <definedName name="BExB5U9IRH14EMOE0YGIE3WIVLFS" localSheetId="19" hidden="1">#REF!</definedName>
    <definedName name="BExB5U9IRH14EMOE0YGIE3WIVLFS" hidden="1">#REF!</definedName>
    <definedName name="BExB5VWYMOV6BAIH7XUBBVPU7MMD" localSheetId="19" hidden="1">#REF!</definedName>
    <definedName name="BExB5VWYMOV6BAIH7XUBBVPU7MMD" hidden="1">#REF!</definedName>
    <definedName name="BExB610DZWIJP1B72U9QM42COH2B" localSheetId="19" hidden="1">#REF!</definedName>
    <definedName name="BExB610DZWIJP1B72U9QM42COH2B" hidden="1">#REF!</definedName>
    <definedName name="BExB6C3FUAKK9ML5T767NMWGA9YB" localSheetId="19" hidden="1">#REF!</definedName>
    <definedName name="BExB6C3FUAKK9ML5T767NMWGA9YB" hidden="1">#REF!</definedName>
    <definedName name="BExB6C8X6JYRLKZKK17VE3QUNL3D" localSheetId="19" hidden="1">#REF!</definedName>
    <definedName name="BExB6C8X6JYRLKZKK17VE3QUNL3D" hidden="1">#REF!</definedName>
    <definedName name="BExB6HN3QRFPXM71MDUK21BKM7PF" localSheetId="19" hidden="1">#REF!</definedName>
    <definedName name="BExB6HN3QRFPXM71MDUK21BKM7PF" hidden="1">#REF!</definedName>
    <definedName name="BExB6IZMHCZ3LB7N73KD90YB1HBZ" localSheetId="19" hidden="1">#REF!</definedName>
    <definedName name="BExB6IZMHCZ3LB7N73KD90YB1HBZ" hidden="1">#REF!</definedName>
    <definedName name="BExB6RZAN4TW4BIS93TJP3MTSF2V" localSheetId="19" hidden="1">#REF!</definedName>
    <definedName name="BExB6RZAN4TW4BIS93TJP3MTSF2V" hidden="1">#REF!</definedName>
    <definedName name="BExB6SKVVBQPHZ4Y692I5525S418" localSheetId="19" hidden="1">#REF!</definedName>
    <definedName name="BExB6SKVVBQPHZ4Y692I5525S418" hidden="1">#REF!</definedName>
    <definedName name="BExB719SGNX4Y8NE6JEXC555K596" localSheetId="19" hidden="1">#REF!</definedName>
    <definedName name="BExB719SGNX4Y8NE6JEXC555K596" hidden="1">#REF!</definedName>
    <definedName name="BExB7265DCHKS7V2OWRBXCZTEIW9" localSheetId="19" hidden="1">#REF!</definedName>
    <definedName name="BExB7265DCHKS7V2OWRBXCZTEIW9" hidden="1">#REF!</definedName>
    <definedName name="BExB73DAG0L10ZK0L6HQWV9BISN7" localSheetId="19" hidden="1">#REF!</definedName>
    <definedName name="BExB73DAG0L10ZK0L6HQWV9BISN7" hidden="1">#REF!</definedName>
    <definedName name="BExB74PS5P9G0P09Y6DZSCX0FLTJ" localSheetId="19" hidden="1">#REF!</definedName>
    <definedName name="BExB74PS5P9G0P09Y6DZSCX0FLTJ" hidden="1">#REF!</definedName>
    <definedName name="BExB77KDAUB9VYWBDJP50RIW7Y73" localSheetId="19" hidden="1">#REF!</definedName>
    <definedName name="BExB77KDAUB9VYWBDJP50RIW7Y73" hidden="1">#REF!</definedName>
    <definedName name="BExB78RH79J0MIF7H8CAZ0CFE88Q" localSheetId="19" hidden="1">#REF!</definedName>
    <definedName name="BExB78RH79J0MIF7H8CAZ0CFE88Q" hidden="1">#REF!</definedName>
    <definedName name="BExB7ELT09HGDVO5BJC1ZY9D09GZ" localSheetId="19" hidden="1">#REF!</definedName>
    <definedName name="BExB7ELT09HGDVO5BJC1ZY9D09GZ" hidden="1">#REF!</definedName>
    <definedName name="BExB7PZU5KVXW0MOS9BQNVV0U4WD" localSheetId="19" hidden="1">#REF!</definedName>
    <definedName name="BExB7PZU5KVXW0MOS9BQNVV0U4WD" hidden="1">#REF!</definedName>
    <definedName name="BExB7R1PBLH2KKT4OJI4ESYMV3B3" localSheetId="19" hidden="1">#REF!</definedName>
    <definedName name="BExB7R1PBLH2KKT4OJI4ESYMV3B3" hidden="1">#REF!</definedName>
    <definedName name="BExB7SUFBKOZJWAZHJSNHTBMUZE4" localSheetId="19" hidden="1">#REF!</definedName>
    <definedName name="BExB7SUFBKOZJWAZHJSNHTBMUZE4" hidden="1">#REF!</definedName>
    <definedName name="BExB806PAXX70XUTA3ZI7OORD78R" localSheetId="19" hidden="1">#REF!</definedName>
    <definedName name="BExB806PAXX70XUTA3ZI7OORD78R" hidden="1">#REF!</definedName>
    <definedName name="BExB88FBDZ0MSRCK5MB3E06QBO1N" localSheetId="19" hidden="1">#REF!</definedName>
    <definedName name="BExB88FBDZ0MSRCK5MB3E06QBO1N" hidden="1">#REF!</definedName>
    <definedName name="BExB89H5ZI7PL41B4CQN2OSUPK7A" localSheetId="19" hidden="1">#REF!</definedName>
    <definedName name="BExB89H5ZI7PL41B4CQN2OSUPK7A" hidden="1">#REF!</definedName>
    <definedName name="BExB8HF4UBVZKQCSRFRUQL2EE6VL" localSheetId="19" hidden="1">#REF!</definedName>
    <definedName name="BExB8HF4UBVZKQCSRFRUQL2EE6VL" hidden="1">#REF!</definedName>
    <definedName name="BExB8HKHKZ1ORJZUYGG2M4VSCC39" localSheetId="19" hidden="1">#REF!</definedName>
    <definedName name="BExB8HKHKZ1ORJZUYGG2M4VSCC39" hidden="1">#REF!</definedName>
    <definedName name="BExB8PIBXT2X11LCOX7RIO57ITDV" localSheetId="19" hidden="1">#REF!</definedName>
    <definedName name="BExB8PIBXT2X11LCOX7RIO57ITDV" hidden="1">#REF!</definedName>
    <definedName name="BExB8QPH8DC5BESEVPSMBCWVN6PO" localSheetId="19" hidden="1">#REF!</definedName>
    <definedName name="BExB8QPH8DC5BESEVPSMBCWVN6PO" hidden="1">#REF!</definedName>
    <definedName name="BExB8U5N0D85YR8APKN3PPKG0FWP" localSheetId="19" hidden="1">#REF!</definedName>
    <definedName name="BExB8U5N0D85YR8APKN3PPKG0FWP" hidden="1">#REF!</definedName>
    <definedName name="BExB91I17P2IIQ85B7OF9X01BBL0" localSheetId="19" hidden="1">#REF!</definedName>
    <definedName name="BExB91I17P2IIQ85B7OF9X01BBL0" hidden="1">#REF!</definedName>
    <definedName name="BExB9DHI5I2TJ2LXYPM98EE81L27" localSheetId="19" hidden="1">#REF!</definedName>
    <definedName name="BExB9DHI5I2TJ2LXYPM98EE81L27" hidden="1">#REF!</definedName>
    <definedName name="BExB9IVQ5K36625BTKIXXB3R8NKE" localSheetId="19" hidden="1">#REF!</definedName>
    <definedName name="BExB9IVQ5K36625BTKIXXB3R8NKE" hidden="1">#REF!</definedName>
    <definedName name="BExB9Q2MZZHBGW8QQKVEYIMJBPIE" localSheetId="19" hidden="1">#REF!</definedName>
    <definedName name="BExB9Q2MZZHBGW8QQKVEYIMJBPIE" hidden="1">#REF!</definedName>
    <definedName name="BExB9UVAU97XX5IFJV05VHTKS512" localSheetId="19" hidden="1">#REF!</definedName>
    <definedName name="BExB9UVAU97XX5IFJV05VHTKS512" hidden="1">#REF!</definedName>
    <definedName name="BExB9WTBZ1ZNJ5PYDE80FJ9A5MQS" localSheetId="19" hidden="1">#REF!</definedName>
    <definedName name="BExB9WTBZ1ZNJ5PYDE80FJ9A5MQS" hidden="1">#REF!</definedName>
    <definedName name="BExBA1GON0EZRJ20UYPILAPLNQWM" localSheetId="19" hidden="1">#REF!</definedName>
    <definedName name="BExBA1GON0EZRJ20UYPILAPLNQWM" hidden="1">#REF!</definedName>
    <definedName name="BExBA1RFNTGEN0TO2IRNXT6F3QKR" localSheetId="19" hidden="1">#REF!</definedName>
    <definedName name="BExBA1RFNTGEN0TO2IRNXT6F3QKR" hidden="1">#REF!</definedName>
    <definedName name="BExBA69ASGYRZW1G1DYIS9QRRTBN" localSheetId="19" hidden="1">#REF!</definedName>
    <definedName name="BExBA69ASGYRZW1G1DYIS9QRRTBN" hidden="1">#REF!</definedName>
    <definedName name="BExBA6K42582A14WFFWQ3Q8QQWB6" localSheetId="19" hidden="1">#REF!</definedName>
    <definedName name="BExBA6K42582A14WFFWQ3Q8QQWB6" hidden="1">#REF!</definedName>
    <definedName name="BExBA6PL9AA5J2L0KPL378AA2VZ4" localSheetId="19" hidden="1">#REF!</definedName>
    <definedName name="BExBA6PL9AA5J2L0KPL378AA2VZ4" hidden="1">#REF!</definedName>
    <definedName name="BExBA8I5D4R8R2PYQ1K16TWGTOEP" localSheetId="19" hidden="1">#REF!</definedName>
    <definedName name="BExBA8I5D4R8R2PYQ1K16TWGTOEP" hidden="1">#REF!</definedName>
    <definedName name="BExBA8NMWNC4ESE854DLVFP3K8UR" localSheetId="19" hidden="1">#REF!</definedName>
    <definedName name="BExBA8NMWNC4ESE854DLVFP3K8UR" hidden="1">#REF!</definedName>
    <definedName name="BExBA93PE0DGUUTA7LLSIGBIXWE5" localSheetId="19" hidden="1">#REF!</definedName>
    <definedName name="BExBA93PE0DGUUTA7LLSIGBIXWE5" hidden="1">#REF!</definedName>
    <definedName name="BExBAAWGR2BBXC8GXEYNQ9TYNUN8" localSheetId="19" hidden="1">#REF!</definedName>
    <definedName name="BExBAAWGR2BBXC8GXEYNQ9TYNUN8" hidden="1">#REF!</definedName>
    <definedName name="BExBAG5D16CADDC0MWOKCY7JZQO0" localSheetId="19" hidden="1">#REF!</definedName>
    <definedName name="BExBAG5D16CADDC0MWOKCY7JZQO0" hidden="1">#REF!</definedName>
    <definedName name="BExBAHY3NCFFKJ0L0RWLV9Q2XEA7" localSheetId="19" hidden="1">#REF!</definedName>
    <definedName name="BExBAHY3NCFFKJ0L0RWLV9Q2XEA7" hidden="1">#REF!</definedName>
    <definedName name="BExBAI8X0FKDQJ6YZJQDTTG4ZCWY" localSheetId="19" hidden="1">#REF!</definedName>
    <definedName name="BExBAI8X0FKDQJ6YZJQDTTG4ZCWY" hidden="1">#REF!</definedName>
    <definedName name="BExBAKN7XIBAXCF9PCNVS038PCQO" localSheetId="19" hidden="1">#REF!</definedName>
    <definedName name="BExBAKN7XIBAXCF9PCNVS038PCQO" hidden="1">#REF!</definedName>
    <definedName name="BExBAKXZ7PBW3DDKKA5MWC1ZUC7O" localSheetId="19" hidden="1">#REF!</definedName>
    <definedName name="BExBAKXZ7PBW3DDKKA5MWC1ZUC7O" hidden="1">#REF!</definedName>
    <definedName name="BExBAO8NLXZXHO6KCIECSFCH3RR0" localSheetId="19" hidden="1">#REF!</definedName>
    <definedName name="BExBAO8NLXZXHO6KCIECSFCH3RR0" hidden="1">#REF!</definedName>
    <definedName name="BExBAOOT1KBSIEISN1ADL4RMY879" localSheetId="19" hidden="1">#REF!</definedName>
    <definedName name="BExBAOOT1KBSIEISN1ADL4RMY879" hidden="1">#REF!</definedName>
    <definedName name="BExBAVKX8Q09370X1GCZWJ4E91YJ" localSheetId="19" hidden="1">#REF!</definedName>
    <definedName name="BExBAVKX8Q09370X1GCZWJ4E91YJ" hidden="1">#REF!</definedName>
    <definedName name="BExBAX2X2ENJYO4QTR5VAIQ86L7B" localSheetId="19" hidden="1">#REF!</definedName>
    <definedName name="BExBAX2X2ENJYO4QTR5VAIQ86L7B" hidden="1">#REF!</definedName>
    <definedName name="BExBAZ13D3F1DVJQ6YJ8JGUYEYJE" localSheetId="19" hidden="1">#REF!</definedName>
    <definedName name="BExBAZ13D3F1DVJQ6YJ8JGUYEYJE" hidden="1">#REF!</definedName>
    <definedName name="BExBBTG649R9I0CT042JLL8LXV18" localSheetId="19" hidden="1">#REF!</definedName>
    <definedName name="BExBBTG649R9I0CT042JLL8LXV18" hidden="1">#REF!</definedName>
    <definedName name="BExBBUCJQRR74Q7GPWDEZXYK2KJL" localSheetId="19" hidden="1">#REF!</definedName>
    <definedName name="BExBBUCJQRR74Q7GPWDEZXYK2KJL" hidden="1">#REF!</definedName>
    <definedName name="BExBBV8XVMD9CKZY711T0BN7H3PM" localSheetId="19" hidden="1">#REF!</definedName>
    <definedName name="BExBBV8XVMD9CKZY711T0BN7H3PM" hidden="1">#REF!</definedName>
    <definedName name="BExBC5L31H53WLFYF54SQM4A7EU4" localSheetId="19" hidden="1">#REF!</definedName>
    <definedName name="BExBC5L31H53WLFYF54SQM4A7EU4" hidden="1">#REF!</definedName>
    <definedName name="BExBC78HXWXHO3XAB6E8NVTBGLJS" localSheetId="19" hidden="1">#REF!</definedName>
    <definedName name="BExBC78HXWXHO3XAB6E8NVTBGLJS" hidden="1">#REF!</definedName>
    <definedName name="BExBCATYYZZEDHH6VTB2O2HIRMIR" localSheetId="19" hidden="1">#REF!</definedName>
    <definedName name="BExBCATYYZZEDHH6VTB2O2HIRMIR" hidden="1">#REF!</definedName>
    <definedName name="BExBCKKJTIRKC1RZJRTK65HHLX4W" localSheetId="19" hidden="1">#REF!</definedName>
    <definedName name="BExBCKKJTIRKC1RZJRTK65HHLX4W" hidden="1">#REF!</definedName>
    <definedName name="BExBCLMEPAN3XXX174TU8SS0627Q" localSheetId="19" hidden="1">#REF!</definedName>
    <definedName name="BExBCLMEPAN3XXX174TU8SS0627Q" hidden="1">#REF!</definedName>
    <definedName name="BExBCRBEYR2KZ8FAQFZ2NHY13WIY" localSheetId="19" hidden="1">#REF!</definedName>
    <definedName name="BExBCRBEYR2KZ8FAQFZ2NHY13WIY" hidden="1">#REF!</definedName>
    <definedName name="BExBD05M2XLZ3FDJC1J5FM7IICZB" localSheetId="19" hidden="1">'[38]10.08.2 - 2008 Expense'!#REF!</definedName>
    <definedName name="BExBD05M2XLZ3FDJC1J5FM7IICZB" hidden="1">'[38]10.08.2 - 2008 Expense'!#REF!</definedName>
    <definedName name="BExBD4I559NXSV6J07Q343TKYMVJ" localSheetId="14" hidden="1">#REF!</definedName>
    <definedName name="BExBD4I559NXSV6J07Q343TKYMVJ" localSheetId="15" hidden="1">#REF!</definedName>
    <definedName name="BExBD4I559NXSV6J07Q343TKYMVJ" localSheetId="16" hidden="1">#REF!</definedName>
    <definedName name="BExBD4I559NXSV6J07Q343TKYMVJ" localSheetId="19" hidden="1">#REF!</definedName>
    <definedName name="BExBD4I559NXSV6J07Q343TKYMVJ" hidden="1">#REF!</definedName>
    <definedName name="BExBDBZQLTX3OGFYGULQFK5WEZU5" localSheetId="16" hidden="1">#REF!</definedName>
    <definedName name="BExBDBZQLTX3OGFYGULQFK5WEZU5" localSheetId="19" hidden="1">#REF!</definedName>
    <definedName name="BExBDBZQLTX3OGFYGULQFK5WEZU5" hidden="1">#REF!</definedName>
    <definedName name="BExBDJS9TUEU8Z84IV59E5V4T8K6" localSheetId="16" hidden="1">#REF!</definedName>
    <definedName name="BExBDJS9TUEU8Z84IV59E5V4T8K6" localSheetId="19" hidden="1">#REF!</definedName>
    <definedName name="BExBDJS9TUEU8Z84IV59E5V4T8K6" hidden="1">#REF!</definedName>
    <definedName name="BExBDKOMSVH4XMH52CFJ3F028I9R" localSheetId="19" hidden="1">#REF!</definedName>
    <definedName name="BExBDKOMSVH4XMH52CFJ3F028I9R" hidden="1">#REF!</definedName>
    <definedName name="BExBDSRXVZQ0W5WXQMP5XD00GRRL" localSheetId="19" hidden="1">#REF!</definedName>
    <definedName name="BExBDSRXVZQ0W5WXQMP5XD00GRRL" hidden="1">#REF!</definedName>
    <definedName name="BExBDT87JCZT4EZQQ1HEUN7ZAMNT" localSheetId="19" hidden="1">#REF!</definedName>
    <definedName name="BExBDT87JCZT4EZQQ1HEUN7ZAMNT" hidden="1">#REF!</definedName>
    <definedName name="BExBDUVGK3E1J4JY9ZYTS7V14BLY" localSheetId="19" hidden="1">#REF!</definedName>
    <definedName name="BExBDUVGK3E1J4JY9ZYTS7V14BLY" hidden="1">#REF!</definedName>
    <definedName name="BExBDVH3DOL955WK34ZBD4XWH6OI" localSheetId="19" hidden="1">'[38]10.08.5 - 2008 Capital - TDBU'!#REF!</definedName>
    <definedName name="BExBDVH3DOL955WK34ZBD4XWH6OI" hidden="1">'[38]10.08.5 - 2008 Capital - TDBU'!#REF!</definedName>
    <definedName name="BExBE162OSBKD30I7T1DKKPT3I9I" localSheetId="14" hidden="1">#REF!</definedName>
    <definedName name="BExBE162OSBKD30I7T1DKKPT3I9I" localSheetId="15" hidden="1">#REF!</definedName>
    <definedName name="BExBE162OSBKD30I7T1DKKPT3I9I" localSheetId="16" hidden="1">#REF!</definedName>
    <definedName name="BExBE162OSBKD30I7T1DKKPT3I9I" localSheetId="19" hidden="1">#REF!</definedName>
    <definedName name="BExBE162OSBKD30I7T1DKKPT3I9I" hidden="1">#REF!</definedName>
    <definedName name="BExBE5YPUY1T7N7DHMMIGGXK8TMP" localSheetId="16" hidden="1">#REF!</definedName>
    <definedName name="BExBE5YPUY1T7N7DHMMIGGXK8TMP" localSheetId="19" hidden="1">#REF!</definedName>
    <definedName name="BExBE5YPUY1T7N7DHMMIGGXK8TMP" hidden="1">#REF!</definedName>
    <definedName name="BExBE827OBMEXJZS59TKFQS6FC0Z" localSheetId="16" hidden="1">#REF!</definedName>
    <definedName name="BExBE827OBMEXJZS59TKFQS6FC0Z" localSheetId="19" hidden="1">#REF!</definedName>
    <definedName name="BExBE827OBMEXJZS59TKFQS6FC0Z" hidden="1">#REF!</definedName>
    <definedName name="BExBEC9ATLQZF86W1M3APSM4HEOH" localSheetId="19" hidden="1">#REF!</definedName>
    <definedName name="BExBEC9ATLQZF86W1M3APSM4HEOH" hidden="1">#REF!</definedName>
    <definedName name="BExBEHCOWXYAJ0G8WL2C0YAEM0A3" localSheetId="19" hidden="1">#REF!</definedName>
    <definedName name="BExBEHCOWXYAJ0G8WL2C0YAEM0A3" hidden="1">#REF!</definedName>
    <definedName name="BExBEIUMJGTX2SBNU3E8Z2XPR27P" localSheetId="19" hidden="1">#REF!</definedName>
    <definedName name="BExBEIUMJGTX2SBNU3E8Z2XPR27P" hidden="1">#REF!</definedName>
    <definedName name="BExBEYFQJE9YK12A6JBMRFKEC7RN" localSheetId="19" hidden="1">#REF!</definedName>
    <definedName name="BExBEYFQJE9YK12A6JBMRFKEC7RN" hidden="1">#REF!</definedName>
    <definedName name="BExBG1ED81J2O4A2S5F5Y3BPHMCR" localSheetId="19" hidden="1">#REF!</definedName>
    <definedName name="BExBG1ED81J2O4A2S5F5Y3BPHMCR" hidden="1">#REF!</definedName>
    <definedName name="BExCRHX1OTQXWVM4RKG8IHHYCVFP" localSheetId="19" hidden="1">#REF!</definedName>
    <definedName name="BExCRHX1OTQXWVM4RKG8IHHYCVFP" hidden="1">#REF!</definedName>
    <definedName name="BExCRLIHS7466WFJ3RPIUGGXYESZ" localSheetId="19" hidden="1">#REF!</definedName>
    <definedName name="BExCRLIHS7466WFJ3RPIUGGXYESZ" hidden="1">#REF!</definedName>
    <definedName name="BExCS1EDDUEAEWHVYXHIP9I1WCJH" localSheetId="19" hidden="1">#REF!</definedName>
    <definedName name="BExCS1EDDUEAEWHVYXHIP9I1WCJH" hidden="1">#REF!</definedName>
    <definedName name="BExCS6SLRCBH006GNRE27HFRHP40" localSheetId="19" hidden="1">#REF!</definedName>
    <definedName name="BExCS6SLRCBH006GNRE27HFRHP40" hidden="1">#REF!</definedName>
    <definedName name="BExCS7ZPMHFJ4UJDAL8CQOLSZ13B" localSheetId="19" hidden="1">#REF!</definedName>
    <definedName name="BExCS7ZPMHFJ4UJDAL8CQOLSZ13B" hidden="1">#REF!</definedName>
    <definedName name="BExCS8W4NJUZH9S1CYB6XSDLEPBW" localSheetId="19" hidden="1">#REF!</definedName>
    <definedName name="BExCS8W4NJUZH9S1CYB6XSDLEPBW" hidden="1">#REF!</definedName>
    <definedName name="BExCSAE1M6G20R41J0Y24YNN0YC1" localSheetId="19" hidden="1">#REF!</definedName>
    <definedName name="BExCSAE1M6G20R41J0Y24YNN0YC1" hidden="1">#REF!</definedName>
    <definedName name="BExCSAOUZOYKHN7HV511TO8VDJ02" localSheetId="19" hidden="1">#REF!</definedName>
    <definedName name="BExCSAOUZOYKHN7HV511TO8VDJ02" hidden="1">#REF!</definedName>
    <definedName name="BExCSGOMZRUX4W3XE4LX5XXH5F2L" localSheetId="19" hidden="1">#REF!</definedName>
    <definedName name="BExCSGOMZRUX4W3XE4LX5XXH5F2L" hidden="1">#REF!</definedName>
    <definedName name="BExCSMOFTXSUEC1T46LR1UPYRCX5" localSheetId="19" hidden="1">#REF!</definedName>
    <definedName name="BExCSMOFTXSUEC1T46LR1UPYRCX5" hidden="1">#REF!</definedName>
    <definedName name="BExCSMTPZZ9RQU93PT4098LW6KAZ" localSheetId="19" hidden="1">#REF!</definedName>
    <definedName name="BExCSMTPZZ9RQU93PT4098LW6KAZ" hidden="1">#REF!</definedName>
    <definedName name="BExCSSDG3TM6TPKS19E9QYJEELZ6" localSheetId="19" hidden="1">#REF!</definedName>
    <definedName name="BExCSSDG3TM6TPKS19E9QYJEELZ6" hidden="1">#REF!</definedName>
    <definedName name="BExCSZV7U67UWXL2HKJNM5W1E4OO" localSheetId="19" hidden="1">#REF!</definedName>
    <definedName name="BExCSZV7U67UWXL2HKJNM5W1E4OO" hidden="1">#REF!</definedName>
    <definedName name="BExCT4NSDT61OCH04Y2QIFIOP75H" localSheetId="19" hidden="1">#REF!</definedName>
    <definedName name="BExCT4NSDT61OCH04Y2QIFIOP75H" hidden="1">#REF!</definedName>
    <definedName name="BExCTDNIGAFFV0FMRGUS25TGONCJ" localSheetId="19" hidden="1">#REF!</definedName>
    <definedName name="BExCTDNIGAFFV0FMRGUS25TGONCJ" hidden="1">#REF!</definedName>
    <definedName name="BExCTNE23PLYUM60ZCQ942C1KG81" localSheetId="19" hidden="1">#REF!</definedName>
    <definedName name="BExCTNE23PLYUM60ZCQ942C1KG81" hidden="1">#REF!</definedName>
    <definedName name="BExCTW8G3VCZ55S09HTUGXKB1P2M" localSheetId="19" hidden="1">#REF!</definedName>
    <definedName name="BExCTW8G3VCZ55S09HTUGXKB1P2M" hidden="1">#REF!</definedName>
    <definedName name="BExCTWJ9A4QCQ9OZN28V6HYAACMI" localSheetId="19" hidden="1">#REF!</definedName>
    <definedName name="BExCTWJ9A4QCQ9OZN28V6HYAACMI" hidden="1">#REF!</definedName>
    <definedName name="BExCTYS2KX0QANOLT8LGZ9WV3S3T" localSheetId="19" hidden="1">#REF!</definedName>
    <definedName name="BExCTYS2KX0QANOLT8LGZ9WV3S3T" hidden="1">#REF!</definedName>
    <definedName name="BExCTZZ9JNES4EDHW97NP0EGQALX" localSheetId="19" hidden="1">#REF!</definedName>
    <definedName name="BExCTZZ9JNES4EDHW97NP0EGQALX" hidden="1">#REF!</definedName>
    <definedName name="BExCU0A1V6NMZQ9ASYJ8QIVQ5UR2" localSheetId="19" hidden="1">#REF!</definedName>
    <definedName name="BExCU0A1V6NMZQ9ASYJ8QIVQ5UR2" hidden="1">#REF!</definedName>
    <definedName name="BExCU2834920JBHSPCRC4UF80OLL" localSheetId="19" hidden="1">#REF!</definedName>
    <definedName name="BExCU2834920JBHSPCRC4UF80OLL" hidden="1">#REF!</definedName>
    <definedName name="BExCU8O54I3P3WRYWY1CRP3S78QY" localSheetId="19" hidden="1">#REF!</definedName>
    <definedName name="BExCU8O54I3P3WRYWY1CRP3S78QY" hidden="1">#REF!</definedName>
    <definedName name="BExCUBILFA1EYYEOFEX37L275Z4P" localSheetId="19" hidden="1">#REF!</definedName>
    <definedName name="BExCUBILFA1EYYEOFEX37L275Z4P" hidden="1">#REF!</definedName>
    <definedName name="BExCUDRJO23YOKT8GPWOVQ4XEHF5" localSheetId="19" hidden="1">#REF!</definedName>
    <definedName name="BExCUDRJO23YOKT8GPWOVQ4XEHF5" hidden="1">#REF!</definedName>
    <definedName name="BExCUPAXFR16YMWL30ME3F3BSRDZ" localSheetId="19" hidden="1">#REF!</definedName>
    <definedName name="BExCUPAXFR16YMWL30ME3F3BSRDZ" hidden="1">#REF!</definedName>
    <definedName name="BExCUR94DHCE47PUUWEMT5QZOYR2" localSheetId="19" hidden="1">#REF!</definedName>
    <definedName name="BExCUR94DHCE47PUUWEMT5QZOYR2" hidden="1">#REF!</definedName>
    <definedName name="BExCUT768Y9WTBMX7GXYUGHWIXZD" localSheetId="19" hidden="1">'[38]10.08.2 - 2008 Expense'!#REF!</definedName>
    <definedName name="BExCUT768Y9WTBMX7GXYUGHWIXZD" hidden="1">'[38]10.08.2 - 2008 Expense'!#REF!</definedName>
    <definedName name="BExCUW1QXVMEP3B9SFPNEEWCG9I0" localSheetId="19" hidden="1">'[38]10.08.5 - 2008 Capital - TDBU'!#REF!</definedName>
    <definedName name="BExCUW1QXVMEP3B9SFPNEEWCG9I0" hidden="1">'[38]10.08.5 - 2008 Capital - TDBU'!#REF!</definedName>
    <definedName name="BExCUWN57J3KE1LMYFY8FAMDD57T" localSheetId="14" hidden="1">#REF!</definedName>
    <definedName name="BExCUWN57J3KE1LMYFY8FAMDD57T" localSheetId="15" hidden="1">#REF!</definedName>
    <definedName name="BExCUWN57J3KE1LMYFY8FAMDD57T" localSheetId="16" hidden="1">#REF!</definedName>
    <definedName name="BExCUWN57J3KE1LMYFY8FAMDD57T" localSheetId="19" hidden="1">#REF!</definedName>
    <definedName name="BExCUWN57J3KE1LMYFY8FAMDD57T" hidden="1">#REF!</definedName>
    <definedName name="BExCV4VXZA9HAYPSLTWYK66MGS3Y" localSheetId="16" hidden="1">#REF!</definedName>
    <definedName name="BExCV4VXZA9HAYPSLTWYK66MGS3Y" localSheetId="19" hidden="1">#REF!</definedName>
    <definedName name="BExCV4VXZA9HAYPSLTWYK66MGS3Y" hidden="1">#REF!</definedName>
    <definedName name="BExCV634L7SVHGB0UDDTRRQ2Q72H" localSheetId="16" hidden="1">#REF!</definedName>
    <definedName name="BExCV634L7SVHGB0UDDTRRQ2Q72H" localSheetId="19" hidden="1">#REF!</definedName>
    <definedName name="BExCV634L7SVHGB0UDDTRRQ2Q72H" hidden="1">#REF!</definedName>
    <definedName name="BExCVA4UIZYJL3LZ7EQQOM9CIPAD" localSheetId="19" hidden="1">#REF!</definedName>
    <definedName name="BExCVA4UIZYJL3LZ7EQQOM9CIPAD" hidden="1">#REF!</definedName>
    <definedName name="BExCVBMRUN39FYTXYMM2N12EFLG1" localSheetId="19" hidden="1">#REF!</definedName>
    <definedName name="BExCVBMRUN39FYTXYMM2N12EFLG1" hidden="1">#REF!</definedName>
    <definedName name="BExCVBXGSXT9FWJRG62PX9S1RK83" localSheetId="19" hidden="1">#REF!</definedName>
    <definedName name="BExCVBXGSXT9FWJRG62PX9S1RK83" hidden="1">#REF!</definedName>
    <definedName name="BExCVEH7A1VWBBC4BVU6VNJA1WGJ" localSheetId="19" hidden="1">#REF!</definedName>
    <definedName name="BExCVEH7A1VWBBC4BVU6VNJA1WGJ" hidden="1">#REF!</definedName>
    <definedName name="BExCVHBNLOHNFS0JAV3I1XGPNH9W" localSheetId="19" hidden="1">#REF!</definedName>
    <definedName name="BExCVHBNLOHNFS0JAV3I1XGPNH9W" hidden="1">#REF!</definedName>
    <definedName name="BExCVI86R31A2IOZIEBY1FJLVILD" localSheetId="19" hidden="1">#REF!</definedName>
    <definedName name="BExCVI86R31A2IOZIEBY1FJLVILD" hidden="1">#REF!</definedName>
    <definedName name="BExCVKGZXE0I9EIXKBZVSGSEY2RR" localSheetId="19" hidden="1">#REF!</definedName>
    <definedName name="BExCVKGZXE0I9EIXKBZVSGSEY2RR" hidden="1">#REF!</definedName>
    <definedName name="BExCVM4B2PZUHY0W5DLK6RO6HSGU" localSheetId="19" hidden="1">#REF!</definedName>
    <definedName name="BExCVM4B2PZUHY0W5DLK6RO6HSGU" hidden="1">#REF!</definedName>
    <definedName name="BExCVV44WY5807WGMTGKPW0GT256" localSheetId="19" hidden="1">#REF!</definedName>
    <definedName name="BExCVV44WY5807WGMTGKPW0GT256" hidden="1">#REF!</definedName>
    <definedName name="BExCVZ5PN4V6MRBZ04PZJW3GEF8S" localSheetId="19" hidden="1">#REF!</definedName>
    <definedName name="BExCVZ5PN4V6MRBZ04PZJW3GEF8S" hidden="1">#REF!</definedName>
    <definedName name="BExCW13R0GWJYGXZBNCPAHQN4NR2" localSheetId="19" hidden="1">#REF!</definedName>
    <definedName name="BExCW13R0GWJYGXZBNCPAHQN4NR2" hidden="1">#REF!</definedName>
    <definedName name="BExCW9Y5HWU4RJTNX74O6L24VGCK" localSheetId="19" hidden="1">#REF!</definedName>
    <definedName name="BExCW9Y5HWU4RJTNX74O6L24VGCK" hidden="1">#REF!</definedName>
    <definedName name="BExCWJOP24TCAR0PRZG8HD526AHX" localSheetId="19" hidden="1">#REF!</definedName>
    <definedName name="BExCWJOP24TCAR0PRZG8HD526AHX" hidden="1">#REF!</definedName>
    <definedName name="BExCWM8JQB8SI9MNZVUOQN3547K8" localSheetId="19" hidden="1">#REF!</definedName>
    <definedName name="BExCWM8JQB8SI9MNZVUOQN3547K8" hidden="1">#REF!</definedName>
    <definedName name="BExCWOBVOESHXLNFULF3L3PHKV9U" localSheetId="19" hidden="1">#REF!</definedName>
    <definedName name="BExCWOBVOESHXLNFULF3L3PHKV9U" hidden="1">#REF!</definedName>
    <definedName name="BExCWP2YCA04PGYT4V2CKSHBG2N7" localSheetId="19" hidden="1">#REF!</definedName>
    <definedName name="BExCWP2YCA04PGYT4V2CKSHBG2N7" hidden="1">#REF!</definedName>
    <definedName name="BExCWPDPESGZS07QGBLSBWDNVJLZ" localSheetId="19" hidden="1">#REF!</definedName>
    <definedName name="BExCWPDPESGZS07QGBLSBWDNVJLZ" hidden="1">#REF!</definedName>
    <definedName name="BExCWTVKHIVCRHF8GC39KI58YM5K" localSheetId="19" hidden="1">#REF!</definedName>
    <definedName name="BExCWTVKHIVCRHF8GC39KI58YM5K" hidden="1">#REF!</definedName>
    <definedName name="BExCWZPWC0LNH9ZNEEWXFFTQFZN4" localSheetId="19" hidden="1">#REF!</definedName>
    <definedName name="BExCWZPWC0LNH9ZNEEWXFFTQFZN4" hidden="1">#REF!</definedName>
    <definedName name="BExCX2KGRZBRVLZNM8SUSIE6A0RL" localSheetId="19" hidden="1">#REF!</definedName>
    <definedName name="BExCX2KGRZBRVLZNM8SUSIE6A0RL" hidden="1">#REF!</definedName>
    <definedName name="BExCX30QEPK6YY3L5B9A865PM1XZ" localSheetId="19" hidden="1">#REF!</definedName>
    <definedName name="BExCX30QEPK6YY3L5B9A865PM1XZ" hidden="1">#REF!</definedName>
    <definedName name="BExCX3X451T70LZ1VF95L7W4Y4TM" localSheetId="19" hidden="1">#REF!</definedName>
    <definedName name="BExCX3X451T70LZ1VF95L7W4Y4TM" hidden="1">#REF!</definedName>
    <definedName name="BExCX4NZ2N1OUGXM7EV0U7VULJMM" localSheetId="19" hidden="1">#REF!</definedName>
    <definedName name="BExCX4NZ2N1OUGXM7EV0U7VULJMM" hidden="1">#REF!</definedName>
    <definedName name="BExCX5KCKNR3QHCET9D7RK52DEJB" localSheetId="19" hidden="1">#REF!</definedName>
    <definedName name="BExCX5KCKNR3QHCET9D7RK52DEJB" hidden="1">#REF!</definedName>
    <definedName name="BExCX8V1U9KN0DWRM7RHUYCTBVEN" localSheetId="19" hidden="1">#REF!</definedName>
    <definedName name="BExCX8V1U9KN0DWRM7RHUYCTBVEN" hidden="1">#REF!</definedName>
    <definedName name="BExCXCGIFCIU1476QTARIGF5OXEL" localSheetId="19" hidden="1">#REF!</definedName>
    <definedName name="BExCXCGIFCIU1476QTARIGF5OXEL" hidden="1">#REF!</definedName>
    <definedName name="BExCXILMURGYMAH6N5LF5DV6K3GM" localSheetId="19" hidden="1">#REF!</definedName>
    <definedName name="BExCXILMURGYMAH6N5LF5DV6K3GM" hidden="1">#REF!</definedName>
    <definedName name="BExCXMY5ISUXV19SSN8W6FPXAY3L" localSheetId="19" hidden="1">#REF!</definedName>
    <definedName name="BExCXMY5ISUXV19SSN8W6FPXAY3L" hidden="1">#REF!</definedName>
    <definedName name="BExCXQUFBMXQ1650735H48B1AZT3" localSheetId="19" hidden="1">#REF!</definedName>
    <definedName name="BExCXQUFBMXQ1650735H48B1AZT3" hidden="1">#REF!</definedName>
    <definedName name="BExCXUFX19ADNJAUPHJ62T1ZS5A4" localSheetId="19" hidden="1">#REF!</definedName>
    <definedName name="BExCXUFX19ADNJAUPHJ62T1ZS5A4" hidden="1">#REF!</definedName>
    <definedName name="BExCY2DQO9VLA77Q7EG3T0XNXX4F" localSheetId="19" hidden="1">#REF!</definedName>
    <definedName name="BExCY2DQO9VLA77Q7EG3T0XNXX4F" hidden="1">#REF!</definedName>
    <definedName name="BExCY6VMJ68MX3C981R5Q0BX5791" localSheetId="19" hidden="1">#REF!</definedName>
    <definedName name="BExCY6VMJ68MX3C981R5Q0BX5791" hidden="1">#REF!</definedName>
    <definedName name="BExCYAH2SAZCPW6XCB7V7PMMCAWO" localSheetId="19" hidden="1">#REF!</definedName>
    <definedName name="BExCYAH2SAZCPW6XCB7V7PMMCAWO" hidden="1">#REF!</definedName>
    <definedName name="BExCYE2K07U5UQ0WQNHXML7T0NJO" localSheetId="19" hidden="1">#REF!</definedName>
    <definedName name="BExCYE2K07U5UQ0WQNHXML7T0NJO" hidden="1">#REF!</definedName>
    <definedName name="BExCYH7R2U5R12XVG3NJ54H052NJ" localSheetId="19" hidden="1">#REF!</definedName>
    <definedName name="BExCYH7R2U5R12XVG3NJ54H052NJ" hidden="1">#REF!</definedName>
    <definedName name="BExCYJBB52X8B3AREHCC1L5QNPX7" localSheetId="19" hidden="1">#REF!</definedName>
    <definedName name="BExCYJBB52X8B3AREHCC1L5QNPX7" hidden="1">#REF!</definedName>
    <definedName name="BExCYPRC5HJE6N2XQTHCT6NXGP8N" localSheetId="19" hidden="1">#REF!</definedName>
    <definedName name="BExCYPRC5HJE6N2XQTHCT6NXGP8N" hidden="1">#REF!</definedName>
    <definedName name="BExCYUK0I3UEXZNFDW71G6Z6D8XR" localSheetId="19" hidden="1">#REF!</definedName>
    <definedName name="BExCYUK0I3UEXZNFDW71G6Z6D8XR" hidden="1">#REF!</definedName>
    <definedName name="BExCZ9UA19GWDW0TL6HVTOXIRSPV" localSheetId="19" hidden="1">#REF!</definedName>
    <definedName name="BExCZ9UA19GWDW0TL6HVTOXIRSPV" hidden="1">#REF!</definedName>
    <definedName name="BExCZFZCXMLY5DWESYJ9NGTJYQ8M" localSheetId="19" hidden="1">#REF!</definedName>
    <definedName name="BExCZFZCXMLY5DWESYJ9NGTJYQ8M" hidden="1">#REF!</definedName>
    <definedName name="BExCZIJ0082EB1UPRKX9EHOOUV0U" localSheetId="19" hidden="1">#REF!</definedName>
    <definedName name="BExCZIJ0082EB1UPRKX9EHOOUV0U" hidden="1">#REF!</definedName>
    <definedName name="BExCZJ4P8WS0BDT31WDXI0ROE7D6" localSheetId="19" hidden="1">#REF!</definedName>
    <definedName name="BExCZJ4P8WS0BDT31WDXI0ROE7D6" hidden="1">#REF!</definedName>
    <definedName name="BExCZKH6NI0EE02L995IFVBD1J59" localSheetId="19" hidden="1">#REF!</definedName>
    <definedName name="BExCZKH6NI0EE02L995IFVBD1J59" hidden="1">#REF!</definedName>
    <definedName name="BExCZNH3KPWE50T7YYORPIC1TXLN" localSheetId="19" hidden="1">#REF!</definedName>
    <definedName name="BExCZNH3KPWE50T7YYORPIC1TXLN" hidden="1">#REF!</definedName>
    <definedName name="BExCZSKJ3H9C3V7IL5VIJR1XCVS6" localSheetId="19" hidden="1">#REF!</definedName>
    <definedName name="BExCZSKJ3H9C3V7IL5VIJR1XCVS6" hidden="1">#REF!</definedName>
    <definedName name="BExCZUD9FEOJBKDJ51Z3JON9LKJ8" localSheetId="19" hidden="1">#REF!</definedName>
    <definedName name="BExCZUD9FEOJBKDJ51Z3JON9LKJ8" hidden="1">#REF!</definedName>
    <definedName name="BExD03NQ5GR56X8Y0Y29FLTRLLS2" localSheetId="19" hidden="1">#REF!</definedName>
    <definedName name="BExD03NQ5GR56X8Y0Y29FLTRLLS2" hidden="1">#REF!</definedName>
    <definedName name="BExD0508DAALLU00PHFPBC8SRRKT" localSheetId="19" hidden="1">#REF!</definedName>
    <definedName name="BExD0508DAALLU00PHFPBC8SRRKT" hidden="1">#REF!</definedName>
    <definedName name="BExD0BAT3ER3NBREZM75FYDXWDA7" localSheetId="19" hidden="1">#REF!</definedName>
    <definedName name="BExD0BAT3ER3NBREZM75FYDXWDA7" hidden="1">#REF!</definedName>
    <definedName name="BExD0BG9BZG0I2HQ6PWHGGVEMY6K" localSheetId="19" hidden="1">#REF!</definedName>
    <definedName name="BExD0BG9BZG0I2HQ6PWHGGVEMY6K" hidden="1">#REF!</definedName>
    <definedName name="BExD0C1TNBFIEWNG3IH7R8WOPI6B" localSheetId="19" hidden="1">#REF!</definedName>
    <definedName name="BExD0C1TNBFIEWNG3IH7R8WOPI6B" hidden="1">#REF!</definedName>
    <definedName name="BExD0HALIN0JR4JTPGDEVAEE5EX5" localSheetId="19" hidden="1">#REF!</definedName>
    <definedName name="BExD0HALIN0JR4JTPGDEVAEE5EX5" hidden="1">#REF!</definedName>
    <definedName name="BExD0LCCDPG16YLY5WQSZF1XI5DA" localSheetId="19" hidden="1">#REF!</definedName>
    <definedName name="BExD0LCCDPG16YLY5WQSZF1XI5DA" hidden="1">#REF!</definedName>
    <definedName name="BExD0M38AXH7IMGDWBCB3CT349N5" localSheetId="19" hidden="1">#REF!</definedName>
    <definedName name="BExD0M38AXH7IMGDWBCB3CT349N5" hidden="1">#REF!</definedName>
    <definedName name="BExD0RMWSB4TRECEHTH6NN4K9DFZ" localSheetId="19" hidden="1">#REF!</definedName>
    <definedName name="BExD0RMWSB4TRECEHTH6NN4K9DFZ" hidden="1">#REF!</definedName>
    <definedName name="BExD0U6KG10QGVDI1XSHK0J10A2V" localSheetId="19" hidden="1">#REF!</definedName>
    <definedName name="BExD0U6KG10QGVDI1XSHK0J10A2V" hidden="1">#REF!</definedName>
    <definedName name="BExD11Z3KEWZ3PWH1UZSJRDRV9IH" localSheetId="19" hidden="1">#REF!</definedName>
    <definedName name="BExD11Z3KEWZ3PWH1UZSJRDRV9IH" hidden="1">#REF!</definedName>
    <definedName name="BExD13RUIBGRXDL4QDZ305UKUR12" localSheetId="19" hidden="1">#REF!</definedName>
    <definedName name="BExD13RUIBGRXDL4QDZ305UKUR12" hidden="1">#REF!</definedName>
    <definedName name="BExD14DETV5R4OOTMAXD5NAKWRO3" localSheetId="19" hidden="1">#REF!</definedName>
    <definedName name="BExD14DETV5R4OOTMAXD5NAKWRO3" hidden="1">#REF!</definedName>
    <definedName name="BExD160UKTD6MG5W79IBIHP0ZPKQ" localSheetId="19" hidden="1">#REF!</definedName>
    <definedName name="BExD160UKTD6MG5W79IBIHP0ZPKQ" hidden="1">#REF!</definedName>
    <definedName name="BExD16BM4TPPOCZ5ARF5HM6XKRFF" localSheetId="19" hidden="1">#REF!</definedName>
    <definedName name="BExD16BM4TPPOCZ5ARF5HM6XKRFF" hidden="1">#REF!</definedName>
    <definedName name="BExD1OAU9OXQAZA4D70HP72CU6GB" localSheetId="19" hidden="1">#REF!</definedName>
    <definedName name="BExD1OAU9OXQAZA4D70HP72CU6GB" hidden="1">#REF!</definedName>
    <definedName name="BExD1Y1JV61416YA1XRQHKWPZIE7" localSheetId="19" hidden="1">#REF!</definedName>
    <definedName name="BExD1Y1JV61416YA1XRQHKWPZIE7" hidden="1">#REF!</definedName>
    <definedName name="BExD25DU4ZMU9XFJZTH3WMVIKAK6" localSheetId="19" hidden="1">#REF!</definedName>
    <definedName name="BExD25DU4ZMU9XFJZTH3WMVIKAK6" hidden="1">#REF!</definedName>
    <definedName name="BExD2CFHIRMBKN5KXE5QP4XXEWFS" localSheetId="19" hidden="1">#REF!</definedName>
    <definedName name="BExD2CFHIRMBKN5KXE5QP4XXEWFS" hidden="1">#REF!</definedName>
    <definedName name="BExD2DMHH1HWXQ9W0YYMDP8AAX8Q" localSheetId="19" hidden="1">#REF!</definedName>
    <definedName name="BExD2DMHH1HWXQ9W0YYMDP8AAX8Q" hidden="1">#REF!</definedName>
    <definedName name="BExD2HTPC7IWBAU6OSQ67MQA8BYZ" localSheetId="19" hidden="1">#REF!</definedName>
    <definedName name="BExD2HTPC7IWBAU6OSQ67MQA8BYZ" hidden="1">#REF!</definedName>
    <definedName name="BExD2I9RDS4BGCN1GXO7T9OCTVFP" localSheetId="19" hidden="1">#REF!</definedName>
    <definedName name="BExD2I9RDS4BGCN1GXO7T9OCTVFP" hidden="1">#REF!</definedName>
    <definedName name="BExD2O9JP64FF7WFAC5CXN0SJ91I" localSheetId="19" hidden="1">#REF!</definedName>
    <definedName name="BExD2O9JP64FF7WFAC5CXN0SJ91I" hidden="1">#REF!</definedName>
    <definedName name="BExD363H2VGFIQUCE6LS4AC5J0ZT" localSheetId="19" hidden="1">#REF!</definedName>
    <definedName name="BExD363H2VGFIQUCE6LS4AC5J0ZT" hidden="1">#REF!</definedName>
    <definedName name="BExD3A588E939V61P1XEW0FI5Q0S" localSheetId="19" hidden="1">#REF!</definedName>
    <definedName name="BExD3A588E939V61P1XEW0FI5Q0S" hidden="1">#REF!</definedName>
    <definedName name="BExD3AW300FSO6AAXTER82E4G06O" localSheetId="19" hidden="1">#REF!</definedName>
    <definedName name="BExD3AW300FSO6AAXTER82E4G06O" hidden="1">#REF!</definedName>
    <definedName name="BExD3CJJDKVR9M18XI3WDZH80WL6" localSheetId="19" hidden="1">#REF!</definedName>
    <definedName name="BExD3CJJDKVR9M18XI3WDZH80WL6" hidden="1">#REF!</definedName>
    <definedName name="BExD3ESD9WYJIB3TRDPJ1CKXRAVL" localSheetId="19" hidden="1">#REF!</definedName>
    <definedName name="BExD3ESD9WYJIB3TRDPJ1CKXRAVL" hidden="1">#REF!</definedName>
    <definedName name="BExD3F368X5S25MWSUNIV57RDB57" localSheetId="19" hidden="1">#REF!</definedName>
    <definedName name="BExD3F368X5S25MWSUNIV57RDB57" hidden="1">#REF!</definedName>
    <definedName name="BExD3IJ5IT335SOSNV9L85WKAOSI" localSheetId="19" hidden="1">#REF!</definedName>
    <definedName name="BExD3IJ5IT335SOSNV9L85WKAOSI" hidden="1">#REF!</definedName>
    <definedName name="BExD3KBVUY57GMMQTOFEU6S6G1AY" localSheetId="19" hidden="1">#REF!</definedName>
    <definedName name="BExD3KBVUY57GMMQTOFEU6S6G1AY" hidden="1">#REF!</definedName>
    <definedName name="BExD3NMR7AW2Z6V8SC79VQR37NA6" localSheetId="19" hidden="1">#REF!</definedName>
    <definedName name="BExD3NMR7AW2Z6V8SC79VQR37NA6" hidden="1">#REF!</definedName>
    <definedName name="BExD3QXA2UQ2W4N7NYLUEOG40BZB" localSheetId="19" hidden="1">#REF!</definedName>
    <definedName name="BExD3QXA2UQ2W4N7NYLUEOG40BZB" hidden="1">#REF!</definedName>
    <definedName name="BExD3U2N041TEJ7GCN005UTPHNXY" localSheetId="19" hidden="1">#REF!</definedName>
    <definedName name="BExD3U2N041TEJ7GCN005UTPHNXY" hidden="1">#REF!</definedName>
    <definedName name="BExD3ZGUHLSCF22XMCGLGJ6SWTEA" localSheetId="19" hidden="1">#REF!</definedName>
    <definedName name="BExD3ZGUHLSCF22XMCGLGJ6SWTEA" hidden="1">#REF!</definedName>
    <definedName name="BExD40O0CFTNJFOFMMM1KH0P7BUI" localSheetId="19" hidden="1">#REF!</definedName>
    <definedName name="BExD40O0CFTNJFOFMMM1KH0P7BUI" hidden="1">#REF!</definedName>
    <definedName name="BExD42M7FXJ8KK8AK9LDV75Z0U92" localSheetId="19" hidden="1">#REF!</definedName>
    <definedName name="BExD42M7FXJ8KK8AK9LDV75Z0U92" hidden="1">#REF!</definedName>
    <definedName name="BExD4440VK5VJ036LP729F6A0YGC" localSheetId="19" hidden="1">'[38]10.08.4 -2008 Capital'!#REF!</definedName>
    <definedName name="BExD4440VK5VJ036LP729F6A0YGC" hidden="1">'[38]10.08.4 -2008 Capital'!#REF!</definedName>
    <definedName name="BExD4BLRYNKM0GO3B3KP6590EN75" localSheetId="14" hidden="1">#REF!</definedName>
    <definedName name="BExD4BLRYNKM0GO3B3KP6590EN75" localSheetId="15" hidden="1">#REF!</definedName>
    <definedName name="BExD4BLRYNKM0GO3B3KP6590EN75" localSheetId="16" hidden="1">#REF!</definedName>
    <definedName name="BExD4BLRYNKM0GO3B3KP6590EN75" localSheetId="19" hidden="1">#REF!</definedName>
    <definedName name="BExD4BLRYNKM0GO3B3KP6590EN75" hidden="1">#REF!</definedName>
    <definedName name="BExD4BR9HJ3MWWZ5KLVZWX9FJAUS" localSheetId="16" hidden="1">#REF!</definedName>
    <definedName name="BExD4BR9HJ3MWWZ5KLVZWX9FJAUS" localSheetId="19" hidden="1">#REF!</definedName>
    <definedName name="BExD4BR9HJ3MWWZ5KLVZWX9FJAUS" hidden="1">#REF!</definedName>
    <definedName name="BExD4CYDIFKUQ00ORL8MH1G8AEOH" localSheetId="16" hidden="1">#REF!</definedName>
    <definedName name="BExD4CYDIFKUQ00ORL8MH1G8AEOH" localSheetId="19" hidden="1">#REF!</definedName>
    <definedName name="BExD4CYDIFKUQ00ORL8MH1G8AEOH" hidden="1">#REF!</definedName>
    <definedName name="BExD4F1WTKT3H0N9MF4H1LX7MBSY" localSheetId="19" hidden="1">#REF!</definedName>
    <definedName name="BExD4F1WTKT3H0N9MF4H1LX7MBSY" hidden="1">#REF!</definedName>
    <definedName name="BExD4H5GQWXBS6LUL3TSP36DVO38" localSheetId="19" hidden="1">#REF!</definedName>
    <definedName name="BExD4H5GQWXBS6LUL3TSP36DVO38" hidden="1">#REF!</definedName>
    <definedName name="BExD4JJSS3QDBLABCJCHD45SRNPI" localSheetId="19" hidden="1">#REF!</definedName>
    <definedName name="BExD4JJSS3QDBLABCJCHD45SRNPI" hidden="1">#REF!</definedName>
    <definedName name="BExD4R1I0MKF033I5LPUYIMTZ6E8" localSheetId="19" hidden="1">#REF!</definedName>
    <definedName name="BExD4R1I0MKF033I5LPUYIMTZ6E8" hidden="1">#REF!</definedName>
    <definedName name="BExD4ZQEW7F25SBOT6GFHWYONPD2" localSheetId="19" hidden="1">'[38]10.08.2 - 2008 Expense'!#REF!</definedName>
    <definedName name="BExD4ZQEW7F25SBOT6GFHWYONPD2" hidden="1">'[38]10.08.2 - 2008 Expense'!#REF!</definedName>
    <definedName name="BExD50MT3M6XZLNUP9JL93EG6D9R" localSheetId="14" hidden="1">#REF!</definedName>
    <definedName name="BExD50MT3M6XZLNUP9JL93EG6D9R" localSheetId="15" hidden="1">#REF!</definedName>
    <definedName name="BExD50MT3M6XZLNUP9JL93EG6D9R" localSheetId="16" hidden="1">#REF!</definedName>
    <definedName name="BExD50MT3M6XZLNUP9JL93EG6D9R" localSheetId="19" hidden="1">#REF!</definedName>
    <definedName name="BExD50MT3M6XZLNUP9JL93EG6D9R" hidden="1">#REF!</definedName>
    <definedName name="BExD58FB2E94KZRKVS2HR2X2RPON" localSheetId="16" hidden="1">#REF!</definedName>
    <definedName name="BExD58FB2E94KZRKVS2HR2X2RPON" localSheetId="19" hidden="1">#REF!</definedName>
    <definedName name="BExD58FB2E94KZRKVS2HR2X2RPON" hidden="1">#REF!</definedName>
    <definedName name="BExD5EV7KDSVF1CJT38M4IBPFLPY" localSheetId="16" hidden="1">#REF!</definedName>
    <definedName name="BExD5EV7KDSVF1CJT38M4IBPFLPY" localSheetId="19" hidden="1">#REF!</definedName>
    <definedName name="BExD5EV7KDSVF1CJT38M4IBPFLPY" hidden="1">#REF!</definedName>
    <definedName name="BExD5FRK547OESJRYAW574DZEZ7J" localSheetId="19" hidden="1">#REF!</definedName>
    <definedName name="BExD5FRK547OESJRYAW574DZEZ7J" hidden="1">#REF!</definedName>
    <definedName name="BExD5I5X2YA2YNCTCDSMEL4CWF4N" localSheetId="19" hidden="1">#REF!</definedName>
    <definedName name="BExD5I5X2YA2YNCTCDSMEL4CWF4N" hidden="1">#REF!</definedName>
    <definedName name="BExD5LGLIOQ0OLD32Y77OQHSFA20" localSheetId="19" hidden="1">#REF!</definedName>
    <definedName name="BExD5LGLIOQ0OLD32Y77OQHSFA20" hidden="1">#REF!</definedName>
    <definedName name="BExD5QUSRFJWRQ1ZM50WYLCF74DF" localSheetId="19" hidden="1">#REF!</definedName>
    <definedName name="BExD5QUSRFJWRQ1ZM50WYLCF74DF" hidden="1">#REF!</definedName>
    <definedName name="BExD5SSUIF6AJQHBHK8PNMFBPRYB" localSheetId="19" hidden="1">#REF!</definedName>
    <definedName name="BExD5SSUIF6AJQHBHK8PNMFBPRYB" hidden="1">#REF!</definedName>
    <definedName name="BExD623C9LRX18BE0W2V6SZLQUXX" localSheetId="19" hidden="1">#REF!</definedName>
    <definedName name="BExD623C9LRX18BE0W2V6SZLQUXX" hidden="1">#REF!</definedName>
    <definedName name="BExD6CQA7UMJBXV7AIFAIHUF2ICX" localSheetId="19" hidden="1">#REF!</definedName>
    <definedName name="BExD6CQA7UMJBXV7AIFAIHUF2ICX" hidden="1">#REF!</definedName>
    <definedName name="BExD6FKVK8WJWNYPVENR7Q8Q30PK" localSheetId="19" hidden="1">#REF!</definedName>
    <definedName name="BExD6FKVK8WJWNYPVENR7Q8Q30PK" hidden="1">#REF!</definedName>
    <definedName name="BExD6GMP0LK8WKVWMIT1NNH8CHLF" localSheetId="19" hidden="1">#REF!</definedName>
    <definedName name="BExD6GMP0LK8WKVWMIT1NNH8CHLF" hidden="1">#REF!</definedName>
    <definedName name="BExD6H2TE0WWAUIWVSSCLPZ6B88N" localSheetId="19" hidden="1">#REF!</definedName>
    <definedName name="BExD6H2TE0WWAUIWVSSCLPZ6B88N" hidden="1">#REF!</definedName>
    <definedName name="BExD6IKQHK6BAYQM4S5BEVL56Z8X" localSheetId="19" hidden="1">#REF!</definedName>
    <definedName name="BExD6IKQHK6BAYQM4S5BEVL56Z8X" hidden="1">#REF!</definedName>
    <definedName name="BExD71LTOE015TV5RSAHM8NT8GVW" localSheetId="19" hidden="1">#REF!</definedName>
    <definedName name="BExD71LTOE015TV5RSAHM8NT8GVW" hidden="1">#REF!</definedName>
    <definedName name="BExD73USXVADC7EHGHVTQNCT06ZA" localSheetId="19" hidden="1">#REF!</definedName>
    <definedName name="BExD73USXVADC7EHGHVTQNCT06ZA" hidden="1">#REF!</definedName>
    <definedName name="BExD7BHVRBZ6463MAK6KNCZQQAZL" localSheetId="19" hidden="1">#REF!</definedName>
    <definedName name="BExD7BHVRBZ6463MAK6KNCZQQAZL" hidden="1">#REF!</definedName>
    <definedName name="BExD7GAI1HJ9MD4ZU26MDRDS4E2B" localSheetId="19" hidden="1">#REF!</definedName>
    <definedName name="BExD7GAI1HJ9MD4ZU26MDRDS4E2B" hidden="1">#REF!</definedName>
    <definedName name="BExD7GAIGULTB3YHM1OS9RBQOTEC" localSheetId="19" hidden="1">#REF!</definedName>
    <definedName name="BExD7GAIGULTB3YHM1OS9RBQOTEC" hidden="1">#REF!</definedName>
    <definedName name="BExD7IE1DHIS52UFDCTSKPJQNRD5" localSheetId="19" hidden="1">#REF!</definedName>
    <definedName name="BExD7IE1DHIS52UFDCTSKPJQNRD5" hidden="1">#REF!</definedName>
    <definedName name="BExD7IUBGUWHYC9UNZ1IY5XFYKQN" localSheetId="19" hidden="1">#REF!</definedName>
    <definedName name="BExD7IUBGUWHYC9UNZ1IY5XFYKQN" hidden="1">#REF!</definedName>
    <definedName name="BExD7JQOJ35HGL8U2OCEI2P2JT7I" localSheetId="19" hidden="1">#REF!</definedName>
    <definedName name="BExD7JQOJ35HGL8U2OCEI2P2JT7I" hidden="1">#REF!</definedName>
    <definedName name="BExD7KSDKNDNH95NDT3S7GM3MUU2" localSheetId="19" hidden="1">#REF!</definedName>
    <definedName name="BExD7KSDKNDNH95NDT3S7GM3MUU2" hidden="1">#REF!</definedName>
    <definedName name="BExD7N6P5ERNDX7C0TYFQOP08EQQ" localSheetId="19" hidden="1">#REF!</definedName>
    <definedName name="BExD7N6P5ERNDX7C0TYFQOP08EQQ" hidden="1">#REF!</definedName>
    <definedName name="BExD87EVTIE7IAHSBAD70MNJUTK8" localSheetId="19" hidden="1">#REF!</definedName>
    <definedName name="BExD87EVTIE7IAHSBAD70MNJUTK8" hidden="1">#REF!</definedName>
    <definedName name="BExD8H5O087KQVWIVPUUID5VMGMS" localSheetId="19" hidden="1">#REF!</definedName>
    <definedName name="BExD8H5O087KQVWIVPUUID5VMGMS" hidden="1">#REF!</definedName>
    <definedName name="BExD8OCLZMFN5K3VZYI4Q4ITVKUA" localSheetId="19" hidden="1">#REF!</definedName>
    <definedName name="BExD8OCLZMFN5K3VZYI4Q4ITVKUA" hidden="1">#REF!</definedName>
    <definedName name="BExD8UY01RLLF0MGPUZLE6EXR9AC" localSheetId="19" hidden="1">#REF!</definedName>
    <definedName name="BExD8UY01RLLF0MGPUZLE6EXR9AC" hidden="1">#REF!</definedName>
    <definedName name="BExD90MZC8CFEENJPJGQXGWBZL33" localSheetId="19" hidden="1">#REF!</definedName>
    <definedName name="BExD90MZC8CFEENJPJGQXGWBZL33" hidden="1">#REF!</definedName>
    <definedName name="BExD93C1R6LC0631ECHVFYH0R0PD" localSheetId="19" hidden="1">#REF!</definedName>
    <definedName name="BExD93C1R6LC0631ECHVFYH0R0PD" hidden="1">#REF!</definedName>
    <definedName name="BExD97TXIO0COVNN4OH3DEJ33YLM" localSheetId="19" hidden="1">#REF!</definedName>
    <definedName name="BExD97TXIO0COVNN4OH3DEJ33YLM" hidden="1">#REF!</definedName>
    <definedName name="BExD99RZ1RFIMK6O1ZHSPJ68X9Y5" localSheetId="19" hidden="1">#REF!</definedName>
    <definedName name="BExD99RZ1RFIMK6O1ZHSPJ68X9Y5" hidden="1">#REF!</definedName>
    <definedName name="BExD9C0ZMLX1WR2QR1YPWX15IH8W" localSheetId="19" hidden="1">'[38]10.08.3 - 2008 Expense - TDBU'!#REF!</definedName>
    <definedName name="BExD9C0ZMLX1WR2QR1YPWX15IH8W" hidden="1">'[38]10.08.3 - 2008 Expense - TDBU'!#REF!</definedName>
    <definedName name="BExD9L0ID3VSOU609GKWYTA5BFMA" localSheetId="14" hidden="1">#REF!</definedName>
    <definedName name="BExD9L0ID3VSOU609GKWYTA5BFMA" localSheetId="15" hidden="1">#REF!</definedName>
    <definedName name="BExD9L0ID3VSOU609GKWYTA5BFMA" localSheetId="16" hidden="1">#REF!</definedName>
    <definedName name="BExD9L0ID3VSOU609GKWYTA5BFMA" localSheetId="19" hidden="1">#REF!</definedName>
    <definedName name="BExD9L0ID3VSOU609GKWYTA5BFMA" hidden="1">#REF!</definedName>
    <definedName name="BExD9M7SEMG0JK2FUTTZXWIEBTKB" localSheetId="16" hidden="1">#REF!</definedName>
    <definedName name="BExD9M7SEMG0JK2FUTTZXWIEBTKB" localSheetId="19" hidden="1">#REF!</definedName>
    <definedName name="BExD9M7SEMG0JK2FUTTZXWIEBTKB" hidden="1">#REF!</definedName>
    <definedName name="BExD9MNYBYB1AICQL5165G472IE2" localSheetId="16" hidden="1">#REF!</definedName>
    <definedName name="BExD9MNYBYB1AICQL5165G472IE2" localSheetId="19" hidden="1">#REF!</definedName>
    <definedName name="BExD9MNYBYB1AICQL5165G472IE2" hidden="1">#REF!</definedName>
    <definedName name="BExD9PNSYT7GASEGUVL48MUQ02WO" localSheetId="19" hidden="1">#REF!</definedName>
    <definedName name="BExD9PNSYT7GASEGUVL48MUQ02WO" hidden="1">#REF!</definedName>
    <definedName name="BExD9TK2MIWFH5SKUYU9ZKF4NPHQ" localSheetId="19" hidden="1">#REF!</definedName>
    <definedName name="BExD9TK2MIWFH5SKUYU9ZKF4NPHQ" hidden="1">#REF!</definedName>
    <definedName name="BExDA2JS3GCJ8M5I4XF4ZMYZ4BXT" localSheetId="19" hidden="1">#REF!</definedName>
    <definedName name="BExDA2JS3GCJ8M5I4XF4ZMYZ4BXT" hidden="1">#REF!</definedName>
    <definedName name="BExDA6LD9061UULVKUUI4QP8SK13" localSheetId="19" hidden="1">#REF!</definedName>
    <definedName name="BExDA6LD9061UULVKUUI4QP8SK13" hidden="1">#REF!</definedName>
    <definedName name="BExDA7SHULP5GGGVSZFK3FMN833U" localSheetId="19" hidden="1">#REF!</definedName>
    <definedName name="BExDA7SHULP5GGGVSZFK3FMN833U" hidden="1">#REF!</definedName>
    <definedName name="BExDABE0KA94036RVJKMXL7GB30N" localSheetId="19" hidden="1">#REF!</definedName>
    <definedName name="BExDABE0KA94036RVJKMXL7GB30N" hidden="1">#REF!</definedName>
    <definedName name="BExDAGMVMNLQ6QXASB9R6D8DIT12" localSheetId="19" hidden="1">#REF!</definedName>
    <definedName name="BExDAGMVMNLQ6QXASB9R6D8DIT12" hidden="1">#REF!</definedName>
    <definedName name="BExDAYBHU9ADLXI8VRC7F608RVGM" localSheetId="19" hidden="1">#REF!</definedName>
    <definedName name="BExDAYBHU9ADLXI8VRC7F608RVGM" hidden="1">#REF!</definedName>
    <definedName name="BExDBDR1XR0FV0CYUCB2OJ7CJCZU" localSheetId="19" hidden="1">#REF!</definedName>
    <definedName name="BExDBDR1XR0FV0CYUCB2OJ7CJCZU" hidden="1">#REF!</definedName>
    <definedName name="BExDBO8QK1FUFVLO07NZ0BZ9BKA0" localSheetId="19" hidden="1">#REF!</definedName>
    <definedName name="BExDBO8QK1FUFVLO07NZ0BZ9BKA0" hidden="1">#REF!</definedName>
    <definedName name="BExDBRJDI7W1042W6UYNA12BZGBJ" localSheetId="19" hidden="1">#REF!</definedName>
    <definedName name="BExDBRJDI7W1042W6UYNA12BZGBJ" hidden="1">#REF!</definedName>
    <definedName name="BExDBY4R8EXLUENLCDFC4YRRVQPS" localSheetId="19" hidden="1">#REF!</definedName>
    <definedName name="BExDBY4R8EXLUENLCDFC4YRRVQPS" hidden="1">#REF!</definedName>
    <definedName name="BExDC7F818VN0S18ID7XRCRVYPJ4" localSheetId="19" hidden="1">#REF!</definedName>
    <definedName name="BExDC7F818VN0S18ID7XRCRVYPJ4" hidden="1">#REF!</definedName>
    <definedName name="BExDCL7K96PC9VZYB70ZW3QPVIJE" localSheetId="19" hidden="1">#REF!</definedName>
    <definedName name="BExDCL7K96PC9VZYB70ZW3QPVIJE" hidden="1">#REF!</definedName>
    <definedName name="BExDCP3UZ3C2O4C1F7KMU0Z9U32N" localSheetId="19" hidden="1">#REF!</definedName>
    <definedName name="BExDCP3UZ3C2O4C1F7KMU0Z9U32N" hidden="1">#REF!</definedName>
    <definedName name="BExEOBX3WECDMYCV9RLN49APTXMM" localSheetId="19" hidden="1">#REF!</definedName>
    <definedName name="BExEOBX3WECDMYCV9RLN49APTXMM" hidden="1">#REF!</definedName>
    <definedName name="BExEOKLZRPEMPJO02S4EGHZXAWN3" localSheetId="19" hidden="1">#REF!</definedName>
    <definedName name="BExEOKLZRPEMPJO02S4EGHZXAWN3" hidden="1">#REF!</definedName>
    <definedName name="BExEP4E4F36662JDI0TOD85OP7X9" localSheetId="19" hidden="1">#REF!</definedName>
    <definedName name="BExEP4E4F36662JDI0TOD85OP7X9" hidden="1">#REF!</definedName>
    <definedName name="BExEPN9VIYI0FVL0HLZQXJFO6TT0" localSheetId="19" hidden="1">#REF!</definedName>
    <definedName name="BExEPN9VIYI0FVL0HLZQXJFO6TT0" hidden="1">#REF!</definedName>
    <definedName name="BExEPYT6VDSMR8MU2341Q5GM2Y9V" localSheetId="19" hidden="1">#REF!</definedName>
    <definedName name="BExEPYT6VDSMR8MU2341Q5GM2Y9V" hidden="1">#REF!</definedName>
    <definedName name="BExEQ2ENYLMY8K1796XBB31CJHNN" localSheetId="19" hidden="1">#REF!</definedName>
    <definedName name="BExEQ2ENYLMY8K1796XBB31CJHNN" hidden="1">#REF!</definedName>
    <definedName name="BExEQ2PFE4N40LEPGDPS90WDL6BN" localSheetId="19" hidden="1">#REF!</definedName>
    <definedName name="BExEQ2PFE4N40LEPGDPS90WDL6BN" hidden="1">#REF!</definedName>
    <definedName name="BExEQ2PFURT24NQYGYVE8NKX1EGA" localSheetId="19" hidden="1">#REF!</definedName>
    <definedName name="BExEQ2PFURT24NQYGYVE8NKX1EGA" hidden="1">#REF!</definedName>
    <definedName name="BExEQB8ZWXO6IIGOEPWTLOJGE2NR" localSheetId="19" hidden="1">#REF!</definedName>
    <definedName name="BExEQB8ZWXO6IIGOEPWTLOJGE2NR" hidden="1">#REF!</definedName>
    <definedName name="BExEQBZX0EL6LIKPY01197ACK65H" localSheetId="19" hidden="1">#REF!</definedName>
    <definedName name="BExEQBZX0EL6LIKPY01197ACK65H" hidden="1">#REF!</definedName>
    <definedName name="BExEQDXZALJLD4OBF74IKZBR13SR" localSheetId="19" hidden="1">#REF!</definedName>
    <definedName name="BExEQDXZALJLD4OBF74IKZBR13SR" hidden="1">#REF!</definedName>
    <definedName name="BExEQE3GC6W9CGTSGR7X502XUI5L" localSheetId="19" hidden="1">#REF!</definedName>
    <definedName name="BExEQE3GC6W9CGTSGR7X502XUI5L" hidden="1">#REF!</definedName>
    <definedName name="BExEQFLE2RPWGMWQAI4JMKUEFRPT" localSheetId="19" hidden="1">#REF!</definedName>
    <definedName name="BExEQFLE2RPWGMWQAI4JMKUEFRPT" hidden="1">#REF!</definedName>
    <definedName name="BExEQK38GYRBUH7XFJUH04UET47Q" localSheetId="19" hidden="1">#REF!</definedName>
    <definedName name="BExEQK38GYRBUH7XFJUH04UET47Q" hidden="1">#REF!</definedName>
    <definedName name="BExEQKE1O2TX2P7ZGJMB9VWDXWO4" localSheetId="19" hidden="1">#REF!</definedName>
    <definedName name="BExEQKE1O2TX2P7ZGJMB9VWDXWO4" hidden="1">#REF!</definedName>
    <definedName name="BExEQTZAP8R69U31W4LKGTKKGKQE" localSheetId="19" hidden="1">#REF!</definedName>
    <definedName name="BExEQTZAP8R69U31W4LKGTKKGKQE" hidden="1">#REF!</definedName>
    <definedName name="BExEQU4RR1SZE5XJ90D8ZQ8KRZFG" localSheetId="19" hidden="1">#REF!</definedName>
    <definedName name="BExEQU4RR1SZE5XJ90D8ZQ8KRZFG" hidden="1">#REF!</definedName>
    <definedName name="BExER2O72H1F9WV6S1J04C15PXX7" localSheetId="19" hidden="1">#REF!</definedName>
    <definedName name="BExER2O72H1F9WV6S1J04C15PXX7" hidden="1">#REF!</definedName>
    <definedName name="BExERFEPB2LP5DWH3DNZJF8R0AK9" localSheetId="19" hidden="1">#REF!</definedName>
    <definedName name="BExERFEPB2LP5DWH3DNZJF8R0AK9" hidden="1">#REF!</definedName>
    <definedName name="BExERRUIKIOATPZ9U4HQ0V52RJAU" localSheetId="19" hidden="1">#REF!</definedName>
    <definedName name="BExERRUIKIOATPZ9U4HQ0V52RJAU" hidden="1">#REF!</definedName>
    <definedName name="BExERSANFNM1O7T65PC5MJ301YET" localSheetId="19" hidden="1">#REF!</definedName>
    <definedName name="BExERSANFNM1O7T65PC5MJ301YET" hidden="1">#REF!</definedName>
    <definedName name="BExERTNAJZ59DKI5JCRPJKMWW067" localSheetId="19" hidden="1">#REF!</definedName>
    <definedName name="BExERTNAJZ59DKI5JCRPJKMWW067" hidden="1">#REF!</definedName>
    <definedName name="BExERWCEBKQRYWRQLYJ4UCMMKTHG" localSheetId="19" hidden="1">[39]Table!#REF!</definedName>
    <definedName name="BExERWCEBKQRYWRQLYJ4UCMMKTHG" hidden="1">[39]Table!#REF!</definedName>
    <definedName name="BExES1QK2RJM42AWEVW7RIMFEW0F" localSheetId="14" hidden="1">#REF!</definedName>
    <definedName name="BExES1QK2RJM42AWEVW7RIMFEW0F" localSheetId="15" hidden="1">#REF!</definedName>
    <definedName name="BExES1QK2RJM42AWEVW7RIMFEW0F" localSheetId="16" hidden="1">#REF!</definedName>
    <definedName name="BExES1QK2RJM42AWEVW7RIMFEW0F" localSheetId="19" hidden="1">#REF!</definedName>
    <definedName name="BExES1QK2RJM42AWEVW7RIMFEW0F" hidden="1">#REF!</definedName>
    <definedName name="BExES44RHHDL3V7FLV6M20834WF1" localSheetId="16" hidden="1">#REF!</definedName>
    <definedName name="BExES44RHHDL3V7FLV6M20834WF1" localSheetId="19" hidden="1">#REF!</definedName>
    <definedName name="BExES44RHHDL3V7FLV6M20834WF1" hidden="1">#REF!</definedName>
    <definedName name="BExES4A7VE2X3RYYTVRLKZD4I7WU" localSheetId="16" hidden="1">#REF!</definedName>
    <definedName name="BExES4A7VE2X3RYYTVRLKZD4I7WU" localSheetId="19" hidden="1">#REF!</definedName>
    <definedName name="BExES4A7VE2X3RYYTVRLKZD4I7WU" hidden="1">#REF!</definedName>
    <definedName name="BExES6ZC8R7PHJ21OVJFLIR7DY30" localSheetId="19" hidden="1">#REF!</definedName>
    <definedName name="BExES6ZC8R7PHJ21OVJFLIR7DY30" hidden="1">#REF!</definedName>
    <definedName name="BExESEH25TCNEETUCSRK8DYHROYY" localSheetId="19" hidden="1">#REF!</definedName>
    <definedName name="BExESEH25TCNEETUCSRK8DYHROYY" hidden="1">#REF!</definedName>
    <definedName name="BExESMKD95A649M0WRSG6CXXP326" localSheetId="19" hidden="1">#REF!</definedName>
    <definedName name="BExESMKD95A649M0WRSG6CXXP326" hidden="1">#REF!</definedName>
    <definedName name="BExESR27ZXJG5VMY4PR9D940VS7T" localSheetId="19" hidden="1">#REF!</definedName>
    <definedName name="BExESR27ZXJG5VMY4PR9D940VS7T" hidden="1">#REF!</definedName>
    <definedName name="BExESZ03KXL8DQ2591HLR56ZML94" localSheetId="19" hidden="1">#REF!</definedName>
    <definedName name="BExESZ03KXL8DQ2591HLR56ZML94" hidden="1">#REF!</definedName>
    <definedName name="BExESZAW5N443NRTKIP59OEI1CR6" localSheetId="19" hidden="1">#REF!</definedName>
    <definedName name="BExESZAW5N443NRTKIP59OEI1CR6" hidden="1">#REF!</definedName>
    <definedName name="BExET3HXQ60A4O2OLKX8QNXRI6LQ" localSheetId="19" hidden="1">#REF!</definedName>
    <definedName name="BExET3HXQ60A4O2OLKX8QNXRI6LQ" hidden="1">#REF!</definedName>
    <definedName name="BExET3SPX08PMIJ6NN1UTG16Y6O2" localSheetId="19" hidden="1">#REF!</definedName>
    <definedName name="BExET3SPX08PMIJ6NN1UTG16Y6O2" hidden="1">#REF!</definedName>
    <definedName name="BExETA3B1FCIOA80H94K90FWXQKE" localSheetId="19" hidden="1">#REF!</definedName>
    <definedName name="BExETA3B1FCIOA80H94K90FWXQKE" hidden="1">#REF!</definedName>
    <definedName name="BExETAZOYT4CJIT8RRKC9F2HJG1D" localSheetId="19" hidden="1">#REF!</definedName>
    <definedName name="BExETAZOYT4CJIT8RRKC9F2HJG1D" hidden="1">#REF!</definedName>
    <definedName name="BExETDZJZBM897WV9SJ54R7KH7MG" localSheetId="19" hidden="1">#REF!</definedName>
    <definedName name="BExETDZJZBM897WV9SJ54R7KH7MG" hidden="1">#REF!</definedName>
    <definedName name="BExETDZKK8E89XXW4SLL9AY29YEZ" localSheetId="19" hidden="1">#REF!</definedName>
    <definedName name="BExETDZKK8E89XXW4SLL9AY29YEZ" hidden="1">#REF!</definedName>
    <definedName name="BExETF6QD5A9GEINE1KZRRC2LXWM" localSheetId="19" hidden="1">#REF!</definedName>
    <definedName name="BExETF6QD5A9GEINE1KZRRC2LXWM" hidden="1">#REF!</definedName>
    <definedName name="BExETQ9XRXLUACN82805SPSPNKHI" localSheetId="19" hidden="1">#REF!</definedName>
    <definedName name="BExETQ9XRXLUACN82805SPSPNKHI" hidden="1">#REF!</definedName>
    <definedName name="BExETR0YRMOR63E6DHLEHV9QVVON" localSheetId="19" hidden="1">#REF!</definedName>
    <definedName name="BExETR0YRMOR63E6DHLEHV9QVVON" hidden="1">#REF!</definedName>
    <definedName name="BExETU66ISCWFE06X0BBMH4H32HS" localSheetId="19" hidden="1">#REF!</definedName>
    <definedName name="BExETU66ISCWFE06X0BBMH4H32HS" hidden="1">#REF!</definedName>
    <definedName name="BExETVTGY38YXYYF7N73OYN6FYY3" localSheetId="19" hidden="1">#REF!</definedName>
    <definedName name="BExETVTGY38YXYYF7N73OYN6FYY3" hidden="1">#REF!</definedName>
    <definedName name="BExEUNE4T242Y59C6MS28MXEUGCP" localSheetId="19" hidden="1">#REF!</definedName>
    <definedName name="BExEUNE4T242Y59C6MS28MXEUGCP" hidden="1">#REF!</definedName>
    <definedName name="BExEV1H9B1FRT8LPRHN7ODLAOI8T" localSheetId="19" hidden="1">'[38]10.08.4 -2008 Capital'!#REF!</definedName>
    <definedName name="BExEV1H9B1FRT8LPRHN7ODLAOI8T" hidden="1">'[38]10.08.4 -2008 Capital'!#REF!</definedName>
    <definedName name="BExEV2TP7NA3ZR6RJGH5ER370OUM" localSheetId="14" hidden="1">#REF!</definedName>
    <definedName name="BExEV2TP7NA3ZR6RJGH5ER370OUM" localSheetId="15" hidden="1">#REF!</definedName>
    <definedName name="BExEV2TP7NA3ZR6RJGH5ER370OUM" localSheetId="16" hidden="1">#REF!</definedName>
    <definedName name="BExEV2TP7NA3ZR6RJGH5ER370OUM" localSheetId="19" hidden="1">#REF!</definedName>
    <definedName name="BExEV2TP7NA3ZR6RJGH5ER370OUM" hidden="1">#REF!</definedName>
    <definedName name="BExEV69USLNYO2QRJRC0J92XUF00" localSheetId="16" hidden="1">#REF!</definedName>
    <definedName name="BExEV69USLNYO2QRJRC0J92XUF00" localSheetId="19" hidden="1">#REF!</definedName>
    <definedName name="BExEV69USLNYO2QRJRC0J92XUF00" hidden="1">#REF!</definedName>
    <definedName name="BExEV6KNTQOCFD7GV726XQEVQ7R6" localSheetId="16" hidden="1">#REF!</definedName>
    <definedName name="BExEV6KNTQOCFD7GV726XQEVQ7R6" localSheetId="19" hidden="1">#REF!</definedName>
    <definedName name="BExEV6KNTQOCFD7GV726XQEVQ7R6" hidden="1">#REF!</definedName>
    <definedName name="BExEV6VGM4POO9QT9KH3QA3VYCWM" localSheetId="19" hidden="1">#REF!</definedName>
    <definedName name="BExEV6VGM4POO9QT9KH3QA3VYCWM" hidden="1">#REF!</definedName>
    <definedName name="BExEV7MBFVP1I7TO351C06LT5IXR" localSheetId="19" hidden="1">#REF!</definedName>
    <definedName name="BExEV7MBFVP1I7TO351C06LT5IXR" hidden="1">#REF!</definedName>
    <definedName name="BExEVET98G3FU6QBF9LHYWSAMV0O" localSheetId="19" hidden="1">#REF!</definedName>
    <definedName name="BExEVET98G3FU6QBF9LHYWSAMV0O" hidden="1">#REF!</definedName>
    <definedName name="BExEVNCUT0PDUYNJH7G6BSEWZOT2" localSheetId="19" hidden="1">#REF!</definedName>
    <definedName name="BExEVNCUT0PDUYNJH7G6BSEWZOT2" hidden="1">#REF!</definedName>
    <definedName name="BExEVPGF4V5J0WQRZKUM8F9TTKZJ" localSheetId="19" hidden="1">#REF!</definedName>
    <definedName name="BExEVPGF4V5J0WQRZKUM8F9TTKZJ" hidden="1">#REF!</definedName>
    <definedName name="BExEVPWH8S9GER9M14SPIT6XZ8SG" localSheetId="19" hidden="1">#REF!</definedName>
    <definedName name="BExEVPWH8S9GER9M14SPIT6XZ8SG" hidden="1">#REF!</definedName>
    <definedName name="BExEVSLKRULT27602UIM13PGVL2R" localSheetId="19" hidden="1">#REF!</definedName>
    <definedName name="BExEVSLKRULT27602UIM13PGVL2R" hidden="1">#REF!</definedName>
    <definedName name="BExEVVLIEVWYRF2UUC1H0H5QU1CP" localSheetId="19" hidden="1">#REF!</definedName>
    <definedName name="BExEVVLIEVWYRF2UUC1H0H5QU1CP" hidden="1">#REF!</definedName>
    <definedName name="BExEVWCKO8T84GW9Z3X47915XKSH" localSheetId="19" hidden="1">#REF!</definedName>
    <definedName name="BExEVWCKO8T84GW9Z3X47915XKSH" hidden="1">#REF!</definedName>
    <definedName name="BExEVZSJWMZ5L2ZE7AZC57CXKW6T" localSheetId="19" hidden="1">#REF!</definedName>
    <definedName name="BExEVZSJWMZ5L2ZE7AZC57CXKW6T" hidden="1">#REF!</definedName>
    <definedName name="BExEW0JL1GFFCXMDGW54CI7Y8FZN" localSheetId="19" hidden="1">#REF!</definedName>
    <definedName name="BExEW0JL1GFFCXMDGW54CI7Y8FZN" hidden="1">#REF!</definedName>
    <definedName name="BExEW5SCJJRAF57MFJ81MB2U6K1N" localSheetId="19" hidden="1">'[38]10.08.4 -2008 Capital'!#REF!</definedName>
    <definedName name="BExEW5SCJJRAF57MFJ81MB2U6K1N" hidden="1">'[38]10.08.4 -2008 Capital'!#REF!</definedName>
    <definedName name="BExEW68M9WL8214QH9C7VCK7BN08" localSheetId="14" hidden="1">#REF!</definedName>
    <definedName name="BExEW68M9WL8214QH9C7VCK7BN08" localSheetId="15" hidden="1">#REF!</definedName>
    <definedName name="BExEW68M9WL8214QH9C7VCK7BN08" localSheetId="16" hidden="1">#REF!</definedName>
    <definedName name="BExEW68M9WL8214QH9C7VCK7BN08" localSheetId="19" hidden="1">#REF!</definedName>
    <definedName name="BExEW68M9WL8214QH9C7VCK7BN08" hidden="1">#REF!</definedName>
    <definedName name="BExEW8C5SY1NQL4BKYZVXQ6JPR0W" localSheetId="16" hidden="1">#REF!</definedName>
    <definedName name="BExEW8C5SY1NQL4BKYZVXQ6JPR0W" localSheetId="19" hidden="1">#REF!</definedName>
    <definedName name="BExEW8C5SY1NQL4BKYZVXQ6JPR0W" hidden="1">#REF!</definedName>
    <definedName name="BExEW8HFKH6F47KIHYBDRUEFZ2ZZ" localSheetId="16" hidden="1">#REF!</definedName>
    <definedName name="BExEW8HFKH6F47KIHYBDRUEFZ2ZZ" localSheetId="19" hidden="1">#REF!</definedName>
    <definedName name="BExEW8HFKH6F47KIHYBDRUEFZ2ZZ" hidden="1">#REF!</definedName>
    <definedName name="BExEWLO75K95C6IRKHXSP7VP81T4" localSheetId="19" hidden="1">#REF!</definedName>
    <definedName name="BExEWLO75K95C6IRKHXSP7VP81T4" hidden="1">#REF!</definedName>
    <definedName name="BExEWNBGQS1U2LW3W84T4LSJ9K00" localSheetId="19" hidden="1">#REF!</definedName>
    <definedName name="BExEWNBGQS1U2LW3W84T4LSJ9K00" hidden="1">#REF!</definedName>
    <definedName name="BExEWO7STL7HNZSTY8VQBPTX1WK6" localSheetId="19" hidden="1">#REF!</definedName>
    <definedName name="BExEWO7STL7HNZSTY8VQBPTX1WK6" hidden="1">#REF!</definedName>
    <definedName name="BExEWQ0M1N3KMKTDJ73H10QSG4W1" localSheetId="19" hidden="1">#REF!</definedName>
    <definedName name="BExEWQ0M1N3KMKTDJ73H10QSG4W1" hidden="1">#REF!</definedName>
    <definedName name="BExEWRTB911TBBZNA61Y44XXUP7N" localSheetId="19" hidden="1">#REF!</definedName>
    <definedName name="BExEWRTB911TBBZNA61Y44XXUP7N" hidden="1">#REF!</definedName>
    <definedName name="BExEWY3WYCWEMX9F15OWWUSC6ITZ" localSheetId="19" hidden="1">#REF!</definedName>
    <definedName name="BExEWY3WYCWEMX9F15OWWUSC6ITZ" hidden="1">#REF!</definedName>
    <definedName name="BExEX25M63XO5LQD9ZS2VHQ0U8SR" localSheetId="19" hidden="1">#REF!</definedName>
    <definedName name="BExEX25M63XO5LQD9ZS2VHQ0U8SR" hidden="1">#REF!</definedName>
    <definedName name="BExEX85F3OSW8NSCYGYPS9372Z1Q" localSheetId="19" hidden="1">#REF!</definedName>
    <definedName name="BExEX85F3OSW8NSCYGYPS9372Z1Q" hidden="1">#REF!</definedName>
    <definedName name="BExEX9HWY2G6928ZVVVQF77QCM2C" localSheetId="19" hidden="1">#REF!</definedName>
    <definedName name="BExEX9HWY2G6928ZVVVQF77QCM2C" hidden="1">#REF!</definedName>
    <definedName name="BExEXBQWAYKMVBRJRHB8PFCSYFVN" localSheetId="19" hidden="1">#REF!</definedName>
    <definedName name="BExEXBQWAYKMVBRJRHB8PFCSYFVN" hidden="1">#REF!</definedName>
    <definedName name="BExEXRBZ0DI9E2UFLLKYWGN66B61" localSheetId="19" hidden="1">#REF!</definedName>
    <definedName name="BExEXRBZ0DI9E2UFLLKYWGN66B61" hidden="1">#REF!</definedName>
    <definedName name="BExEY3GVGXSA8OTWWVC0OOM3N7EO" localSheetId="19" hidden="1">#REF!</definedName>
    <definedName name="BExEY3GVGXSA8OTWWVC0OOM3N7EO" hidden="1">#REF!</definedName>
    <definedName name="BExEYLG9FL9V1JPPNZ3FUDNSEJ4V" localSheetId="19" hidden="1">#REF!</definedName>
    <definedName name="BExEYLG9FL9V1JPPNZ3FUDNSEJ4V" hidden="1">#REF!</definedName>
    <definedName name="BExEYOW8C1B3OUUCIGEC7L8OOW1Z" localSheetId="19" hidden="1">#REF!</definedName>
    <definedName name="BExEYOW8C1B3OUUCIGEC7L8OOW1Z" hidden="1">#REF!</definedName>
    <definedName name="BExEYUQJXZT6N5HJH8ACJF6SRWEE" localSheetId="19" hidden="1">#REF!</definedName>
    <definedName name="BExEYUQJXZT6N5HJH8ACJF6SRWEE" hidden="1">#REF!</definedName>
    <definedName name="BExEZ1S6VZCG01ZPLBSS9Z1SBOJ2" localSheetId="19" hidden="1">#REF!</definedName>
    <definedName name="BExEZ1S6VZCG01ZPLBSS9Z1SBOJ2" hidden="1">#REF!</definedName>
    <definedName name="BExEZGBFNJR8DLPN0V11AU22L6WY" localSheetId="19" hidden="1">#REF!</definedName>
    <definedName name="BExEZGBFNJR8DLPN0V11AU22L6WY" hidden="1">#REF!</definedName>
    <definedName name="BExF02Y3V3QEPO2XLDSK47APK9XJ" localSheetId="19" hidden="1">#REF!</definedName>
    <definedName name="BExF02Y3V3QEPO2XLDSK47APK9XJ" hidden="1">#REF!</definedName>
    <definedName name="BExF09OS91RT7N7IW8JLMZ121ZP3" localSheetId="19" hidden="1">#REF!</definedName>
    <definedName name="BExF09OS91RT7N7IW8JLMZ121ZP3" hidden="1">#REF!</definedName>
    <definedName name="BExF0JFE12J96ZPQZ2WHQZ66M1PC" localSheetId="19" hidden="1">#REF!</definedName>
    <definedName name="BExF0JFE12J96ZPQZ2WHQZ66M1PC" hidden="1">#REF!</definedName>
    <definedName name="BExF0LOEHV42P2DV7QL8O7HOQ3N9" localSheetId="19" hidden="1">#REF!</definedName>
    <definedName name="BExF0LOEHV42P2DV7QL8O7HOQ3N9" hidden="1">#REF!</definedName>
    <definedName name="BExF0MVJ4YGAIOT97BSBZTKKMJLO" localSheetId="19" hidden="1">#REF!</definedName>
    <definedName name="BExF0MVJ4YGAIOT97BSBZTKKMJLO" hidden="1">#REF!</definedName>
    <definedName name="BExF0WRM9VO25RLSO03ZOCE8H7K5" localSheetId="19" hidden="1">#REF!</definedName>
    <definedName name="BExF0WRM9VO25RLSO03ZOCE8H7K5" hidden="1">#REF!</definedName>
    <definedName name="BExF0ZRI7W4RSLIDLHTSM0AWXO3S" localSheetId="19" hidden="1">#REF!</definedName>
    <definedName name="BExF0ZRI7W4RSLIDLHTSM0AWXO3S" hidden="1">#REF!</definedName>
    <definedName name="BExF15RBGKENVWZEFUPEK40YBRA7" localSheetId="19" hidden="1">#REF!</definedName>
    <definedName name="BExF15RBGKENVWZEFUPEK40YBRA7" hidden="1">#REF!</definedName>
    <definedName name="BExF19CT3MMZZ2T5EWMDNG3UOJ01" localSheetId="19" hidden="1">#REF!</definedName>
    <definedName name="BExF19CT3MMZZ2T5EWMDNG3UOJ01" hidden="1">#REF!</definedName>
    <definedName name="BExF1I6ZCNOTATBG3PZ1RGSJ7JEC" localSheetId="19" hidden="1">#REF!</definedName>
    <definedName name="BExF1I6ZCNOTATBG3PZ1RGSJ7JEC" hidden="1">#REF!</definedName>
    <definedName name="BExF1M38U6NX17YJA8YU359B5Z4M" localSheetId="19" hidden="1">#REF!</definedName>
    <definedName name="BExF1M38U6NX17YJA8YU359B5Z4M" hidden="1">#REF!</definedName>
    <definedName name="BExF1MU4W3NPEY0OHRDWP5IANCBB" localSheetId="19" hidden="1">#REF!</definedName>
    <definedName name="BExF1MU4W3NPEY0OHRDWP5IANCBB" hidden="1">#REF!</definedName>
    <definedName name="BExF1MZN8MWMOKOARHJ1QAF9HPGT" localSheetId="19" hidden="1">#REF!</definedName>
    <definedName name="BExF1MZN8MWMOKOARHJ1QAF9HPGT" hidden="1">#REF!</definedName>
    <definedName name="BExF1US4ZIQYSU5LBFYNRA9N0K2O" localSheetId="19" hidden="1">#REF!</definedName>
    <definedName name="BExF1US4ZIQYSU5LBFYNRA9N0K2O" hidden="1">#REF!</definedName>
    <definedName name="BExF1Z9Z270BYA12GL2T6GSF2ZTY" localSheetId="19" hidden="1">#REF!</definedName>
    <definedName name="BExF1Z9Z270BYA12GL2T6GSF2ZTY" hidden="1">#REF!</definedName>
    <definedName name="BExF29MBQUXJYOPZW1LVIKUJ4C01" localSheetId="19" hidden="1">#REF!</definedName>
    <definedName name="BExF29MBQUXJYOPZW1LVIKUJ4C01" hidden="1">#REF!</definedName>
    <definedName name="BExF2CWZN6E87RGTBMD4YQI2QT7R" localSheetId="19" hidden="1">#REF!</definedName>
    <definedName name="BExF2CWZN6E87RGTBMD4YQI2QT7R" hidden="1">#REF!</definedName>
    <definedName name="BExF2DYO1WQ7GMXSTAQRDBW1NSFG" localSheetId="19" hidden="1">#REF!</definedName>
    <definedName name="BExF2DYO1WQ7GMXSTAQRDBW1NSFG" hidden="1">#REF!</definedName>
    <definedName name="BExF2MSVB7MZZMDR2SCNEYJX21AU" localSheetId="19" hidden="1">#REF!</definedName>
    <definedName name="BExF2MSVB7MZZMDR2SCNEYJX21AU" hidden="1">#REF!</definedName>
    <definedName name="BExF2MSWNUY9Z6BZJQZ538PPTION" localSheetId="19" hidden="1">#REF!</definedName>
    <definedName name="BExF2MSWNUY9Z6BZJQZ538PPTION" hidden="1">#REF!</definedName>
    <definedName name="BExF2QZYWHTYGUTTXR15CKCV3LS7" localSheetId="19" hidden="1">#REF!</definedName>
    <definedName name="BExF2QZYWHTYGUTTXR15CKCV3LS7" hidden="1">#REF!</definedName>
    <definedName name="BExF2T8Y6TSJ74RMSZOA9CEH4OZ6" localSheetId="19" hidden="1">#REF!</definedName>
    <definedName name="BExF2T8Y6TSJ74RMSZOA9CEH4OZ6" hidden="1">#REF!</definedName>
    <definedName name="BExF31N3YM4F37EOOY8M8VI1KXN8" localSheetId="19" hidden="1">#REF!</definedName>
    <definedName name="BExF31N3YM4F37EOOY8M8VI1KXN8" hidden="1">#REF!</definedName>
    <definedName name="BExF37C1YKBT79Z9SOJAG5MXQGTU" localSheetId="19" hidden="1">#REF!</definedName>
    <definedName name="BExF37C1YKBT79Z9SOJAG5MXQGTU" hidden="1">#REF!</definedName>
    <definedName name="BExF3A6HPA6DGYALZNHHJPMCUYZR" localSheetId="19" hidden="1">#REF!</definedName>
    <definedName name="BExF3A6HPA6DGYALZNHHJPMCUYZR" hidden="1">#REF!</definedName>
    <definedName name="BExF3HDFSQD839XTC1DA8K1VHPZK" localSheetId="19" hidden="1">#REF!</definedName>
    <definedName name="BExF3HDFSQD839XTC1DA8K1VHPZK" hidden="1">#REF!</definedName>
    <definedName name="BExF3I9T44X7DV9HHV51DVDDPPZG" localSheetId="19" hidden="1">#REF!</definedName>
    <definedName name="BExF3I9T44X7DV9HHV51DVDDPPZG" hidden="1">#REF!</definedName>
    <definedName name="BExF3JMFX5DILOIFUDIO1HZUK875" localSheetId="19" hidden="1">#REF!</definedName>
    <definedName name="BExF3JMFX5DILOIFUDIO1HZUK875" hidden="1">#REF!</definedName>
    <definedName name="BExF3NO0RE1VBB19GCRR03V0B690" localSheetId="19" hidden="1">'[38]10.08.2 - 2008 Expense'!#REF!</definedName>
    <definedName name="BExF3NO0RE1VBB19GCRR03V0B690" hidden="1">'[38]10.08.2 - 2008 Expense'!#REF!</definedName>
    <definedName name="BExF3NTC4BGZEM6B87TCFX277QCS" localSheetId="14" hidden="1">#REF!</definedName>
    <definedName name="BExF3NTC4BGZEM6B87TCFX277QCS" localSheetId="15" hidden="1">#REF!</definedName>
    <definedName name="BExF3NTC4BGZEM6B87TCFX277QCS" localSheetId="16" hidden="1">#REF!</definedName>
    <definedName name="BExF3NTC4BGZEM6B87TCFX277QCS" localSheetId="19" hidden="1">#REF!</definedName>
    <definedName name="BExF3NTC4BGZEM6B87TCFX277QCS" hidden="1">#REF!</definedName>
    <definedName name="BExF3Q7NI90WT31QHYSJDIG0LLLJ" localSheetId="16" hidden="1">#REF!</definedName>
    <definedName name="BExF3Q7NI90WT31QHYSJDIG0LLLJ" localSheetId="19" hidden="1">#REF!</definedName>
    <definedName name="BExF3Q7NI90WT31QHYSJDIG0LLLJ" hidden="1">#REF!</definedName>
    <definedName name="BExF3QD55TIY1MSBSRK9TUJKBEWO" localSheetId="16" hidden="1">#REF!</definedName>
    <definedName name="BExF3QD55TIY1MSBSRK9TUJKBEWO" localSheetId="19" hidden="1">#REF!</definedName>
    <definedName name="BExF3QD55TIY1MSBSRK9TUJKBEWO" hidden="1">#REF!</definedName>
    <definedName name="BExF3QT8J6RIF1L3R700MBSKIOKW" localSheetId="19" hidden="1">#REF!</definedName>
    <definedName name="BExF3QT8J6RIF1L3R700MBSKIOKW" hidden="1">#REF!</definedName>
    <definedName name="BExF3WT0ZHF3EL0ASMG2VZWM9G8I" localSheetId="19" hidden="1">#REF!</definedName>
    <definedName name="BExF3WT0ZHF3EL0ASMG2VZWM9G8I" hidden="1">#REF!</definedName>
    <definedName name="BExF42SSBVPMLK2UB3B7FPEIY9TU" localSheetId="19" hidden="1">#REF!</definedName>
    <definedName name="BExF42SSBVPMLK2UB3B7FPEIY9TU" hidden="1">#REF!</definedName>
    <definedName name="BExF4HXSWB50BKYPWA0HTT8W56H6" localSheetId="19" hidden="1">#REF!</definedName>
    <definedName name="BExF4HXSWB50BKYPWA0HTT8W56H6" hidden="1">#REF!</definedName>
    <definedName name="BExF4KHF04IWW4LQ95FHQPFE4Y9K" localSheetId="19" hidden="1">#REF!</definedName>
    <definedName name="BExF4KHF04IWW4LQ95FHQPFE4Y9K" hidden="1">#REF!</definedName>
    <definedName name="BExF4LU2NV3A47BCWPM3EZXUEH37" localSheetId="19" hidden="1">#REF!</definedName>
    <definedName name="BExF4LU2NV3A47BCWPM3EZXUEH37" hidden="1">#REF!</definedName>
    <definedName name="BExF4MVQM5Y0QRDLDFSKWWTF709C" localSheetId="19" hidden="1">#REF!</definedName>
    <definedName name="BExF4MVQM5Y0QRDLDFSKWWTF709C" hidden="1">#REF!</definedName>
    <definedName name="BExF4PVMZYV36E8HOYY06J81AMBI" localSheetId="19" hidden="1">#REF!</definedName>
    <definedName name="BExF4PVMZYV36E8HOYY06J81AMBI" hidden="1">#REF!</definedName>
    <definedName name="BExF4RZ6DOAJ22UKB3277ZIOU46S" localSheetId="19" hidden="1">#REF!</definedName>
    <definedName name="BExF4RZ6DOAJ22UKB3277ZIOU46S" hidden="1">#REF!</definedName>
    <definedName name="BExF4SF9NEX1FZE9N8EXT89PM54D" localSheetId="19" hidden="1">#REF!</definedName>
    <definedName name="BExF4SF9NEX1FZE9N8EXT89PM54D" hidden="1">#REF!</definedName>
    <definedName name="BExF52GTGP8MHGII4KJ8TJGR8W8U" localSheetId="19" hidden="1">#REF!</definedName>
    <definedName name="BExF52GTGP8MHGII4KJ8TJGR8W8U" hidden="1">#REF!</definedName>
    <definedName name="BExF57K7L3UC1I2FSAWURR4SN0UN" localSheetId="19" hidden="1">#REF!</definedName>
    <definedName name="BExF57K7L3UC1I2FSAWURR4SN0UN" hidden="1">#REF!</definedName>
    <definedName name="BExF5D96JEPDW6LV89G2REZJ1ES7" localSheetId="19" hidden="1">#REF!</definedName>
    <definedName name="BExF5D96JEPDW6LV89G2REZJ1ES7" hidden="1">#REF!</definedName>
    <definedName name="BExF5HR2GFV7O8LKG9SJ4BY78LYA" localSheetId="19" hidden="1">#REF!</definedName>
    <definedName name="BExF5HR2GFV7O8LKG9SJ4BY78LYA" hidden="1">#REF!</definedName>
    <definedName name="BExF5ZFO2A29GHWR5ES64Z9OS16J" localSheetId="19" hidden="1">#REF!</definedName>
    <definedName name="BExF5ZFO2A29GHWR5ES64Z9OS16J" hidden="1">#REF!</definedName>
    <definedName name="BExF63S045JO7H2ZJCBTBVH3SUIF" localSheetId="19" hidden="1">#REF!</definedName>
    <definedName name="BExF63S045JO7H2ZJCBTBVH3SUIF" hidden="1">#REF!</definedName>
    <definedName name="BExF642TEGTXCI9A61ZOONJCB0U1" localSheetId="19" hidden="1">#REF!</definedName>
    <definedName name="BExF642TEGTXCI9A61ZOONJCB0U1" hidden="1">#REF!</definedName>
    <definedName name="BExF66H4GVM169LVJ9EMCTORM8Q7" localSheetId="19" hidden="1">#REF!</definedName>
    <definedName name="BExF66H4GVM169LVJ9EMCTORM8Q7" hidden="1">#REF!</definedName>
    <definedName name="BExF6786I4LDI5XCLJEAUR1360PJ" localSheetId="19" hidden="1">#REF!</definedName>
    <definedName name="BExF6786I4LDI5XCLJEAUR1360PJ" hidden="1">#REF!</definedName>
    <definedName name="BExF67O951CF8UJF3KBDNR0E83C1" localSheetId="19" hidden="1">#REF!</definedName>
    <definedName name="BExF67O951CF8UJF3KBDNR0E83C1" hidden="1">#REF!</definedName>
    <definedName name="BExF6EV7I35NVMIJGYTB6E24YVPA" localSheetId="19" hidden="1">#REF!</definedName>
    <definedName name="BExF6EV7I35NVMIJGYTB6E24YVPA" hidden="1">#REF!</definedName>
    <definedName name="BExF6FGUF393KTMBT40S5BYAFG00" localSheetId="19" hidden="1">#REF!</definedName>
    <definedName name="BExF6FGUF393KTMBT40S5BYAFG00" hidden="1">#REF!</definedName>
    <definedName name="BExF6GNYXWY8A0SY4PW1B6KJMMTM" localSheetId="19" hidden="1">#REF!</definedName>
    <definedName name="BExF6GNYXWY8A0SY4PW1B6KJMMTM" hidden="1">#REF!</definedName>
    <definedName name="BExF6IB8K74Z0AFT05GPOKKZW7C9" localSheetId="19" hidden="1">#REF!</definedName>
    <definedName name="BExF6IB8K74Z0AFT05GPOKKZW7C9" hidden="1">#REF!</definedName>
    <definedName name="BExF6NUXJI11W2IAZNAM1QWC0459" localSheetId="19" hidden="1">#REF!</definedName>
    <definedName name="BExF6NUXJI11W2IAZNAM1QWC0459" hidden="1">#REF!</definedName>
    <definedName name="BExF6QUSYQJK98BYSLTE5MXT70P5" localSheetId="19" hidden="1">#REF!</definedName>
    <definedName name="BExF6QUSYQJK98BYSLTE5MXT70P5" hidden="1">#REF!</definedName>
    <definedName name="BExF6RR76KNVIXGJOVFO8GDILKGZ" localSheetId="19" hidden="1">#REF!</definedName>
    <definedName name="BExF6RR76KNVIXGJOVFO8GDILKGZ" hidden="1">#REF!</definedName>
    <definedName name="BExF6ZE8D5CMPJPRWT6S4HM56LPF" localSheetId="19" hidden="1">#REF!</definedName>
    <definedName name="BExF6ZE8D5CMPJPRWT6S4HM56LPF" hidden="1">#REF!</definedName>
    <definedName name="BExF76FV8SF7AJK7B35AL7VTZF6D" localSheetId="19" hidden="1">#REF!</definedName>
    <definedName name="BExF76FV8SF7AJK7B35AL7VTZF6D" hidden="1">#REF!</definedName>
    <definedName name="BExF7EOIMC1OYL1N7835KGOI0FIZ" localSheetId="19" hidden="1">#REF!</definedName>
    <definedName name="BExF7EOIMC1OYL1N7835KGOI0FIZ" hidden="1">#REF!</definedName>
    <definedName name="BExF7K88K7ASGV6RAOAGH52G04VR" localSheetId="19" hidden="1">#REF!</definedName>
    <definedName name="BExF7K88K7ASGV6RAOAGH52G04VR" hidden="1">#REF!</definedName>
    <definedName name="BExF7OVDRP3LHNAF2CX4V84CKKIR" localSheetId="19" hidden="1">#REF!</definedName>
    <definedName name="BExF7OVDRP3LHNAF2CX4V84CKKIR" hidden="1">#REF!</definedName>
    <definedName name="BExF7QO41X2A2SL8UXDNP99GY7U9" localSheetId="19" hidden="1">#REF!</definedName>
    <definedName name="BExF7QO41X2A2SL8UXDNP99GY7U9" hidden="1">#REF!</definedName>
    <definedName name="BExF7R9OJ83YUOQJTFS47QJFPBA6" localSheetId="19" hidden="1">#REF!</definedName>
    <definedName name="BExF7R9OJ83YUOQJTFS47QJFPBA6" hidden="1">#REF!</definedName>
    <definedName name="BExF7WD56YB3STK93BIQP3486ZEI" localSheetId="19" hidden="1">#REF!</definedName>
    <definedName name="BExF7WD56YB3STK93BIQP3486ZEI" hidden="1">#REF!</definedName>
    <definedName name="BExF80K6MCUWS9W99VRNYEN44QQZ" localSheetId="19" hidden="1">#REF!</definedName>
    <definedName name="BExF80K6MCUWS9W99VRNYEN44QQZ" hidden="1">#REF!</definedName>
    <definedName name="BExF81GI8B8WBHXFTET68A9358BR" localSheetId="19" hidden="1">#REF!</definedName>
    <definedName name="BExF81GI8B8WBHXFTET68A9358BR" hidden="1">#REF!</definedName>
    <definedName name="BExF87GAYMXKMUTK8SVUQ03Q8QZR" localSheetId="19" hidden="1">#REF!</definedName>
    <definedName name="BExF87GAYMXKMUTK8SVUQ03Q8QZR" hidden="1">#REF!</definedName>
    <definedName name="BExGKVQARCQ9KIFMMXBXEKHDTREN" localSheetId="19" hidden="1">'[38]10.08.5 - 2008 Capital - TDBU'!#REF!</definedName>
    <definedName name="BExGKVQARCQ9KIFMMXBXEKHDTREN" hidden="1">'[38]10.08.5 - 2008 Capital - TDBU'!#REF!</definedName>
    <definedName name="BExGL97US0Y3KXXASUTVR26XLT70" localSheetId="14" hidden="1">#REF!</definedName>
    <definedName name="BExGL97US0Y3KXXASUTVR26XLT70" localSheetId="15" hidden="1">#REF!</definedName>
    <definedName name="BExGL97US0Y3KXXASUTVR26XLT70" localSheetId="16" hidden="1">#REF!</definedName>
    <definedName name="BExGL97US0Y3KXXASUTVR26XLT70" localSheetId="19" hidden="1">#REF!</definedName>
    <definedName name="BExGL97US0Y3KXXASUTVR26XLT70" hidden="1">#REF!</definedName>
    <definedName name="BExGLA47VYPH5Q19X9DS7CT55B4I" localSheetId="16" hidden="1">#REF!</definedName>
    <definedName name="BExGLA47VYPH5Q19X9DS7CT55B4I" localSheetId="19" hidden="1">#REF!</definedName>
    <definedName name="BExGLA47VYPH5Q19X9DS7CT55B4I" hidden="1">#REF!</definedName>
    <definedName name="BExGLC7R4C33RO0PID97ZPPVCW4M" localSheetId="16" hidden="1">#REF!</definedName>
    <definedName name="BExGLC7R4C33RO0PID97ZPPVCW4M" localSheetId="19" hidden="1">#REF!</definedName>
    <definedName name="BExGLC7R4C33RO0PID97ZPPVCW4M" hidden="1">#REF!</definedName>
    <definedName name="BExGLFIF7HCFSHNQHKEV6RY0WCO3" localSheetId="19" hidden="1">#REF!</definedName>
    <definedName name="BExGLFIF7HCFSHNQHKEV6RY0WCO3" hidden="1">#REF!</definedName>
    <definedName name="BExGLTARRL0J772UD2TXEYAVPY6E" localSheetId="19" hidden="1">#REF!</definedName>
    <definedName name="BExGLTARRL0J772UD2TXEYAVPY6E" hidden="1">#REF!</definedName>
    <definedName name="BExGLVP1IU8K5A8J1340XFMYPR88" localSheetId="19" hidden="1">#REF!</definedName>
    <definedName name="BExGLVP1IU8K5A8J1340XFMYPR88" hidden="1">#REF!</definedName>
    <definedName name="BExGLX716Z4UBZVUK6LS4LCBZ8EV" localSheetId="19" hidden="1">#REF!</definedName>
    <definedName name="BExGLX716Z4UBZVUK6LS4LCBZ8EV" hidden="1">#REF!</definedName>
    <definedName name="BExGLYE6RZTAAWHJBG2QFJPTDS2Q" localSheetId="19" hidden="1">#REF!</definedName>
    <definedName name="BExGLYE6RZTAAWHJBG2QFJPTDS2Q" hidden="1">#REF!</definedName>
    <definedName name="BExGM4DZ65OAQP7MA4LN6QMYZOFF" localSheetId="19" hidden="1">#REF!</definedName>
    <definedName name="BExGM4DZ65OAQP7MA4LN6QMYZOFF" hidden="1">#REF!</definedName>
    <definedName name="BExGMCXCWEC9XNUOEMZ61TMI6CUO" localSheetId="19" hidden="1">#REF!</definedName>
    <definedName name="BExGMCXCWEC9XNUOEMZ61TMI6CUO" hidden="1">#REF!</definedName>
    <definedName name="BExGMJDGIH0MEPC2TUSFUCY2ROTB" localSheetId="19" hidden="1">#REF!</definedName>
    <definedName name="BExGMJDGIH0MEPC2TUSFUCY2ROTB" hidden="1">#REF!</definedName>
    <definedName name="BExGMKPW2HPKN0M0XKF3AZ8YP0D6" localSheetId="19" hidden="1">#REF!</definedName>
    <definedName name="BExGMKPW2HPKN0M0XKF3AZ8YP0D6" hidden="1">#REF!</definedName>
    <definedName name="BExGMP2F175LGL6QVSJGP6GKYHHA" localSheetId="19" hidden="1">#REF!</definedName>
    <definedName name="BExGMP2F175LGL6QVSJGP6GKYHHA" hidden="1">#REF!</definedName>
    <definedName name="BExGMPIIP8GKML2VVA8OEFL43NCS" localSheetId="19" hidden="1">#REF!</definedName>
    <definedName name="BExGMPIIP8GKML2VVA8OEFL43NCS" hidden="1">#REF!</definedName>
    <definedName name="BExGMZ3SRIXLXMWBVOXXV3M4U4YL" localSheetId="19" hidden="1">#REF!</definedName>
    <definedName name="BExGMZ3SRIXLXMWBVOXXV3M4U4YL" hidden="1">#REF!</definedName>
    <definedName name="BExGMZ3UBN48IXU1ZEFYECEMZ1IM" localSheetId="19" hidden="1">#REF!</definedName>
    <definedName name="BExGMZ3UBN48IXU1ZEFYECEMZ1IM" hidden="1">#REF!</definedName>
    <definedName name="BExGN4I0QATXNZCLZJM1KH1OIJQH" localSheetId="19" hidden="1">#REF!</definedName>
    <definedName name="BExGN4I0QATXNZCLZJM1KH1OIJQH" hidden="1">#REF!</definedName>
    <definedName name="BExGN7SOVSLKC6I1KE8PWWP0JN74" localSheetId="19" hidden="1">#REF!</definedName>
    <definedName name="BExGN7SOVSLKC6I1KE8PWWP0JN74" hidden="1">#REF!</definedName>
    <definedName name="BExGN9FZ2RWCMSY1YOBJKZMNIM9R" localSheetId="19" hidden="1">#REF!</definedName>
    <definedName name="BExGN9FZ2RWCMSY1YOBJKZMNIM9R" hidden="1">#REF!</definedName>
    <definedName name="BExGNDSIMTHOCXXG6QOGR6DA8SGG" localSheetId="19" hidden="1">#REF!</definedName>
    <definedName name="BExGNDSIMTHOCXXG6QOGR6DA8SGG" hidden="1">#REF!</definedName>
    <definedName name="BExGNG6TCN1ZSYO3FQ0I1CHBMQSK" localSheetId="19" hidden="1">#REF!</definedName>
    <definedName name="BExGNG6TCN1ZSYO3FQ0I1CHBMQSK" hidden="1">#REF!</definedName>
    <definedName name="BExGNN2YQ9BDAZXT2GLCSAPXKIM7" localSheetId="19" hidden="1">#REF!</definedName>
    <definedName name="BExGNN2YQ9BDAZXT2GLCSAPXKIM7" hidden="1">#REF!</definedName>
    <definedName name="BExGNSS0CKRPKHO25R3TDBEL2NHX" localSheetId="19" hidden="1">#REF!</definedName>
    <definedName name="BExGNSS0CKRPKHO25R3TDBEL2NHX" hidden="1">#REF!</definedName>
    <definedName name="BExGNYH0MO8NOVS85L15G0RWX4GW" localSheetId="19" hidden="1">#REF!</definedName>
    <definedName name="BExGNYH0MO8NOVS85L15G0RWX4GW" hidden="1">#REF!</definedName>
    <definedName name="BExGNZO44DEG8CGIDYSEGDUQ531R" localSheetId="19" hidden="1">#REF!</definedName>
    <definedName name="BExGNZO44DEG8CGIDYSEGDUQ531R" hidden="1">#REF!</definedName>
    <definedName name="BExGO2O0V6UYDY26AX8OSN72F77N" localSheetId="19" hidden="1">#REF!</definedName>
    <definedName name="BExGO2O0V6UYDY26AX8OSN72F77N" hidden="1">#REF!</definedName>
    <definedName name="BExGO2YUBOVLYHY1QSIHRE1KLAFV" localSheetId="19" hidden="1">#REF!</definedName>
    <definedName name="BExGO2YUBOVLYHY1QSIHRE1KLAFV" hidden="1">#REF!</definedName>
    <definedName name="BExGO70E2O70LF46V8T26YFPL4V8" localSheetId="19" hidden="1">#REF!</definedName>
    <definedName name="BExGO70E2O70LF46V8T26YFPL4V8" hidden="1">#REF!</definedName>
    <definedName name="BExGO93Y9EAR1NQIAT7U7P8UVVPK" localSheetId="19" hidden="1">'[38]10.08.4 -2008 Capital'!#REF!</definedName>
    <definedName name="BExGO93Y9EAR1NQIAT7U7P8UVVPK" hidden="1">'[38]10.08.4 -2008 Capital'!#REF!</definedName>
    <definedName name="BExGOB25QJMQCQE76MRW9X58OIOO" localSheetId="14" hidden="1">#REF!</definedName>
    <definedName name="BExGOB25QJMQCQE76MRW9X58OIOO" localSheetId="15" hidden="1">#REF!</definedName>
    <definedName name="BExGOB25QJMQCQE76MRW9X58OIOO" localSheetId="16" hidden="1">#REF!</definedName>
    <definedName name="BExGOB25QJMQCQE76MRW9X58OIOO" localSheetId="19" hidden="1">#REF!</definedName>
    <definedName name="BExGOB25QJMQCQE76MRW9X58OIOO" hidden="1">#REF!</definedName>
    <definedName name="BExGOD5OOOBUBIMGTY10CMMLMXNN" localSheetId="16" hidden="1">#REF!</definedName>
    <definedName name="BExGOD5OOOBUBIMGTY10CMMLMXNN" localSheetId="19" hidden="1">#REF!</definedName>
    <definedName name="BExGOD5OOOBUBIMGTY10CMMLMXNN" hidden="1">#REF!</definedName>
    <definedName name="BExGODAZKJ9EXMQZNQR5YDBSS525" localSheetId="16" hidden="1">#REF!</definedName>
    <definedName name="BExGODAZKJ9EXMQZNQR5YDBSS525" localSheetId="19" hidden="1">#REF!</definedName>
    <definedName name="BExGODAZKJ9EXMQZNQR5YDBSS525" hidden="1">#REF!</definedName>
    <definedName name="BExGODR8ZSMUC11I56QHSZ686XV5" localSheetId="19" hidden="1">#REF!</definedName>
    <definedName name="BExGODR8ZSMUC11I56QHSZ686XV5" hidden="1">#REF!</definedName>
    <definedName name="BExGOT6UXUX5FVTAYL9SOBZ1D0II" localSheetId="19" hidden="1">#REF!</definedName>
    <definedName name="BExGOT6UXUX5FVTAYL9SOBZ1D0II" hidden="1">#REF!</definedName>
    <definedName name="BExGOXJDHUDPDT8I8IVGVW9J0R5Q" localSheetId="19" hidden="1">#REF!</definedName>
    <definedName name="BExGOXJDHUDPDT8I8IVGVW9J0R5Q" hidden="1">#REF!</definedName>
    <definedName name="BExGP3TT3CY5VYQJQ82YO0NMENH1" localSheetId="19" hidden="1">#REF!</definedName>
    <definedName name="BExGP3TT3CY5VYQJQ82YO0NMENH1" hidden="1">#REF!</definedName>
    <definedName name="BExGPHGT5KDOCMV2EFS4OVKTWBRD" localSheetId="19" hidden="1">#REF!</definedName>
    <definedName name="BExGPHGT5KDOCMV2EFS4OVKTWBRD" hidden="1">#REF!</definedName>
    <definedName name="BExGPID72Y4Y619LWASUQZKZHJNC" localSheetId="19" hidden="1">#REF!</definedName>
    <definedName name="BExGPID72Y4Y619LWASUQZKZHJNC" hidden="1">#REF!</definedName>
    <definedName name="BExGPPENQIANVGLVQJ77DK5JPRTB" localSheetId="19" hidden="1">#REF!</definedName>
    <definedName name="BExGPPENQIANVGLVQJ77DK5JPRTB" hidden="1">#REF!</definedName>
    <definedName name="BExGQ1ZU4967P72AHF4V1D0FOL5C" localSheetId="19" hidden="1">#REF!</definedName>
    <definedName name="BExGQ1ZU4967P72AHF4V1D0FOL5C" hidden="1">#REF!</definedName>
    <definedName name="BExGQ36ZOMR9GV8T05M605MMOY3Y" localSheetId="19" hidden="1">#REF!</definedName>
    <definedName name="BExGQ36ZOMR9GV8T05M605MMOY3Y" hidden="1">#REF!</definedName>
    <definedName name="BExGQ4E4XWZBZNG82O3F6S3IX0UD" localSheetId="19" hidden="1">#REF!</definedName>
    <definedName name="BExGQ4E4XWZBZNG82O3F6S3IX0UD" hidden="1">#REF!</definedName>
    <definedName name="BExGQ61DTJ0SBFMDFBAK3XZ9O0ZO" localSheetId="19" hidden="1">#REF!</definedName>
    <definedName name="BExGQ61DTJ0SBFMDFBAK3XZ9O0ZO" hidden="1">#REF!</definedName>
    <definedName name="BExGQ6SG9XEOD0VMBAR22YPZWSTA" localSheetId="19" hidden="1">#REF!</definedName>
    <definedName name="BExGQ6SG9XEOD0VMBAR22YPZWSTA" hidden="1">#REF!</definedName>
    <definedName name="BExGQGJ1A7LNZUS8QSMOG8UNGLMK" localSheetId="19" hidden="1">#REF!</definedName>
    <definedName name="BExGQGJ1A7LNZUS8QSMOG8UNGLMK" hidden="1">#REF!</definedName>
    <definedName name="BExGQNPYSR0588CMPYC6F4KV9EDE" localSheetId="19" hidden="1">'[38]10.08.5 - 2008 Capital - TDBU'!#REF!</definedName>
    <definedName name="BExGQNPYSR0588CMPYC6F4KV9EDE" hidden="1">'[38]10.08.5 - 2008 Capital - TDBU'!#REF!</definedName>
    <definedName name="BExGQPO7ENFEQC0NC6MC9OZR2LHY" localSheetId="14" hidden="1">#REF!</definedName>
    <definedName name="BExGQPO7ENFEQC0NC6MC9OZR2LHY" localSheetId="15" hidden="1">#REF!</definedName>
    <definedName name="BExGQPO7ENFEQC0NC6MC9OZR2LHY" localSheetId="16" hidden="1">#REF!</definedName>
    <definedName name="BExGQPO7ENFEQC0NC6MC9OZR2LHY" localSheetId="19" hidden="1">#REF!</definedName>
    <definedName name="BExGQPO7ENFEQC0NC6MC9OZR2LHY" hidden="1">#REF!</definedName>
    <definedName name="BExGQX0H4EZMXBJTKJJE4ICJWN5O" localSheetId="16" hidden="1">#REF!</definedName>
    <definedName name="BExGQX0H4EZMXBJTKJJE4ICJWN5O" localSheetId="19" hidden="1">#REF!</definedName>
    <definedName name="BExGQX0H4EZMXBJTKJJE4ICJWN5O" hidden="1">#REF!</definedName>
    <definedName name="BExGR4CW3WRIID17GGX4MI9ZDHFE" localSheetId="16" hidden="1">#REF!</definedName>
    <definedName name="BExGR4CW3WRIID17GGX4MI9ZDHFE" localSheetId="19" hidden="1">#REF!</definedName>
    <definedName name="BExGR4CW3WRIID17GGX4MI9ZDHFE" hidden="1">#REF!</definedName>
    <definedName name="BExGR65GJX27MU2OL6NI5PB8XVB4" localSheetId="19" hidden="1">#REF!</definedName>
    <definedName name="BExGR65GJX27MU2OL6NI5PB8XVB4" hidden="1">#REF!</definedName>
    <definedName name="BExGR6LQ97HETGS3CT96L4IK0JSH" localSheetId="19" hidden="1">#REF!</definedName>
    <definedName name="BExGR6LQ97HETGS3CT96L4IK0JSH" hidden="1">#REF!</definedName>
    <definedName name="BExGR9ATP2LVT7B9OCPSLJ11H9SX" localSheetId="19" hidden="1">#REF!</definedName>
    <definedName name="BExGR9ATP2LVT7B9OCPSLJ11H9SX" hidden="1">#REF!</definedName>
    <definedName name="BExGRAY9F658TSUK4B5X7SAIOYT9" localSheetId="19" hidden="1">#REF!</definedName>
    <definedName name="BExGRAY9F658TSUK4B5X7SAIOYT9" hidden="1">#REF!</definedName>
    <definedName name="BExGRD74EJWS14SU2OOJCGK9X1W7" localSheetId="19" hidden="1">#REF!</definedName>
    <definedName name="BExGRD74EJWS14SU2OOJCGK9X1W7" hidden="1">#REF!</definedName>
    <definedName name="BExGrid1">#REF!</definedName>
    <definedName name="BExGROQL61G1JF22224SED98B361" localSheetId="19" hidden="1">#REF!</definedName>
    <definedName name="BExGROQL61G1JF22224SED98B361" hidden="1">#REF!</definedName>
    <definedName name="BExGRUKVVKDL8483WI70VN2QZDGD" localSheetId="19" hidden="1">#REF!</definedName>
    <definedName name="BExGRUKVVKDL8483WI70VN2QZDGD" hidden="1">#REF!</definedName>
    <definedName name="BExGRW2VUL2RYAVBES5DLY6VH9EK" localSheetId="19" hidden="1">#REF!</definedName>
    <definedName name="BExGRW2VUL2RYAVBES5DLY6VH9EK" hidden="1">#REF!</definedName>
    <definedName name="BExGS2IWR5DUNJ1U9PAKIV8CMBNI" localSheetId="19" hidden="1">#REF!</definedName>
    <definedName name="BExGS2IWR5DUNJ1U9PAKIV8CMBNI" hidden="1">#REF!</definedName>
    <definedName name="BExGS39S7AWXR3SMHER030GA9FHE" localSheetId="19" hidden="1">#REF!</definedName>
    <definedName name="BExGS39S7AWXR3SMHER030GA9FHE" hidden="1">#REF!</definedName>
    <definedName name="BExGS69P9FFTEOPDS0MWFKF45G47" localSheetId="19" hidden="1">#REF!</definedName>
    <definedName name="BExGS69P9FFTEOPDS0MWFKF45G47" hidden="1">#REF!</definedName>
    <definedName name="BExGS6F1JFHM5MUJ1RFO50WP6D05" localSheetId="19" hidden="1">#REF!</definedName>
    <definedName name="BExGS6F1JFHM5MUJ1RFO50WP6D05" hidden="1">#REF!</definedName>
    <definedName name="BExGSA5YB5ZGE4NHDVCZ55TQAJTL" localSheetId="19" hidden="1">#REF!</definedName>
    <definedName name="BExGSA5YB5ZGE4NHDVCZ55TQAJTL" hidden="1">#REF!</definedName>
    <definedName name="BExGSCEUCQQVDEEKWJ677QTGUVTE" localSheetId="19" hidden="1">#REF!</definedName>
    <definedName name="BExGSCEUCQQVDEEKWJ677QTGUVTE" hidden="1">#REF!</definedName>
    <definedName name="BExGSCKA06Y0QKMK697YEVLEA9FY" localSheetId="19" hidden="1">#REF!</definedName>
    <definedName name="BExGSCKA06Y0QKMK697YEVLEA9FY" hidden="1">#REF!</definedName>
    <definedName name="BExGSJWJN6NORKNRWIN4W0MANCAV" localSheetId="19" hidden="1">#REF!</definedName>
    <definedName name="BExGSJWJN6NORKNRWIN4W0MANCAV" hidden="1">#REF!</definedName>
    <definedName name="BExGSQY65LH1PCKKM5WHDW83F35O" localSheetId="19" hidden="1">#REF!</definedName>
    <definedName name="BExGSQY65LH1PCKKM5WHDW83F35O" hidden="1">#REF!</definedName>
    <definedName name="BExGSSW8N9A0O48I1Z0M4ZIIXNTV" localSheetId="19" hidden="1">#REF!</definedName>
    <definedName name="BExGSSW8N9A0O48I1Z0M4ZIIXNTV" hidden="1">#REF!</definedName>
    <definedName name="BExGSYW1GKISF0PMUAK3XJK9PEW9" localSheetId="19" hidden="1">#REF!</definedName>
    <definedName name="BExGSYW1GKISF0PMUAK3XJK9PEW9" hidden="1">#REF!</definedName>
    <definedName name="BExGSZCAQHVWXD4N87N0EW2W1JGB" localSheetId="19" hidden="1">#REF!</definedName>
    <definedName name="BExGSZCAQHVWXD4N87N0EW2W1JGB" hidden="1">#REF!</definedName>
    <definedName name="BExGT0DZJB6LSF6L693UUB9EY1VQ" localSheetId="19" hidden="1">#REF!</definedName>
    <definedName name="BExGT0DZJB6LSF6L693UUB9EY1VQ" hidden="1">#REF!</definedName>
    <definedName name="BExGTGVFIF8HOQXR54SK065A8M4K" localSheetId="19" hidden="1">#REF!</definedName>
    <definedName name="BExGTGVFIF8HOQXR54SK065A8M4K" hidden="1">#REF!</definedName>
    <definedName name="BExGTHRSN7OEWMFAXSHGKS2ECVLO" localSheetId="19" hidden="1">#REF!</definedName>
    <definedName name="BExGTHRSN7OEWMFAXSHGKS2ECVLO" hidden="1">#REF!</definedName>
    <definedName name="BExGTIYX3OWPIINOGY1E4QQYSKHP" localSheetId="19" hidden="1">#REF!</definedName>
    <definedName name="BExGTIYX3OWPIINOGY1E4QQYSKHP" hidden="1">#REF!</definedName>
    <definedName name="BExGTKGUN0KUU3C0RL2LK98D8MEK" localSheetId="19" hidden="1">#REF!</definedName>
    <definedName name="BExGTKGUN0KUU3C0RL2LK98D8MEK" hidden="1">#REF!</definedName>
    <definedName name="BExGTTWOFVNMXRUNAMNODBN7I5RE" localSheetId="19" hidden="1">#REF!</definedName>
    <definedName name="BExGTTWOFVNMXRUNAMNODBN7I5RE" hidden="1">#REF!</definedName>
    <definedName name="BExGTZ046J7VMUG4YPKFN2K8TWB7" localSheetId="19" hidden="1">#REF!</definedName>
    <definedName name="BExGTZ046J7VMUG4YPKFN2K8TWB7" hidden="1">#REF!</definedName>
    <definedName name="BExGU1JWSVXPWIF3A5PN098ST2ZB" localSheetId="19" hidden="1">#REF!</definedName>
    <definedName name="BExGU1JWSVXPWIF3A5PN098ST2ZB" hidden="1">#REF!</definedName>
    <definedName name="BExGU2G9OPRZRIU9YGF6NX9FUW0J" localSheetId="19" hidden="1">#REF!</definedName>
    <definedName name="BExGU2G9OPRZRIU9YGF6NX9FUW0J" hidden="1">#REF!</definedName>
    <definedName name="BExGU6HTKLRZO8UOI3DTAM5RFDBA" localSheetId="19" hidden="1">#REF!</definedName>
    <definedName name="BExGU6HTKLRZO8UOI3DTAM5RFDBA" hidden="1">#REF!</definedName>
    <definedName name="BExGUDDZXFFQHAF4UZF8ZB1HO7H6" localSheetId="19" hidden="1">#REF!</definedName>
    <definedName name="BExGUDDZXFFQHAF4UZF8ZB1HO7H6" hidden="1">#REF!</definedName>
    <definedName name="BExGUIBXBRHGM97ZX6GBA4ZDQ79C" localSheetId="19" hidden="1">#REF!</definedName>
    <definedName name="BExGUIBXBRHGM97ZX6GBA4ZDQ79C" hidden="1">#REF!</definedName>
    <definedName name="BExGUM8D91UNPCOO4TKP9FGX85TF" localSheetId="19" hidden="1">#REF!</definedName>
    <definedName name="BExGUM8D91UNPCOO4TKP9FGX85TF" hidden="1">#REF!</definedName>
    <definedName name="BExGUPZ6NZ68L2EDDWJAMBIUVHKZ" localSheetId="19" hidden="1">#REF!</definedName>
    <definedName name="BExGUPZ6NZ68L2EDDWJAMBIUVHKZ" hidden="1">#REF!</definedName>
    <definedName name="BExGUQF9N9FKI7S0H30WUAEB5LPD" localSheetId="19" hidden="1">#REF!</definedName>
    <definedName name="BExGUQF9N9FKI7S0H30WUAEB5LPD" hidden="1">#REF!</definedName>
    <definedName name="BExGUR6BA03XPBK60SQUW197GJ5X" localSheetId="19" hidden="1">#REF!</definedName>
    <definedName name="BExGUR6BA03XPBK60SQUW197GJ5X" hidden="1">#REF!</definedName>
    <definedName name="BExGUVIP60TA4B7X2PFGMBFUSKGX" localSheetId="19" hidden="1">#REF!</definedName>
    <definedName name="BExGUVIP60TA4B7X2PFGMBFUSKGX" hidden="1">#REF!</definedName>
    <definedName name="BExGUZKF06F209XL1IZWVJEQ82EE" localSheetId="19" hidden="1">#REF!</definedName>
    <definedName name="BExGUZKF06F209XL1IZWVJEQ82EE" hidden="1">#REF!</definedName>
    <definedName name="BExGV2EVT380QHD4AP2RL9MR8L5L" localSheetId="19" hidden="1">#REF!</definedName>
    <definedName name="BExGV2EVT380QHD4AP2RL9MR8L5L" hidden="1">#REF!</definedName>
    <definedName name="BExGVLQV4WLYED6UCM4VDJMDIODS" localSheetId="19" hidden="1">#REF!</definedName>
    <definedName name="BExGVLQV4WLYED6UCM4VDJMDIODS" hidden="1">#REF!</definedName>
    <definedName name="BExGVQE1PH4Q46QUDV9GXTDJHSBP" localSheetId="19" hidden="1">#REF!</definedName>
    <definedName name="BExGVQE1PH4Q46QUDV9GXTDJHSBP" hidden="1">#REF!</definedName>
    <definedName name="BExGVQUBBCND7N6N8UAFSJ3XMO2K" localSheetId="19" hidden="1">#REF!</definedName>
    <definedName name="BExGVQUBBCND7N6N8UAFSJ3XMO2K" hidden="1">#REF!</definedName>
    <definedName name="BExGVV6OOLDQ3TXZK51TTF3YX0WN" localSheetId="19" hidden="1">#REF!</definedName>
    <definedName name="BExGVV6OOLDQ3TXZK51TTF3YX0WN" hidden="1">#REF!</definedName>
    <definedName name="BExGW0KVS7U0C87XFZ78QW991IEV" localSheetId="19" hidden="1">#REF!</definedName>
    <definedName name="BExGW0KVS7U0C87XFZ78QW991IEV" hidden="1">#REF!</definedName>
    <definedName name="BExGW2Z7AMPG6H9EXA9ML6EZVGGA" localSheetId="19" hidden="1">#REF!</definedName>
    <definedName name="BExGW2Z7AMPG6H9EXA9ML6EZVGGA" hidden="1">#REF!</definedName>
    <definedName name="BExGW4XE5DHK7GOPYX8TT51CSG15" localSheetId="19" hidden="1">#REF!</definedName>
    <definedName name="BExGW4XE5DHK7GOPYX8TT51CSG15" hidden="1">#REF!</definedName>
    <definedName name="BExGW5Z3L0OX08J99L459WM06JKA" localSheetId="19" hidden="1">#REF!</definedName>
    <definedName name="BExGW5Z3L0OX08J99L459WM06JKA" hidden="1">#REF!</definedName>
    <definedName name="BExGWABG5VT5XO1A196RK61AXA8C" localSheetId="19" hidden="1">#REF!</definedName>
    <definedName name="BExGWABG5VT5XO1A196RK61AXA8C" hidden="1">#REF!</definedName>
    <definedName name="BExGWE2ENPKKCYNRTQY1QKPWFLXM" localSheetId="19" hidden="1">#REF!</definedName>
    <definedName name="BExGWE2ENPKKCYNRTQY1QKPWFLXM" hidden="1">#REF!</definedName>
    <definedName name="BExGWEO0JDG84NYLEAV5NSOAGMJZ" localSheetId="19" hidden="1">#REF!</definedName>
    <definedName name="BExGWEO0JDG84NYLEAV5NSOAGMJZ" hidden="1">#REF!</definedName>
    <definedName name="BExGWK7JDSL1M5WZ40HT9QXFJ1EM" localSheetId="19" hidden="1">#REF!</definedName>
    <definedName name="BExGWK7JDSL1M5WZ40HT9QXFJ1EM" hidden="1">#REF!</definedName>
    <definedName name="BExGWLEOC70Z8QAJTPT2PDHTNM4L" localSheetId="19" hidden="1">#REF!</definedName>
    <definedName name="BExGWLEOC70Z8QAJTPT2PDHTNM4L" hidden="1">#REF!</definedName>
    <definedName name="BExGWNCXLCRTLBVMTXYJ5PHQI6SS" localSheetId="19" hidden="1">#REF!</definedName>
    <definedName name="BExGWNCXLCRTLBVMTXYJ5PHQI6SS" hidden="1">#REF!</definedName>
    <definedName name="BExGWTI0YD2LF2C6MIF0OB6ZIWO7" localSheetId="19" hidden="1">#REF!</definedName>
    <definedName name="BExGWTI0YD2LF2C6MIF0OB6ZIWO7" hidden="1">#REF!</definedName>
    <definedName name="BExGX6U988MCFIGDA1282F92U9AA" localSheetId="19" hidden="1">#REF!</definedName>
    <definedName name="BExGX6U988MCFIGDA1282F92U9AA" hidden="1">#REF!</definedName>
    <definedName name="BExGX7FTB1CKAT5HUW6H531FIY6I" localSheetId="19" hidden="1">#REF!</definedName>
    <definedName name="BExGX7FTB1CKAT5HUW6H531FIY6I" hidden="1">#REF!</definedName>
    <definedName name="BExGX9DVACJQIZ4GH6YAD2A7F70O" localSheetId="19" hidden="1">#REF!</definedName>
    <definedName name="BExGX9DVACJQIZ4GH6YAD2A7F70O" hidden="1">#REF!</definedName>
    <definedName name="BExGXDVP2S2Y8Z8Q43I78RCIK3DD" localSheetId="19" hidden="1">#REF!</definedName>
    <definedName name="BExGXDVP2S2Y8Z8Q43I78RCIK3DD" hidden="1">#REF!</definedName>
    <definedName name="BExGXJ9W5JU7TT9S0BKL5Y6VVB39" localSheetId="19" hidden="1">#REF!</definedName>
    <definedName name="BExGXJ9W5JU7TT9S0BKL5Y6VVB39" hidden="1">#REF!</definedName>
    <definedName name="BExGXR7QM0F3N9OYEG8V5BZ8X5WD" localSheetId="19" hidden="1">#REF!</definedName>
    <definedName name="BExGXR7QM0F3N9OYEG8V5BZ8X5WD" hidden="1">#REF!</definedName>
    <definedName name="BExGXWB73RJ4BASBQTQ8EY0EC1EB" localSheetId="19" hidden="1">#REF!</definedName>
    <definedName name="BExGXWB73RJ4BASBQTQ8EY0EC1EB" hidden="1">#REF!</definedName>
    <definedName name="BExGXZ0ABB43C7SMRKZHWOSU9EQX" localSheetId="19" hidden="1">#REF!</definedName>
    <definedName name="BExGXZ0ABB43C7SMRKZHWOSU9EQX" hidden="1">#REF!</definedName>
    <definedName name="BExGY6SU3SYVCJ3AG2ITY59SAZ5A" localSheetId="19" hidden="1">#REF!</definedName>
    <definedName name="BExGY6SU3SYVCJ3AG2ITY59SAZ5A" hidden="1">#REF!</definedName>
    <definedName name="BExGY6YA4P5KMY2VHT0DYK3YTFAX" localSheetId="19" hidden="1">#REF!</definedName>
    <definedName name="BExGY6YA4P5KMY2VHT0DYK3YTFAX" hidden="1">#REF!</definedName>
    <definedName name="BExGY8G88PVVRYHPHRPJZFSX6HSC" localSheetId="19" hidden="1">#REF!</definedName>
    <definedName name="BExGY8G88PVVRYHPHRPJZFSX6HSC" hidden="1">#REF!</definedName>
    <definedName name="BExGYC718HTZ80PNKYPVIYGRJVF6" localSheetId="19" hidden="1">#REF!</definedName>
    <definedName name="BExGYC718HTZ80PNKYPVIYGRJVF6" hidden="1">#REF!</definedName>
    <definedName name="BExGYCNATXZY2FID93B17YWIPPRD" localSheetId="19" hidden="1">#REF!</definedName>
    <definedName name="BExGYCNATXZY2FID93B17YWIPPRD" hidden="1">#REF!</definedName>
    <definedName name="BExGYGJJJ3BBCQAOA51WHP01HN73" localSheetId="19" hidden="1">#REF!</definedName>
    <definedName name="BExGYGJJJ3BBCQAOA51WHP01HN73" hidden="1">#REF!</definedName>
    <definedName name="BExGYM8ENAT3UBFMSYCXQG8WWNVD" localSheetId="19" hidden="1">#REF!</definedName>
    <definedName name="BExGYM8ENAT3UBFMSYCXQG8WWNVD" hidden="1">#REF!</definedName>
    <definedName name="BExGYMZGRR1O4VFUEQP4FPY9SFY6" localSheetId="19" hidden="1">#REF!</definedName>
    <definedName name="BExGYMZGRR1O4VFUEQP4FPY9SFY6" hidden="1">#REF!</definedName>
    <definedName name="BExGYOS6TV2C72PLRFU8RP1I58GY" localSheetId="19" hidden="1">#REF!</definedName>
    <definedName name="BExGYOS6TV2C72PLRFU8RP1I58GY" hidden="1">#REF!</definedName>
    <definedName name="BExGZ7NXZ0IBS44C2NZ9VMD6T6K2" localSheetId="19" hidden="1">#REF!</definedName>
    <definedName name="BExGZ7NXZ0IBS44C2NZ9VMD6T6K2" hidden="1">#REF!</definedName>
    <definedName name="BExGZJ78ZWZCVHZ3BKEKFJZ6MAEO" localSheetId="19" hidden="1">#REF!</definedName>
    <definedName name="BExGZJ78ZWZCVHZ3BKEKFJZ6MAEO" hidden="1">#REF!</definedName>
    <definedName name="BExGZOLH2QV73J3M9IWDDPA62TP4" localSheetId="19" hidden="1">#REF!</definedName>
    <definedName name="BExGZOLH2QV73J3M9IWDDPA62TP4" hidden="1">#REF!</definedName>
    <definedName name="BExGZP1PWGFKVVVN4YDIS22DZPCR" localSheetId="19" hidden="1">#REF!</definedName>
    <definedName name="BExGZP1PWGFKVVVN4YDIS22DZPCR" hidden="1">#REF!</definedName>
    <definedName name="BExGZTE5G7WSV7TYWM2Q9FW7YZUN" localSheetId="19" hidden="1">#REF!</definedName>
    <definedName name="BExGZTE5G7WSV7TYWM2Q9FW7YZUN" hidden="1">#REF!</definedName>
    <definedName name="BExH00L21GZX5YJJGVMOAWBERLP5" localSheetId="19" hidden="1">#REF!</definedName>
    <definedName name="BExH00L21GZX5YJJGVMOAWBERLP5" hidden="1">#REF!</definedName>
    <definedName name="BExH02ZD6VAY1KQLAQYBBI6WWIZB" localSheetId="19" hidden="1">#REF!</definedName>
    <definedName name="BExH02ZD6VAY1KQLAQYBBI6WWIZB" hidden="1">#REF!</definedName>
    <definedName name="BExH08Z6LQCGGSGSAILMHX4X7JMD" localSheetId="19" hidden="1">#REF!</definedName>
    <definedName name="BExH08Z6LQCGGSGSAILMHX4X7JMD" hidden="1">#REF!</definedName>
    <definedName name="BExH0BTMHS9M9C5JSOE1DK83LRCJ" localSheetId="19" hidden="1">#REF!</definedName>
    <definedName name="BExH0BTMHS9M9C5JSOE1DK83LRCJ" hidden="1">#REF!</definedName>
    <definedName name="BExH0KT9Z8HEVRRQRGQ8YHXRLIJA" localSheetId="19" hidden="1">#REF!</definedName>
    <definedName name="BExH0KT9Z8HEVRRQRGQ8YHXRLIJA" hidden="1">#REF!</definedName>
    <definedName name="BExH0M0FDN12YBOCKL3XL2Z7T7Y8" localSheetId="19" hidden="1">#REF!</definedName>
    <definedName name="BExH0M0FDN12YBOCKL3XL2Z7T7Y8" hidden="1">#REF!</definedName>
    <definedName name="BExH0O9G06YPZ5TN9RYT326I1CP2" localSheetId="19" hidden="1">#REF!</definedName>
    <definedName name="BExH0O9G06YPZ5TN9RYT326I1CP2" hidden="1">#REF!</definedName>
    <definedName name="BExH0WNJAKTJRCKMTX8O4KNMIIJM" localSheetId="19" hidden="1">#REF!</definedName>
    <definedName name="BExH0WNJAKTJRCKMTX8O4KNMIIJM" hidden="1">#REF!</definedName>
    <definedName name="BExH12Y4WX542WI3ZEM15AK4UM9J" localSheetId="19" hidden="1">#REF!</definedName>
    <definedName name="BExH12Y4WX542WI3ZEM15AK4UM9J" hidden="1">#REF!</definedName>
    <definedName name="BExH181KIGEHYN7U002O6RO1HZT7" localSheetId="19" hidden="1">#REF!</definedName>
    <definedName name="BExH181KIGEHYN7U002O6RO1HZT7" hidden="1">#REF!</definedName>
    <definedName name="BExH1COQB2N3U6HS9ITOY40KC6JA" localSheetId="19" hidden="1">#REF!</definedName>
    <definedName name="BExH1COQB2N3U6HS9ITOY40KC6JA" hidden="1">#REF!</definedName>
    <definedName name="BExH1FDTQXR9QQ31WDB7OPXU7MPT" localSheetId="19" hidden="1">#REF!</definedName>
    <definedName name="BExH1FDTQXR9QQ31WDB7OPXU7MPT" hidden="1">#REF!</definedName>
    <definedName name="BExH1FOMEUIJNIDJAUY0ZQFBJSY9" localSheetId="19" hidden="1">#REF!</definedName>
    <definedName name="BExH1FOMEUIJNIDJAUY0ZQFBJSY9" hidden="1">#REF!</definedName>
    <definedName name="BExH1G4VNA3BFMF4QK35PGSBQJMB" localSheetId="19" hidden="1">#REF!</definedName>
    <definedName name="BExH1G4VNA3BFMF4QK35PGSBQJMB" hidden="1">#REF!</definedName>
    <definedName name="BExH1JFFHEBFX9BWJMNIA3N66R3Z" localSheetId="19" hidden="1">#REF!</definedName>
    <definedName name="BExH1JFFHEBFX9BWJMNIA3N66R3Z" hidden="1">#REF!</definedName>
    <definedName name="BExH1UYUZFQ3NQ2E3UANIJDR9U8U" localSheetId="19" hidden="1">#REF!</definedName>
    <definedName name="BExH1UYUZFQ3NQ2E3UANIJDR9U8U" hidden="1">#REF!</definedName>
    <definedName name="BExH1Z0GIUSVTF2H1G1I3PDGBNK2" localSheetId="19" hidden="1">#REF!</definedName>
    <definedName name="BExH1Z0GIUSVTF2H1G1I3PDGBNK2" hidden="1">#REF!</definedName>
    <definedName name="BExH225UTM6S9FW4MUDZS7F1PQSH" localSheetId="19" hidden="1">#REF!</definedName>
    <definedName name="BExH225UTM6S9FW4MUDZS7F1PQSH" hidden="1">#REF!</definedName>
    <definedName name="BExH22M34C4EGB2M8ES9K2NBZFIX" localSheetId="19" hidden="1">#REF!</definedName>
    <definedName name="BExH22M34C4EGB2M8ES9K2NBZFIX" hidden="1">#REF!</definedName>
    <definedName name="BExH23271RF7AYZ542KHQTH68GQ7" localSheetId="19" hidden="1">#REF!</definedName>
    <definedName name="BExH23271RF7AYZ542KHQTH68GQ7" hidden="1">#REF!</definedName>
    <definedName name="BExH25LUU6AHETNY34SBU5S7UOWE" localSheetId="19" hidden="1">'[38]10.08.4 -2008 Capital'!#REF!</definedName>
    <definedName name="BExH25LUU6AHETNY34SBU5S7UOWE" hidden="1">'[38]10.08.4 -2008 Capital'!#REF!</definedName>
    <definedName name="BExH2EARUVJ0LN7IJXI0S3UWLQB2" localSheetId="14" hidden="1">#REF!</definedName>
    <definedName name="BExH2EARUVJ0LN7IJXI0S3UWLQB2" localSheetId="15" hidden="1">#REF!</definedName>
    <definedName name="BExH2EARUVJ0LN7IJXI0S3UWLQB2" localSheetId="16" hidden="1">#REF!</definedName>
    <definedName name="BExH2EARUVJ0LN7IJXI0S3UWLQB2" localSheetId="19" hidden="1">#REF!</definedName>
    <definedName name="BExH2EARUVJ0LN7IJXI0S3UWLQB2" hidden="1">#REF!</definedName>
    <definedName name="BExH2GJQR4JALNB314RY0LDI49VH" localSheetId="16" hidden="1">#REF!</definedName>
    <definedName name="BExH2GJQR4JALNB314RY0LDI49VH" localSheetId="19" hidden="1">#REF!</definedName>
    <definedName name="BExH2GJQR4JALNB314RY0LDI49VH" hidden="1">#REF!</definedName>
    <definedName name="BExH2JZR49T7644JFVE7B3N7RZM9" localSheetId="16" hidden="1">#REF!</definedName>
    <definedName name="BExH2JZR49T7644JFVE7B3N7RZM9" localSheetId="19" hidden="1">#REF!</definedName>
    <definedName name="BExH2JZR49T7644JFVE7B3N7RZM9" hidden="1">#REF!</definedName>
    <definedName name="BExH2UHF0QTJG107MULYB16WBJM9" localSheetId="19" hidden="1">#REF!</definedName>
    <definedName name="BExH2UHF0QTJG107MULYB16WBJM9" hidden="1">#REF!</definedName>
    <definedName name="BExH2WKXV8X5S2GSBBTWGI0NLNAH" localSheetId="19" hidden="1">#REF!</definedName>
    <definedName name="BExH2WKXV8X5S2GSBBTWGI0NLNAH" hidden="1">#REF!</definedName>
    <definedName name="BExH2XS1UFYFGU0S0EBXX90W2WE8" localSheetId="19" hidden="1">#REF!</definedName>
    <definedName name="BExH2XS1UFYFGU0S0EBXX90W2WE8" hidden="1">#REF!</definedName>
    <definedName name="BExH2XS2TND9SB0GC295R4FP6K5Y" localSheetId="19" hidden="1">#REF!</definedName>
    <definedName name="BExH2XS2TND9SB0GC295R4FP6K5Y" hidden="1">#REF!</definedName>
    <definedName name="BExH2ZA0SZ4SSITL50NA8LZ3OEX6" localSheetId="19" hidden="1">#REF!</definedName>
    <definedName name="BExH2ZA0SZ4SSITL50NA8LZ3OEX6" hidden="1">#REF!</definedName>
    <definedName name="BExH31Z3JNVJPESWKXHILGXZHP2M" localSheetId="19" hidden="1">#REF!</definedName>
    <definedName name="BExH31Z3JNVJPESWKXHILGXZHP2M" hidden="1">#REF!</definedName>
    <definedName name="BExH3E9HZ3QJCDZW7WI7YACFQCHE" localSheetId="19" hidden="1">#REF!</definedName>
    <definedName name="BExH3E9HZ3QJCDZW7WI7YACFQCHE" hidden="1">#REF!</definedName>
    <definedName name="BExH3IRB6764RQ5HBYRLH6XCT29X" localSheetId="19" hidden="1">#REF!</definedName>
    <definedName name="BExH3IRB6764RQ5HBYRLH6XCT29X" hidden="1">#REF!</definedName>
    <definedName name="BExIG2U8V6RSB47SXLCQG3Q68YRO" localSheetId="19" hidden="1">#REF!</definedName>
    <definedName name="BExIG2U8V6RSB47SXLCQG3Q68YRO" hidden="1">#REF!</definedName>
    <definedName name="BExIGHTQQA3RHXK08CNPZI42FVSA" localSheetId="19" hidden="1">#REF!</definedName>
    <definedName name="BExIGHTQQA3RHXK08CNPZI42FVSA" hidden="1">#REF!</definedName>
    <definedName name="BExIGJBO8R13LV7CZ7C1YCP974NN" localSheetId="19" hidden="1">#REF!</definedName>
    <definedName name="BExIGJBO8R13LV7CZ7C1YCP974NN" hidden="1">#REF!</definedName>
    <definedName name="BExIGWT86FPOEYTI8GXCGU5Y3KGK" localSheetId="19" hidden="1">#REF!</definedName>
    <definedName name="BExIGWT86FPOEYTI8GXCGU5Y3KGK" hidden="1">#REF!</definedName>
    <definedName name="BExIHBHXA7E7VUTBVHXXXCH3A5CL" localSheetId="19" hidden="1">#REF!</definedName>
    <definedName name="BExIHBHXA7E7VUTBVHXXXCH3A5CL" hidden="1">#REF!</definedName>
    <definedName name="BExIHBHXMSLC44C053SZXSYO7792" localSheetId="19" hidden="1">#REF!</definedName>
    <definedName name="BExIHBHXMSLC44C053SZXSYO7792" hidden="1">#REF!</definedName>
    <definedName name="BExIHPQCQTGEW8QOJVIQ4VX0P6DX" localSheetId="19" hidden="1">#REF!</definedName>
    <definedName name="BExIHPQCQTGEW8QOJVIQ4VX0P6DX" hidden="1">#REF!</definedName>
    <definedName name="BExII1F6IZ6R90QEXPQM797VHUO1" localSheetId="19" hidden="1">#REF!</definedName>
    <definedName name="BExII1F6IZ6R90QEXPQM797VHUO1" hidden="1">#REF!</definedName>
    <definedName name="BExII1KN91Q7DLW0UB7W2TJ5ACT9" localSheetId="19" hidden="1">#REF!</definedName>
    <definedName name="BExII1KN91Q7DLW0UB7W2TJ5ACT9" hidden="1">#REF!</definedName>
    <definedName name="BExII50LI8I0CDOOZEMIVHVA2V95" localSheetId="19" hidden="1">#REF!</definedName>
    <definedName name="BExII50LI8I0CDOOZEMIVHVA2V95" hidden="1">#REF!</definedName>
    <definedName name="BExIIFCX8RFH3G7Q9DCH3HTE14VA" localSheetId="19" hidden="1">#REF!</definedName>
    <definedName name="BExIIFCX8RFH3G7Q9DCH3HTE14VA" hidden="1">#REF!</definedName>
    <definedName name="BExIIXMY38TQD12CVV4S57L3I809" localSheetId="19" hidden="1">#REF!</definedName>
    <definedName name="BExIIXMY38TQD12CVV4S57L3I809" hidden="1">#REF!</definedName>
    <definedName name="BExIIY37NEVU2LGS1JE4VR9AN6W4" localSheetId="19" hidden="1">#REF!</definedName>
    <definedName name="BExIIY37NEVU2LGS1JE4VR9AN6W4" hidden="1">#REF!</definedName>
    <definedName name="BExIIYJAGXR8TPZ1KCYM7EGJ79UW" localSheetId="19" hidden="1">#REF!</definedName>
    <definedName name="BExIIYJAGXR8TPZ1KCYM7EGJ79UW" hidden="1">#REF!</definedName>
    <definedName name="BExIJ3160YCWGAVEU0208ZGXXG3P" localSheetId="19" hidden="1">#REF!</definedName>
    <definedName name="BExIJ3160YCWGAVEU0208ZGXXG3P" hidden="1">#REF!</definedName>
    <definedName name="BExIJDISZXEB5UAC55IINOQUBK6X" localSheetId="19" hidden="1">#REF!</definedName>
    <definedName name="BExIJDISZXEB5UAC55IINOQUBK6X" hidden="1">#REF!</definedName>
    <definedName name="BExIJFGZJ5ED9D6KAY4PGQYLELAX" localSheetId="19" hidden="1">#REF!</definedName>
    <definedName name="BExIJFGZJ5ED9D6KAY4PGQYLELAX" hidden="1">#REF!</definedName>
    <definedName name="BExIJQK80ZEKSTV62E59AYJYUNLI" localSheetId="19" hidden="1">#REF!</definedName>
    <definedName name="BExIJQK80ZEKSTV62E59AYJYUNLI" hidden="1">#REF!</definedName>
    <definedName name="BExIJRLX3M0YQLU1D5Y9V7HM5QNM" localSheetId="19" hidden="1">#REF!</definedName>
    <definedName name="BExIJRLX3M0YQLU1D5Y9V7HM5QNM" hidden="1">#REF!</definedName>
    <definedName name="BExIJRR7W9PHGSRPIHRCMIOQUEQQ" localSheetId="19" hidden="1">'[38]10.08.4 -2008 Capital'!#REF!</definedName>
    <definedName name="BExIJRR7W9PHGSRPIHRCMIOQUEQQ" hidden="1">'[38]10.08.4 -2008 Capital'!#REF!</definedName>
    <definedName name="BExIJV22J0QA7286KNPMHO1ZUCB3" localSheetId="14" hidden="1">#REF!</definedName>
    <definedName name="BExIJV22J0QA7286KNPMHO1ZUCB3" localSheetId="15" hidden="1">#REF!</definedName>
    <definedName name="BExIJV22J0QA7286KNPMHO1ZUCB3" localSheetId="16" hidden="1">#REF!</definedName>
    <definedName name="BExIJV22J0QA7286KNPMHO1ZUCB3" localSheetId="19" hidden="1">#REF!</definedName>
    <definedName name="BExIJV22J0QA7286KNPMHO1ZUCB3" hidden="1">#REF!</definedName>
    <definedName name="BExIJVI6OC7B6ZE9V4PAOYZXKNER" localSheetId="16" hidden="1">#REF!</definedName>
    <definedName name="BExIJVI6OC7B6ZE9V4PAOYZXKNER" localSheetId="19" hidden="1">#REF!</definedName>
    <definedName name="BExIJVI6OC7B6ZE9V4PAOYZXKNER" hidden="1">#REF!</definedName>
    <definedName name="BExIJWK0NGTGQ4X7D5VIVXD14JHI" localSheetId="16" hidden="1">#REF!</definedName>
    <definedName name="BExIJWK0NGTGQ4X7D5VIVXD14JHI" localSheetId="19" hidden="1">#REF!</definedName>
    <definedName name="BExIJWK0NGTGQ4X7D5VIVXD14JHI" hidden="1">#REF!</definedName>
    <definedName name="BExIJWPCIYINEJUTXU74VK7WG031" localSheetId="19" hidden="1">#REF!</definedName>
    <definedName name="BExIJWPCIYINEJUTXU74VK7WG031" hidden="1">#REF!</definedName>
    <definedName name="BExIKHTXPZR5A8OHB6HDP6QWDHAD" localSheetId="19" hidden="1">#REF!</definedName>
    <definedName name="BExIKHTXPZR5A8OHB6HDP6QWDHAD" hidden="1">#REF!</definedName>
    <definedName name="BExIKMMJOETSAXJYY1SIKM58LMA2" localSheetId="19" hidden="1">#REF!</definedName>
    <definedName name="BExIKMMJOETSAXJYY1SIKM58LMA2" hidden="1">#REF!</definedName>
    <definedName name="BExIKPRX2YB5WTLBU2ZIIDKTSZLB" localSheetId="19" hidden="1">#REF!</definedName>
    <definedName name="BExIKPRX2YB5WTLBU2ZIIDKTSZLB" hidden="1">#REF!</definedName>
    <definedName name="BExIKRF6AQ6VOO9KCIWSM6FY8M7D" localSheetId="19" hidden="1">#REF!</definedName>
    <definedName name="BExIKRF6AQ6VOO9KCIWSM6FY8M7D" hidden="1">#REF!</definedName>
    <definedName name="BExIKTYZESFT3LC0ASFMFKSE0D1X" localSheetId="19" hidden="1">#REF!</definedName>
    <definedName name="BExIKTYZESFT3LC0ASFMFKSE0D1X" hidden="1">#REF!</definedName>
    <definedName name="BExIKXVA6M8K0PTRYAGXS666L335" localSheetId="19" hidden="1">#REF!</definedName>
    <definedName name="BExIKXVA6M8K0PTRYAGXS666L335" hidden="1">#REF!</definedName>
    <definedName name="BExIL0PMZ2SXK9R6MLP43KBU1J2P" localSheetId="19" hidden="1">#REF!</definedName>
    <definedName name="BExIL0PMZ2SXK9R6MLP43KBU1J2P" hidden="1">#REF!</definedName>
    <definedName name="BExIL5T2MJ6DXYOSVERRYGMDV89B" localSheetId="19" hidden="1">#REF!</definedName>
    <definedName name="BExIL5T2MJ6DXYOSVERRYGMDV89B" hidden="1">#REF!</definedName>
    <definedName name="BExILAAXRTRAD18K74M6MGUEEPUM" localSheetId="19" hidden="1">#REF!</definedName>
    <definedName name="BExILAAXRTRAD18K74M6MGUEEPUM" hidden="1">#REF!</definedName>
    <definedName name="BExILG5F338C0FFLMVOKMKF8X5ZP" localSheetId="19" hidden="1">#REF!</definedName>
    <definedName name="BExILG5F338C0FFLMVOKMKF8X5ZP" hidden="1">#REF!</definedName>
    <definedName name="BExILGQTQM0HOD0BJI90YO7GOIN3" localSheetId="19" hidden="1">#REF!</definedName>
    <definedName name="BExILGQTQM0HOD0BJI90YO7GOIN3" hidden="1">#REF!</definedName>
    <definedName name="BExILT6PKNSR8V0R7UE4IRG590K6" localSheetId="19" hidden="1">'[38]10.08.2 - 2008 Expense'!#REF!</definedName>
    <definedName name="BExILT6PKNSR8V0R7UE4IRG590K6" hidden="1">'[38]10.08.2 - 2008 Expense'!#REF!</definedName>
    <definedName name="BExIM2RXHXBO63HBPUTHF775IIRY" localSheetId="14" hidden="1">#REF!</definedName>
    <definedName name="BExIM2RXHXBO63HBPUTHF775IIRY" localSheetId="15" hidden="1">#REF!</definedName>
    <definedName name="BExIM2RXHXBO63HBPUTHF775IIRY" localSheetId="16" hidden="1">#REF!</definedName>
    <definedName name="BExIM2RXHXBO63HBPUTHF775IIRY" localSheetId="19" hidden="1">#REF!</definedName>
    <definedName name="BExIM2RXHXBO63HBPUTHF775IIRY" hidden="1">#REF!</definedName>
    <definedName name="BExIM2RXYS5BGYBDMFLU1RE8039Z" localSheetId="16" hidden="1">#REF!</definedName>
    <definedName name="BExIM2RXYS5BGYBDMFLU1RE8039Z" localSheetId="19" hidden="1">#REF!</definedName>
    <definedName name="BExIM2RXYS5BGYBDMFLU1RE8039Z" hidden="1">#REF!</definedName>
    <definedName name="BExIM2X90EG7J3TG4STQ3J1OK4O0" localSheetId="16" hidden="1">'[38]10.08.5 - 2008 Capital - TDBU'!#REF!</definedName>
    <definedName name="BExIM2X90EG7J3TG4STQ3J1OK4O0" localSheetId="19" hidden="1">'[38]10.08.5 - 2008 Capital - TDBU'!#REF!</definedName>
    <definedName name="BExIM2X90EG7J3TG4STQ3J1OK4O0" hidden="1">'[38]10.08.5 - 2008 Capital - TDBU'!#REF!</definedName>
    <definedName name="BExIM9DBUB7ZGF4B20FVUO9QGOX2" localSheetId="14" hidden="1">#REF!</definedName>
    <definedName name="BExIM9DBUB7ZGF4B20FVUO9QGOX2" localSheetId="15" hidden="1">#REF!</definedName>
    <definedName name="BExIM9DBUB7ZGF4B20FVUO9QGOX2" localSheetId="16" hidden="1">#REF!</definedName>
    <definedName name="BExIM9DBUB7ZGF4B20FVUO9QGOX2" localSheetId="19" hidden="1">#REF!</definedName>
    <definedName name="BExIM9DBUB7ZGF4B20FVUO9QGOX2" hidden="1">#REF!</definedName>
    <definedName name="BExIMGK9Z94TFPWWZFMD10HV0IF6" localSheetId="16" hidden="1">#REF!</definedName>
    <definedName name="BExIMGK9Z94TFPWWZFMD10HV0IF6" localSheetId="19" hidden="1">#REF!</definedName>
    <definedName name="BExIMGK9Z94TFPWWZFMD10HV0IF6" hidden="1">#REF!</definedName>
    <definedName name="BExIMPEGKG18TELVC33T4OQTNBWC" localSheetId="16" hidden="1">#REF!</definedName>
    <definedName name="BExIMPEGKG18TELVC33T4OQTNBWC" localSheetId="19" hidden="1">#REF!</definedName>
    <definedName name="BExIMPEGKG18TELVC33T4OQTNBWC" hidden="1">#REF!</definedName>
    <definedName name="BExIN4OR435DL1US13JQPOQK8GD5" localSheetId="19" hidden="1">#REF!</definedName>
    <definedName name="BExIN4OR435DL1US13JQPOQK8GD5" hidden="1">#REF!</definedName>
    <definedName name="BExINHQ27UK79IK88M14P1SXMGYY" localSheetId="19" hidden="1">#REF!</definedName>
    <definedName name="BExINHQ27UK79IK88M14P1SXMGYY" hidden="1">#REF!</definedName>
    <definedName name="BExINI6A7H3KSFRFA6UBBDPKW37F" localSheetId="19" hidden="1">#REF!</definedName>
    <definedName name="BExINI6A7H3KSFRFA6UBBDPKW37F" hidden="1">#REF!</definedName>
    <definedName name="BExINIMK8XC3JOBT2EXYFHHH52H0" localSheetId="19" hidden="1">#REF!</definedName>
    <definedName name="BExINIMK8XC3JOBT2EXYFHHH52H0" hidden="1">#REF!</definedName>
    <definedName name="BExINLGZTO4C3BAICP3I2AXI0L3L" localSheetId="19" hidden="1">#REF!</definedName>
    <definedName name="BExINLGZTO4C3BAICP3I2AXI0L3L" hidden="1">#REF!</definedName>
    <definedName name="BExINLX401ZKEGWU168DS4JUM2J6" localSheetId="19" hidden="1">#REF!</definedName>
    <definedName name="BExINLX401ZKEGWU168DS4JUM2J6" hidden="1">#REF!</definedName>
    <definedName name="BExINMYYJO1FTV1CZF6O5XCFAMQX" localSheetId="19" hidden="1">#REF!</definedName>
    <definedName name="BExINMYYJO1FTV1CZF6O5XCFAMQX" hidden="1">#REF!</definedName>
    <definedName name="BExINP2H4KI05FRFV5PKZFE00HKO" localSheetId="19" hidden="1">#REF!</definedName>
    <definedName name="BExINP2H4KI05FRFV5PKZFE00HKO" hidden="1">#REF!</definedName>
    <definedName name="BExINT417AAWC51ZA8X4TDJCY0QV" localSheetId="19" hidden="1">#REF!</definedName>
    <definedName name="BExINT417AAWC51ZA8X4TDJCY0QV" hidden="1">#REF!</definedName>
    <definedName name="BExINT42RM5ESUGKCUN8IZFWEV0D" localSheetId="19" hidden="1">'[38]10.08.5 - 2008 Capital - TDBU'!#REF!</definedName>
    <definedName name="BExINT42RM5ESUGKCUN8IZFWEV0D" hidden="1">'[38]10.08.5 - 2008 Capital - TDBU'!#REF!</definedName>
    <definedName name="BExINZELBUXH0OXC3SAGC2RI7DXI" localSheetId="14" hidden="1">#REF!</definedName>
    <definedName name="BExINZELBUXH0OXC3SAGC2RI7DXI" localSheetId="15" hidden="1">#REF!</definedName>
    <definedName name="BExINZELBUXH0OXC3SAGC2RI7DXI" localSheetId="16" hidden="1">#REF!</definedName>
    <definedName name="BExINZELBUXH0OXC3SAGC2RI7DXI" localSheetId="19" hidden="1">#REF!</definedName>
    <definedName name="BExINZELBUXH0OXC3SAGC2RI7DXI" hidden="1">#REF!</definedName>
    <definedName name="BExINZELVWYGU876QUUZCIMXPBQC" localSheetId="16" hidden="1">#REF!</definedName>
    <definedName name="BExINZELVWYGU876QUUZCIMXPBQC" localSheetId="19" hidden="1">#REF!</definedName>
    <definedName name="BExINZELVWYGU876QUUZCIMXPBQC" hidden="1">#REF!</definedName>
    <definedName name="BExIOCQUQHKUU1KONGSDOLQTQEIC" localSheetId="16" hidden="1">#REF!</definedName>
    <definedName name="BExIOCQUQHKUU1KONGSDOLQTQEIC" localSheetId="19" hidden="1">#REF!</definedName>
    <definedName name="BExIOCQUQHKUU1KONGSDOLQTQEIC" hidden="1">#REF!</definedName>
    <definedName name="BExIOFL8Y5O61VLKTB4H20IJNWS1" localSheetId="19" hidden="1">#REF!</definedName>
    <definedName name="BExIOFL8Y5O61VLKTB4H20IJNWS1" hidden="1">#REF!</definedName>
    <definedName name="BExIOMBXRW5NS4ZPYX9G5QREZ5J6" localSheetId="19" hidden="1">#REF!</definedName>
    <definedName name="BExIOMBXRW5NS4ZPYX9G5QREZ5J6" hidden="1">#REF!</definedName>
    <definedName name="BExIOP121EZ0DOU3CLJVVRUIQPZP" localSheetId="19" hidden="1">#REF!</definedName>
    <definedName name="BExIOP121EZ0DOU3CLJVVRUIQPZP" hidden="1">#REF!</definedName>
    <definedName name="BExIORA3GK78T7C7SNBJJUONJ0LS" localSheetId="19" hidden="1">#REF!</definedName>
    <definedName name="BExIORA3GK78T7C7SNBJJUONJ0LS" hidden="1">#REF!</definedName>
    <definedName name="BExIORFDXP4AVIEBLSTZ8ETSXMNM" localSheetId="19" hidden="1">#REF!</definedName>
    <definedName name="BExIORFDXP4AVIEBLSTZ8ETSXMNM" hidden="1">#REF!</definedName>
    <definedName name="BExIOTZ5EFZ2NASVQ05RH15HRSW6" localSheetId="19" hidden="1">#REF!</definedName>
    <definedName name="BExIOTZ5EFZ2NASVQ05RH15HRSW6" hidden="1">#REF!</definedName>
    <definedName name="BExIP8YNN6UUE1GZ223SWH7DLGKO" localSheetId="19" hidden="1">#REF!</definedName>
    <definedName name="BExIP8YNN6UUE1GZ223SWH7DLGKO" hidden="1">#REF!</definedName>
    <definedName name="BExIPAB4AOL592OJCC1CFAXTLF1A" localSheetId="19" hidden="1">#REF!</definedName>
    <definedName name="BExIPAB4AOL592OJCC1CFAXTLF1A" hidden="1">#REF!</definedName>
    <definedName name="BExIPB25DKX4S2ZCKQN7KWSC3JBF" localSheetId="19" hidden="1">#REF!</definedName>
    <definedName name="BExIPB25DKX4S2ZCKQN7KWSC3JBF" hidden="1">#REF!</definedName>
    <definedName name="BExIPDLT8JYAMGE5HTN4D1YHZF3V" localSheetId="19" hidden="1">#REF!</definedName>
    <definedName name="BExIPDLT8JYAMGE5HTN4D1YHZF3V" hidden="1">#REF!</definedName>
    <definedName name="BExIPG040Q08EWIWL6CAVR3GRI43" localSheetId="19" hidden="1">#REF!</definedName>
    <definedName name="BExIPG040Q08EWIWL6CAVR3GRI43" hidden="1">#REF!</definedName>
    <definedName name="BExIPKNFUDPDKOSH5GHDVNA8D66S" localSheetId="19" hidden="1">#REF!</definedName>
    <definedName name="BExIPKNFUDPDKOSH5GHDVNA8D66S" hidden="1">#REF!</definedName>
    <definedName name="BExIPMWA45QSRZBQJ7J5LE412D5J" localSheetId="19" hidden="1">#REF!</definedName>
    <definedName name="BExIPMWA45QSRZBQJ7J5LE412D5J" hidden="1">#REF!</definedName>
    <definedName name="BExIQ1VS9A2FHVD9TUHKG9K8EVVP" localSheetId="19" hidden="1">#REF!</definedName>
    <definedName name="BExIQ1VS9A2FHVD9TUHKG9K8EVVP" hidden="1">#REF!</definedName>
    <definedName name="BExIQ3J19L30PSQ2CXNT6IHW0I7V" localSheetId="19" hidden="1">#REF!</definedName>
    <definedName name="BExIQ3J19L30PSQ2CXNT6IHW0I7V" hidden="1">#REF!</definedName>
    <definedName name="BExIQ3OJ7M04XCY276IO0LJA5XUK" localSheetId="19" hidden="1">#REF!</definedName>
    <definedName name="BExIQ3OJ7M04XCY276IO0LJA5XUK" hidden="1">#REF!</definedName>
    <definedName name="BExIQ5S19ITB0NDRUN4XV7B905ED" localSheetId="19" hidden="1">#REF!</definedName>
    <definedName name="BExIQ5S19ITB0NDRUN4XV7B905ED" hidden="1">#REF!</definedName>
    <definedName name="BExIQ9TMQT2EIXSVQW7GVSOAW2VJ" localSheetId="19" hidden="1">#REF!</definedName>
    <definedName name="BExIQ9TMQT2EIXSVQW7GVSOAW2VJ" hidden="1">#REF!</definedName>
    <definedName name="BExIQBMD65DFEB0L9IMMF5X977SD" localSheetId="19" hidden="1">#REF!</definedName>
    <definedName name="BExIQBMD65DFEB0L9IMMF5X977SD" hidden="1">#REF!</definedName>
    <definedName name="BExIQBMDE1L6J4H27K1FMSHQKDSE" localSheetId="19" hidden="1">#REF!</definedName>
    <definedName name="BExIQBMDE1L6J4H27K1FMSHQKDSE" hidden="1">#REF!</definedName>
    <definedName name="BExIQE65LVXUOF3UZFO7SDHFJH22" localSheetId="19" hidden="1">#REF!</definedName>
    <definedName name="BExIQE65LVXUOF3UZFO7SDHFJH22" hidden="1">#REF!</definedName>
    <definedName name="BExIQG9OO2KKBOWTMD1OXY36TEGA" localSheetId="19" hidden="1">#REF!</definedName>
    <definedName name="BExIQG9OO2KKBOWTMD1OXY36TEGA" hidden="1">#REF!</definedName>
    <definedName name="BExIQK0FRCT7UYOFPF6HXKEUARNJ" localSheetId="19" hidden="1">#REF!</definedName>
    <definedName name="BExIQK0FRCT7UYOFPF6HXKEUARNJ" hidden="1">#REF!</definedName>
    <definedName name="BExIQX1XBB31HZTYEEVOBSE3C5A6" localSheetId="19" hidden="1">#REF!</definedName>
    <definedName name="BExIQX1XBB31HZTYEEVOBSE3C5A6" hidden="1">#REF!</definedName>
    <definedName name="BExIQY8VY7PMQS8M5UTSAF3MW1AA" localSheetId="19" hidden="1">#REF!</definedName>
    <definedName name="BExIQY8VY7PMQS8M5UTSAF3MW1AA" hidden="1">#REF!</definedName>
    <definedName name="BExIQYP5T1TPAQYW7QU1Q98BKX7W" localSheetId="19" hidden="1">#REF!</definedName>
    <definedName name="BExIQYP5T1TPAQYW7QU1Q98BKX7W" hidden="1">#REF!</definedName>
    <definedName name="BExIR2ALYRP9FW99DK2084J7IIDC" localSheetId="19" hidden="1">#REF!</definedName>
    <definedName name="BExIR2ALYRP9FW99DK2084J7IIDC" hidden="1">#REF!</definedName>
    <definedName name="BExIR8FQETPTQYW37DBVDWG3J4JW" localSheetId="19" hidden="1">#REF!</definedName>
    <definedName name="BExIR8FQETPTQYW37DBVDWG3J4JW" hidden="1">#REF!</definedName>
    <definedName name="BExIRRBGTY01OQOI3U5SW59RFDFI" localSheetId="19" hidden="1">#REF!</definedName>
    <definedName name="BExIRRBGTY01OQOI3U5SW59RFDFI" hidden="1">#REF!</definedName>
    <definedName name="BExIRRM8X5MMN15Q3SPFK13165ZR" localSheetId="19" hidden="1">'[38]10.08.5 - 2008 Capital - TDBU'!#REF!</definedName>
    <definedName name="BExIRRM8X5MMN15Q3SPFK13165ZR" hidden="1">'[38]10.08.5 - 2008 Capital - TDBU'!#REF!</definedName>
    <definedName name="BExIS4T0DRF57HYO7OGG72KBOFOI" localSheetId="14" hidden="1">#REF!</definedName>
    <definedName name="BExIS4T0DRF57HYO7OGG72KBOFOI" localSheetId="15" hidden="1">#REF!</definedName>
    <definedName name="BExIS4T0DRF57HYO7OGG72KBOFOI" localSheetId="16" hidden="1">#REF!</definedName>
    <definedName name="BExIS4T0DRF57HYO7OGG72KBOFOI" localSheetId="19" hidden="1">#REF!</definedName>
    <definedName name="BExIS4T0DRF57HYO7OGG72KBOFOI" hidden="1">#REF!</definedName>
    <definedName name="BExIS77BJDDK18PGI9DSEYZPIL7P" localSheetId="16" hidden="1">#REF!</definedName>
    <definedName name="BExIS77BJDDK18PGI9DSEYZPIL7P" localSheetId="19" hidden="1">#REF!</definedName>
    <definedName name="BExIS77BJDDK18PGI9DSEYZPIL7P" hidden="1">#REF!</definedName>
    <definedName name="BExIS8UME1A94FJH5YHFVEO8E03Z" localSheetId="16" hidden="1">#REF!</definedName>
    <definedName name="BExIS8UME1A94FJH5YHFVEO8E03Z" localSheetId="19" hidden="1">#REF!</definedName>
    <definedName name="BExIS8UME1A94FJH5YHFVEO8E03Z" hidden="1">#REF!</definedName>
    <definedName name="BExIS8USL1T3Z97CZ30HJ98E2GXQ" localSheetId="19" hidden="1">#REF!</definedName>
    <definedName name="BExIS8USL1T3Z97CZ30HJ98E2GXQ" hidden="1">#REF!</definedName>
    <definedName name="BExISC5B700MZUBFTQ9K4IKTF7HR" localSheetId="19" hidden="1">#REF!</definedName>
    <definedName name="BExISC5B700MZUBFTQ9K4IKTF7HR" hidden="1">#REF!</definedName>
    <definedName name="BExISDHXS49S1H56ENBPRF1NLD5C" localSheetId="19" hidden="1">#REF!</definedName>
    <definedName name="BExISDHXS49S1H56ENBPRF1NLD5C" hidden="1">#REF!</definedName>
    <definedName name="BExISM1JLV54A21A164IURMPGUMU" localSheetId="19" hidden="1">#REF!</definedName>
    <definedName name="BExISM1JLV54A21A164IURMPGUMU" hidden="1">#REF!</definedName>
    <definedName name="BExISRFKJYUZ4AKW44IJF7RF9Y90" localSheetId="19" hidden="1">#REF!</definedName>
    <definedName name="BExISRFKJYUZ4AKW44IJF7RF9Y90" hidden="1">#REF!</definedName>
    <definedName name="BExISXVMB9A7MHHRJTQGWLTINL5K" localSheetId="19" hidden="1">#REF!</definedName>
    <definedName name="BExISXVMB9A7MHHRJTQGWLTINL5K" hidden="1">#REF!</definedName>
    <definedName name="BExIT1MK8TBAK3SNP36A8FKDQSOK" localSheetId="19" hidden="1">#REF!</definedName>
    <definedName name="BExIT1MK8TBAK3SNP36A8FKDQSOK" hidden="1">#REF!</definedName>
    <definedName name="BExITBNYANV2S8KD56GOGCKW393R" localSheetId="19" hidden="1">#REF!</definedName>
    <definedName name="BExITBNYANV2S8KD56GOGCKW393R" hidden="1">#REF!</definedName>
    <definedName name="BExItemGrid">#REF!</definedName>
    <definedName name="BExITENTNC8AZE7V0WRWRYW8HP0C" localSheetId="19" hidden="1">#REF!</definedName>
    <definedName name="BExITENTNC8AZE7V0WRWRYW8HP0C" hidden="1">#REF!</definedName>
    <definedName name="BExITKI640SU7Y4KLZY9I1Z9R6TT" localSheetId="19" hidden="1">#REF!</definedName>
    <definedName name="BExITKI640SU7Y4KLZY9I1Z9R6TT" hidden="1">#REF!</definedName>
    <definedName name="BExITTSMS5QHJIV39IX8L172UTTU" localSheetId="19" hidden="1">#REF!</definedName>
    <definedName name="BExITTSMS5QHJIV39IX8L172UTTU" hidden="1">#REF!</definedName>
    <definedName name="BExITU3FT317H7G8057DIO12TN7U" localSheetId="19" hidden="1">#REF!</definedName>
    <definedName name="BExITU3FT317H7G8057DIO12TN7U" hidden="1">#REF!</definedName>
    <definedName name="BExITXE2V3RFP2CB0EZVVTMZFX7T" localSheetId="19" hidden="1">#REF!</definedName>
    <definedName name="BExITXE2V3RFP2CB0EZVVTMZFX7T" hidden="1">#REF!</definedName>
    <definedName name="BExIUAFCGGFQDEDMTXUYTTA3EYBT" localSheetId="19" hidden="1">#REF!</definedName>
    <definedName name="BExIUAFCGGFQDEDMTXUYTTA3EYBT" hidden="1">#REF!</definedName>
    <definedName name="BExIUD4OJGH65NFNQ4VMCE3R4J1X" localSheetId="19" hidden="1">#REF!</definedName>
    <definedName name="BExIUD4OJGH65NFNQ4VMCE3R4J1X" hidden="1">#REF!</definedName>
    <definedName name="BExIUKGWIPE992U6T8OUR0LZQDXK" localSheetId="19" hidden="1">#REF!</definedName>
    <definedName name="BExIUKGWIPE992U6T8OUR0LZQDXK" hidden="1">#REF!</definedName>
    <definedName name="BExIUM46R6FW1PBJUL86BQVXB96X" localSheetId="19" hidden="1">#REF!</definedName>
    <definedName name="BExIUM46R6FW1PBJUL86BQVXB96X" hidden="1">#REF!</definedName>
    <definedName name="BExIUTB5OAAXYW0OFMP0PS40SPOB" localSheetId="19" hidden="1">#REF!</definedName>
    <definedName name="BExIUTB5OAAXYW0OFMP0PS40SPOB" hidden="1">#REF!</definedName>
    <definedName name="BExIUUT2MHIOV6R3WHA0DPM1KBKY" localSheetId="19" hidden="1">#REF!</definedName>
    <definedName name="BExIUUT2MHIOV6R3WHA0DPM1KBKY" hidden="1">#REF!</definedName>
    <definedName name="BExIUY3RMHPHDAHQNA21GY3ZUTMU" localSheetId="19" hidden="1">#REF!</definedName>
    <definedName name="BExIUY3RMHPHDAHQNA21GY3ZUTMU" hidden="1">#REF!</definedName>
    <definedName name="BExIUYPDT1AM6MWGWQS646PIZIWC" localSheetId="19" hidden="1">#REF!</definedName>
    <definedName name="BExIUYPDT1AM6MWGWQS646PIZIWC" hidden="1">#REF!</definedName>
    <definedName name="BExIV0I2O9F8D1UK1SI8AEYR6U0A" localSheetId="19" hidden="1">#REF!</definedName>
    <definedName name="BExIV0I2O9F8D1UK1SI8AEYR6U0A" hidden="1">#REF!</definedName>
    <definedName name="BExIV2LM38XPLRTWT0R44TMQ59E5" localSheetId="19" hidden="1">#REF!</definedName>
    <definedName name="BExIV2LM38XPLRTWT0R44TMQ59E5" hidden="1">#REF!</definedName>
    <definedName name="BExIV3HY4S0YRV1F7XEMF2YHAR2I" localSheetId="19" hidden="1">#REF!</definedName>
    <definedName name="BExIV3HY4S0YRV1F7XEMF2YHAR2I" hidden="1">#REF!</definedName>
    <definedName name="BExIV6HUZFRIFLXW2SICKGTAH1PV" localSheetId="19" hidden="1">#REF!</definedName>
    <definedName name="BExIV6HUZFRIFLXW2SICKGTAH1PV" hidden="1">#REF!</definedName>
    <definedName name="BExIV8AM80CS6E5TN6IATF33GV1V" localSheetId="19" hidden="1">#REF!</definedName>
    <definedName name="BExIV8AM80CS6E5TN6IATF33GV1V" hidden="1">#REF!</definedName>
    <definedName name="BExIVBFYNRU691AQPVWWPH7PG4PX" localSheetId="19" hidden="1">#REF!</definedName>
    <definedName name="BExIVBFYNRU691AQPVWWPH7PG4PX" hidden="1">#REF!</definedName>
    <definedName name="BExIVC6WZMHRBRGIBUVX0CO2RK05" localSheetId="19" hidden="1">#REF!</definedName>
    <definedName name="BExIVC6WZMHRBRGIBUVX0CO2RK05" hidden="1">#REF!</definedName>
    <definedName name="BExIVCXWL6H5LD9DHDIA4F5U9TQL" localSheetId="19" hidden="1">#REF!</definedName>
    <definedName name="BExIVCXWL6H5LD9DHDIA4F5U9TQL" hidden="1">#REF!</definedName>
    <definedName name="BExIVEL6GUMOY062S9PFOGOGJ1UX" localSheetId="19" hidden="1">#REF!</definedName>
    <definedName name="BExIVEL6GUMOY062S9PFOGOGJ1UX" hidden="1">#REF!</definedName>
    <definedName name="BExIVMOIPSEWSIHIDDLOXESQ28A0" localSheetId="19" hidden="1">#REF!</definedName>
    <definedName name="BExIVMOIPSEWSIHIDDLOXESQ28A0" hidden="1">#REF!</definedName>
    <definedName name="BExIVNVNJX9BYDLC88NG09YF5XQ6" localSheetId="19" hidden="1">#REF!</definedName>
    <definedName name="BExIVNVNJX9BYDLC88NG09YF5XQ6" hidden="1">#REF!</definedName>
    <definedName name="BExIVQVKLMGSRYT1LFZH0KUIA4OR" localSheetId="19" hidden="1">#REF!</definedName>
    <definedName name="BExIVQVKLMGSRYT1LFZH0KUIA4OR" hidden="1">#REF!</definedName>
    <definedName name="BExIVYTFI35KNR2XSA6N8OJYUTUR" localSheetId="19" hidden="1">#REF!</definedName>
    <definedName name="BExIVYTFI35KNR2XSA6N8OJYUTUR" hidden="1">#REF!</definedName>
    <definedName name="BExIWB3SY3WRIVIOF988DNNODBOA" localSheetId="19" hidden="1">#REF!</definedName>
    <definedName name="BExIWB3SY3WRIVIOF988DNNODBOA" hidden="1">#REF!</definedName>
    <definedName name="BExIWB99CG0H52LRD6QWPN4L6DV2" localSheetId="19" hidden="1">#REF!</definedName>
    <definedName name="BExIWB99CG0H52LRD6QWPN4L6DV2" hidden="1">#REF!</definedName>
    <definedName name="BExIWCGFM00Y1WAFPJT5KRD1K5XP" localSheetId="19" hidden="1">#REF!</definedName>
    <definedName name="BExIWCGFM00Y1WAFPJT5KRD1K5XP" hidden="1">#REF!</definedName>
    <definedName name="BExIWG1W7XP9DFYYSZAIOSHM0QLQ" localSheetId="19" hidden="1">#REF!</definedName>
    <definedName name="BExIWG1W7XP9DFYYSZAIOSHM0QLQ" hidden="1">#REF!</definedName>
    <definedName name="BExIWH3KUK94B7833DD4TB0Y6KP9" localSheetId="19" hidden="1">#REF!</definedName>
    <definedName name="BExIWH3KUK94B7833DD4TB0Y6KP9" hidden="1">#REF!</definedName>
    <definedName name="BExIWKE9MGIDWORBI43AWTUNYFAN" localSheetId="19" hidden="1">#REF!</definedName>
    <definedName name="BExIWKE9MGIDWORBI43AWTUNYFAN" hidden="1">#REF!</definedName>
    <definedName name="BExIWLFXFUPVKEPUHWJYGEW9I7SQ" localSheetId="19" hidden="1">#REF!</definedName>
    <definedName name="BExIWLFXFUPVKEPUHWJYGEW9I7SQ" hidden="1">#REF!</definedName>
    <definedName name="BExIWNZR6BI167OK1PHT0XMDHSMS" localSheetId="19" hidden="1">#REF!</definedName>
    <definedName name="BExIWNZR6BI167OK1PHT0XMDHSMS" hidden="1">#REF!</definedName>
    <definedName name="BExIWQ8KOCZ9G1137JOM03I28GP4" localSheetId="19" hidden="1">#REF!</definedName>
    <definedName name="BExIWQ8KOCZ9G1137JOM03I28GP4" hidden="1">#REF!</definedName>
    <definedName name="BExIX34PM5DBTRHRQWP6PL6WIX88" localSheetId="19" hidden="1">#REF!</definedName>
    <definedName name="BExIX34PM5DBTRHRQWP6PL6WIX88" hidden="1">#REF!</definedName>
    <definedName name="BExIX5OAP9KSUE5SIZCW9P39Q4WE" localSheetId="19" hidden="1">#REF!</definedName>
    <definedName name="BExIX5OAP9KSUE5SIZCW9P39Q4WE" hidden="1">#REF!</definedName>
    <definedName name="BExIXB7UUMLUUU4G2KWA00VKHNEJ" localSheetId="19" hidden="1">#REF!</definedName>
    <definedName name="BExIXB7UUMLUUU4G2KWA00VKHNEJ" hidden="1">#REF!</definedName>
    <definedName name="BExIXGRJPVJMUDGSG7IHPXPNO69B" localSheetId="19" hidden="1">#REF!</definedName>
    <definedName name="BExIXGRJPVJMUDGSG7IHPXPNO69B" hidden="1">#REF!</definedName>
    <definedName name="BExIXM5R87ZL3FHALWZXYCPHGX3E" localSheetId="19" hidden="1">#REF!</definedName>
    <definedName name="BExIXM5R87ZL3FHALWZXYCPHGX3E" hidden="1">#REF!</definedName>
    <definedName name="BExIXS036ZCKT2Z8XZKLZ8PFWQGL" localSheetId="19" hidden="1">#REF!</definedName>
    <definedName name="BExIXS036ZCKT2Z8XZKLZ8PFWQGL" hidden="1">#REF!</definedName>
    <definedName name="BExIXY5CF9PFM0P40AZ4U51TMWV0" localSheetId="19" hidden="1">#REF!</definedName>
    <definedName name="BExIXY5CF9PFM0P40AZ4U51TMWV0" hidden="1">#REF!</definedName>
    <definedName name="BExIYEXJBK8JDWIRSVV4RJSKZVV1" localSheetId="19" hidden="1">#REF!</definedName>
    <definedName name="BExIYEXJBK8JDWIRSVV4RJSKZVV1" hidden="1">#REF!</definedName>
    <definedName name="BExIYI2RH0K4225XO970K2IQ1E79" localSheetId="19" hidden="1">#REF!</definedName>
    <definedName name="BExIYI2RH0K4225XO970K2IQ1E79" hidden="1">#REF!</definedName>
    <definedName name="BExIYMPZ0KS2KOJFQAUQJ77L7701" localSheetId="19" hidden="1">#REF!</definedName>
    <definedName name="BExIYMPZ0KS2KOJFQAUQJ77L7701" hidden="1">#REF!</definedName>
    <definedName name="BExIYP9Q6FV9T0R9G3UDKLS4TTYX" localSheetId="19" hidden="1">#REF!</definedName>
    <definedName name="BExIYP9Q6FV9T0R9G3UDKLS4TTYX" hidden="1">#REF!</definedName>
    <definedName name="BExIYQ63QDPSPOEL1H0OP89YQTZH" localSheetId="19" hidden="1">'[38]10.08.2 - 2008 Expense'!#REF!</definedName>
    <definedName name="BExIYQ63QDPSPOEL1H0OP89YQTZH" hidden="1">'[38]10.08.2 - 2008 Expense'!#REF!</definedName>
    <definedName name="BExIYV9IMIVVVSZNL48E412WN7ZF" localSheetId="14" hidden="1">#REF!</definedName>
    <definedName name="BExIYV9IMIVVVSZNL48E412WN7ZF" localSheetId="15" hidden="1">#REF!</definedName>
    <definedName name="BExIYV9IMIVVVSZNL48E412WN7ZF" localSheetId="16" hidden="1">#REF!</definedName>
    <definedName name="BExIYV9IMIVVVSZNL48E412WN7ZF" localSheetId="19" hidden="1">#REF!</definedName>
    <definedName name="BExIYV9IMIVVVSZNL48E412WN7ZF" hidden="1">#REF!</definedName>
    <definedName name="BExIYWWSSNFJ49218D4EO9QWKL69" localSheetId="16" hidden="1">#REF!</definedName>
    <definedName name="BExIYWWSSNFJ49218D4EO9QWKL69" localSheetId="19" hidden="1">#REF!</definedName>
    <definedName name="BExIYWWSSNFJ49218D4EO9QWKL69" hidden="1">#REF!</definedName>
    <definedName name="BExIYZGLDQ1TN7BIIN4RLDP31GIM" localSheetId="16" hidden="1">#REF!</definedName>
    <definedName name="BExIYZGLDQ1TN7BIIN4RLDP31GIM" localSheetId="19" hidden="1">#REF!</definedName>
    <definedName name="BExIYZGLDQ1TN7BIIN4RLDP31GIM" hidden="1">#REF!</definedName>
    <definedName name="BExIZ4K0EZJK6PW3L8SVKTJFSWW9" localSheetId="19" hidden="1">#REF!</definedName>
    <definedName name="BExIZ4K0EZJK6PW3L8SVKTJFSWW9" hidden="1">#REF!</definedName>
    <definedName name="BExIZ5GDN6WSJ55BFCN2CC7G80L0" localSheetId="19" hidden="1">#REF!</definedName>
    <definedName name="BExIZ5GDN6WSJ55BFCN2CC7G80L0" hidden="1">#REF!</definedName>
    <definedName name="BExIZ6YBLNY9O1BQC129VGDXCVNX" localSheetId="19" hidden="1">#REF!</definedName>
    <definedName name="BExIZ6YBLNY9O1BQC129VGDXCVNX" hidden="1">#REF!</definedName>
    <definedName name="BExIZAECOEZGBAO29QMV14E6XDIV" localSheetId="19" hidden="1">#REF!</definedName>
    <definedName name="BExIZAECOEZGBAO29QMV14E6XDIV" hidden="1">#REF!</definedName>
    <definedName name="BExIZKVXYD5O2JBU81F2UFJZLLSI" localSheetId="19" hidden="1">#REF!</definedName>
    <definedName name="BExIZKVXYD5O2JBU81F2UFJZLLSI" hidden="1">#REF!</definedName>
    <definedName name="BExIZPZDHC8HGER83WHCZAHOX7LK" localSheetId="19" hidden="1">#REF!</definedName>
    <definedName name="BExIZPZDHC8HGER83WHCZAHOX7LK" hidden="1">#REF!</definedName>
    <definedName name="BExIZY2PUZ0OF9YKK1B13IW0VS6G" localSheetId="19" hidden="1">#REF!</definedName>
    <definedName name="BExIZY2PUZ0OF9YKK1B13IW0VS6G" hidden="1">#REF!</definedName>
    <definedName name="BExJ08KBRR2XMWW3VZMPSQKXHZUH" localSheetId="19" hidden="1">#REF!</definedName>
    <definedName name="BExJ08KBRR2XMWW3VZMPSQKXHZUH" hidden="1">#REF!</definedName>
    <definedName name="BExJ0DYJWXGE7DA39PYL3WM05U9O" localSheetId="19" hidden="1">#REF!</definedName>
    <definedName name="BExJ0DYJWXGE7DA39PYL3WM05U9O" hidden="1">#REF!</definedName>
    <definedName name="BExJ0MY8SY5J5V50H3UKE78ODTVB" localSheetId="19" hidden="1">#REF!</definedName>
    <definedName name="BExJ0MY8SY5J5V50H3UKE78ODTVB" hidden="1">#REF!</definedName>
    <definedName name="BExJ0YC98G37ML4N8FLP8D95EFRF" localSheetId="19" hidden="1">#REF!</definedName>
    <definedName name="BExJ0YC98G37ML4N8FLP8D95EFRF" hidden="1">#REF!</definedName>
    <definedName name="BExJ1PWWYANUHL8A16ETV0RDAXC3" localSheetId="19" hidden="1">#REF!</definedName>
    <definedName name="BExJ1PWWYANUHL8A16ETV0RDAXC3" hidden="1">#REF!</definedName>
    <definedName name="BExKCDYKAEV45AFXHVHZZ62E5BM3" localSheetId="19" hidden="1">#REF!</definedName>
    <definedName name="BExKCDYKAEV45AFXHVHZZ62E5BM3" hidden="1">#REF!</definedName>
    <definedName name="BExKCJCRGT5SGXIHDQI24Z6J8GI4" localSheetId="19" hidden="1">#REF!</definedName>
    <definedName name="BExKCJCRGT5SGXIHDQI24Z6J8GI4" hidden="1">#REF!</definedName>
    <definedName name="BExKDKO0W4AGQO1V7K6Q4VM750FT" localSheetId="19" hidden="1">#REF!</definedName>
    <definedName name="BExKDKO0W4AGQO1V7K6Q4VM750FT" hidden="1">#REF!</definedName>
    <definedName name="BExKDLF10G7W77J87QWH3ZGLUCLW" localSheetId="19" hidden="1">#REF!</definedName>
    <definedName name="BExKDLF10G7W77J87QWH3ZGLUCLW" hidden="1">#REF!</definedName>
    <definedName name="BExKE0PBX3XGOUM78ZT54ALDAVSP" localSheetId="19" hidden="1">#REF!</definedName>
    <definedName name="BExKE0PBX3XGOUM78ZT54ALDAVSP" hidden="1">#REF!</definedName>
    <definedName name="BExKEFE0I3MT6ZLC4T1L9465HKTN" localSheetId="19" hidden="1">#REF!</definedName>
    <definedName name="BExKEFE0I3MT6ZLC4T1L9465HKTN" hidden="1">#REF!</definedName>
    <definedName name="BExKEK6O5BVJP4VY02FY7JNAZ6BT" localSheetId="19" hidden="1">#REF!</definedName>
    <definedName name="BExKEK6O5BVJP4VY02FY7JNAZ6BT" hidden="1">#REF!</definedName>
    <definedName name="BExKEKXK6E6QX339ELPXDIRZSJE0" localSheetId="19" hidden="1">#REF!</definedName>
    <definedName name="BExKEKXK6E6QX339ELPXDIRZSJE0" hidden="1">#REF!</definedName>
    <definedName name="BExKEOOIBMP7N8033EY2CJYCBX6H" localSheetId="19" hidden="1">#REF!</definedName>
    <definedName name="BExKEOOIBMP7N8033EY2CJYCBX6H" hidden="1">#REF!</definedName>
    <definedName name="BExKEW0RR5LA3VC46A2BEOOMQE56" localSheetId="19" hidden="1">#REF!</definedName>
    <definedName name="BExKEW0RR5LA3VC46A2BEOOMQE56" hidden="1">#REF!</definedName>
    <definedName name="BExKFA3VI1CZK21SM0N3LZWT9LA1" localSheetId="19" hidden="1">#REF!</definedName>
    <definedName name="BExKFA3VI1CZK21SM0N3LZWT9LA1" hidden="1">#REF!</definedName>
    <definedName name="BExKFHGARZIYPYRZWQNLP5VVCRE2" localSheetId="19" hidden="1">#REF!</definedName>
    <definedName name="BExKFHGARZIYPYRZWQNLP5VVCRE2" hidden="1">#REF!</definedName>
    <definedName name="BExKFINBFV5J2NFRCL4YUO3YF0ZE" localSheetId="19" hidden="1">#REF!</definedName>
    <definedName name="BExKFINBFV5J2NFRCL4YUO3YF0ZE" hidden="1">#REF!</definedName>
    <definedName name="BExKFISRBFACTAMJSALEYMY66F6X" localSheetId="19" hidden="1">#REF!</definedName>
    <definedName name="BExKFISRBFACTAMJSALEYMY66F6X" hidden="1">#REF!</definedName>
    <definedName name="BExKFOSK5DJ151C4E8544UWMYTOC" localSheetId="19" hidden="1">#REF!</definedName>
    <definedName name="BExKFOSK5DJ151C4E8544UWMYTOC" hidden="1">#REF!</definedName>
    <definedName name="BExKFY32BHV278YC2ID5UIB5O51K" localSheetId="19" hidden="1">#REF!</definedName>
    <definedName name="BExKFY32BHV278YC2ID5UIB5O51K" hidden="1">#REF!</definedName>
    <definedName name="BExKFYJC4EVEV54F82K6VKP7Q3OU" localSheetId="19" hidden="1">#REF!</definedName>
    <definedName name="BExKFYJC4EVEV54F82K6VKP7Q3OU" hidden="1">#REF!</definedName>
    <definedName name="BExKG4IYHBKQQ8J8FN10GB2IKO33" localSheetId="19" hidden="1">#REF!</definedName>
    <definedName name="BExKG4IYHBKQQ8J8FN10GB2IKO33" hidden="1">#REF!</definedName>
    <definedName name="BExKG60XBDFYOF7ZU3F5US7CM2Y4" localSheetId="19" hidden="1">#REF!</definedName>
    <definedName name="BExKG60XBDFYOF7ZU3F5US7CM2Y4" hidden="1">#REF!</definedName>
    <definedName name="BExKG6XA0DGM4VUMUE4NHHVYVJ0J" localSheetId="19" hidden="1">#REF!</definedName>
    <definedName name="BExKG6XA0DGM4VUMUE4NHHVYVJ0J" hidden="1">#REF!</definedName>
    <definedName name="BExKGF0L44S78D33WMQ1A75TRKB9" localSheetId="19" hidden="1">#REF!</definedName>
    <definedName name="BExKGF0L44S78D33WMQ1A75TRKB9" hidden="1">#REF!</definedName>
    <definedName name="BExKGFRN31B3G20LMQ4LRF879J68" localSheetId="19" hidden="1">#REF!</definedName>
    <definedName name="BExKGFRN31B3G20LMQ4LRF879J68" hidden="1">#REF!</definedName>
    <definedName name="BExKGJD3U3ADZILP20U3EURP0UQP" localSheetId="19" hidden="1">#REF!</definedName>
    <definedName name="BExKGJD3U3ADZILP20U3EURP0UQP" hidden="1">#REF!</definedName>
    <definedName name="BExKGNK5YGKP0YHHTAAOV17Z9EIM" localSheetId="19" hidden="1">#REF!</definedName>
    <definedName name="BExKGNK5YGKP0YHHTAAOV17Z9EIM" hidden="1">#REF!</definedName>
    <definedName name="BExKGRLRYB3OW56X3JCUII1OOS3K" localSheetId="19" hidden="1">#REF!</definedName>
    <definedName name="BExKGRLRYB3OW56X3JCUII1OOS3K" hidden="1">#REF!</definedName>
    <definedName name="BExKGV77YH9YXIQTRKK2331QGYKF" localSheetId="19" hidden="1">#REF!</definedName>
    <definedName name="BExKGV77YH9YXIQTRKK2331QGYKF" hidden="1">#REF!</definedName>
    <definedName name="BExKH170S7VQ0NRNOWNT98XVEWUH" localSheetId="19" hidden="1">#REF!</definedName>
    <definedName name="BExKH170S7VQ0NRNOWNT98XVEWUH" hidden="1">#REF!</definedName>
    <definedName name="BExKH3FTZ5VGTB86W9M4AB39R0G8" localSheetId="19" hidden="1">#REF!</definedName>
    <definedName name="BExKH3FTZ5VGTB86W9M4AB39R0G8" hidden="1">#REF!</definedName>
    <definedName name="BExKH3FV5U5O6XZM7STS3NZKQFGJ" localSheetId="19" hidden="1">#REF!</definedName>
    <definedName name="BExKH3FV5U5O6XZM7STS3NZKQFGJ" hidden="1">#REF!</definedName>
    <definedName name="BExKHAMUH8NR3HRV0V6FHJE3ROLN" localSheetId="19" hidden="1">#REF!</definedName>
    <definedName name="BExKHAMUH8NR3HRV0V6FHJE3ROLN" hidden="1">#REF!</definedName>
    <definedName name="BExKHCFKOWFHO2WW0N7Y5XDXEWAO" localSheetId="19" hidden="1">#REF!</definedName>
    <definedName name="BExKHCFKOWFHO2WW0N7Y5XDXEWAO" hidden="1">#REF!</definedName>
    <definedName name="BExKHIVLONZ46HLMR50DEXKEUNEP" localSheetId="19" hidden="1">#REF!</definedName>
    <definedName name="BExKHIVLONZ46HLMR50DEXKEUNEP" hidden="1">#REF!</definedName>
    <definedName name="BExKHKDK2PRBCUJS8TEDP8K3VODQ" localSheetId="19" hidden="1">#REF!</definedName>
    <definedName name="BExKHKDK2PRBCUJS8TEDP8K3VODQ" hidden="1">#REF!</definedName>
    <definedName name="BExKHPM9XA0ADDK7TUR0N38EXWEP" localSheetId="19" hidden="1">#REF!</definedName>
    <definedName name="BExKHPM9XA0ADDK7TUR0N38EXWEP" hidden="1">#REF!</definedName>
    <definedName name="BExKHWD5BOLP8DQJHOIBWHYCSY9W" localSheetId="19" hidden="1">#REF!</definedName>
    <definedName name="BExKHWD5BOLP8DQJHOIBWHYCSY9W" hidden="1">#REF!</definedName>
    <definedName name="BExKI4076KXCDE5KXL79KT36OKLO" localSheetId="19" hidden="1">#REF!</definedName>
    <definedName name="BExKI4076KXCDE5KXL79KT36OKLO" hidden="1">#REF!</definedName>
    <definedName name="BExKI45P8VH8M6QPIX8B2CFPOGZ3" localSheetId="19" hidden="1">#REF!</definedName>
    <definedName name="BExKI45P8VH8M6QPIX8B2CFPOGZ3" hidden="1">#REF!</definedName>
    <definedName name="BExKI7LO70WYISR7Q0Y1ZDWO9M3B" localSheetId="19" hidden="1">#REF!</definedName>
    <definedName name="BExKI7LO70WYISR7Q0Y1ZDWO9M3B" hidden="1">#REF!</definedName>
    <definedName name="BExKIEN5C2YIQQSVLK8YO62XYJMM" localSheetId="19" hidden="1">#REF!</definedName>
    <definedName name="BExKIEN5C2YIQQSVLK8YO62XYJMM" hidden="1">#REF!</definedName>
    <definedName name="BExKIGQV6TXIZG039HBOJU62WP2U" localSheetId="19" hidden="1">#REF!</definedName>
    <definedName name="BExKIGQV6TXIZG039HBOJU62WP2U" hidden="1">#REF!</definedName>
    <definedName name="BExKILE008SF3KTAN8WML3XKI1NZ" localSheetId="19" hidden="1">#REF!</definedName>
    <definedName name="BExKILE008SF3KTAN8WML3XKI1NZ" hidden="1">#REF!</definedName>
    <definedName name="BExKINSBB6RS7I489QHMCOMU4Z2X" localSheetId="19" hidden="1">#REF!</definedName>
    <definedName name="BExKINSBB6RS7I489QHMCOMU4Z2X" hidden="1">#REF!</definedName>
    <definedName name="BExKIU87ZKSOC2DYZWFK6SAK9I8E" localSheetId="19" hidden="1">#REF!</definedName>
    <definedName name="BExKIU87ZKSOC2DYZWFK6SAK9I8E" hidden="1">#REF!</definedName>
    <definedName name="BExKJ449HLYX2DJ9UF0H9GTPSQ73" localSheetId="19" hidden="1">#REF!</definedName>
    <definedName name="BExKJ449HLYX2DJ9UF0H9GTPSQ73" hidden="1">#REF!</definedName>
    <definedName name="BExKJELX2RUC8UEC56IZPYYZXHA7" localSheetId="19" hidden="1">#REF!</definedName>
    <definedName name="BExKJELX2RUC8UEC56IZPYYZXHA7" hidden="1">#REF!</definedName>
    <definedName name="BExKJINMXS61G2TZEXCJAWVV4F57" localSheetId="19" hidden="1">#REF!</definedName>
    <definedName name="BExKJINMXS61G2TZEXCJAWVV4F57" hidden="1">#REF!</definedName>
    <definedName name="BExKJK5ME8KB7HA0180L7OUZDDGV" localSheetId="19" hidden="1">#REF!</definedName>
    <definedName name="BExKJK5ME8KB7HA0180L7OUZDDGV" hidden="1">#REF!</definedName>
    <definedName name="BExKJN5IF0VMDILJ5K8ZENF2QYV1" localSheetId="19" hidden="1">#REF!</definedName>
    <definedName name="BExKJN5IF0VMDILJ5K8ZENF2QYV1" hidden="1">#REF!</definedName>
    <definedName name="BExKJUSJPFUIK20FTVAFJWR2OUYX" localSheetId="19" hidden="1">#REF!</definedName>
    <definedName name="BExKJUSJPFUIK20FTVAFJWR2OUYX" hidden="1">#REF!</definedName>
    <definedName name="BExKK8VP5RS3D0UXZVKA37C4SYBP" localSheetId="19" hidden="1">#REF!</definedName>
    <definedName name="BExKK8VP5RS3D0UXZVKA37C4SYBP" hidden="1">#REF!</definedName>
    <definedName name="BExKKCRXE2B5CHO3044NF9QAKPIW" localSheetId="19" hidden="1">#REF!</definedName>
    <definedName name="BExKKCRXE2B5CHO3044NF9QAKPIW" hidden="1">#REF!</definedName>
    <definedName name="BExKKIM9NPF6B3SPMPIQB27HQME4" localSheetId="19" hidden="1">#REF!</definedName>
    <definedName name="BExKKIM9NPF6B3SPMPIQB27HQME4" hidden="1">#REF!</definedName>
    <definedName name="BExKKIX1BCBQ4R3K41QD8NTV0OV0" localSheetId="19" hidden="1">#REF!</definedName>
    <definedName name="BExKKIX1BCBQ4R3K41QD8NTV0OV0" hidden="1">#REF!</definedName>
    <definedName name="BExKKKV82VW7RLX4HE7NYZULP4I5" localSheetId="19" hidden="1">#REF!</definedName>
    <definedName name="BExKKKV82VW7RLX4HE7NYZULP4I5" hidden="1">#REF!</definedName>
    <definedName name="BExKKLGTZTV7J4XD4AGDM4UEZFTY" localSheetId="19" hidden="1">#REF!</definedName>
    <definedName name="BExKKLGTZTV7J4XD4AGDM4UEZFTY" hidden="1">#REF!</definedName>
    <definedName name="BExKKQ3ZWADYV03YHMXDOAMU90EB" localSheetId="19" hidden="1">#REF!</definedName>
    <definedName name="BExKKQ3ZWADYV03YHMXDOAMU90EB" hidden="1">#REF!</definedName>
    <definedName name="BExKKRWPS7N7KUY6X06X0TEINQM6" localSheetId="19" hidden="1">#REF!</definedName>
    <definedName name="BExKKRWPS7N7KUY6X06X0TEINQM6" hidden="1">#REF!</definedName>
    <definedName name="BExKKUGD2HMJWQEYZ8H3X1BMXFS9" localSheetId="19" hidden="1">#REF!</definedName>
    <definedName name="BExKKUGD2HMJWQEYZ8H3X1BMXFS9" hidden="1">#REF!</definedName>
    <definedName name="BExKKX05KCZZZPKOR1NE5A8RGVT4" localSheetId="19" hidden="1">#REF!</definedName>
    <definedName name="BExKKX05KCZZZPKOR1NE5A8RGVT4" hidden="1">#REF!</definedName>
    <definedName name="BExKKX5GX2R75C9E5OJC8AEQ02WR" localSheetId="19" hidden="1">#REF!</definedName>
    <definedName name="BExKKX5GX2R75C9E5OJC8AEQ02WR" hidden="1">#REF!</definedName>
    <definedName name="BExKLD6S9L66QYREYHBE5J44OK7X" localSheetId="19" hidden="1">#REF!</definedName>
    <definedName name="BExKLD6S9L66QYREYHBE5J44OK7X" hidden="1">#REF!</definedName>
    <definedName name="BExKLEZK32L28GYJWVO63BZ5E1JD" localSheetId="19" hidden="1">#REF!</definedName>
    <definedName name="BExKLEZK32L28GYJWVO63BZ5E1JD" hidden="1">#REF!</definedName>
    <definedName name="BExKLHTYKCAWH7WCYP78L3516NDH" localSheetId="19" hidden="1">#REF!</definedName>
    <definedName name="BExKLHTYKCAWH7WCYP78L3516NDH" hidden="1">#REF!</definedName>
    <definedName name="BExKLLKVVHT06LA55JB2FC871DC5" localSheetId="19" hidden="1">#REF!</definedName>
    <definedName name="BExKLLKVVHT06LA55JB2FC871DC5" hidden="1">#REF!</definedName>
    <definedName name="BExKMFUOVKD6ZRRWMW0FAANYOY14" localSheetId="19" hidden="1">'[38]10.08.4 -2008 Capital'!#REF!</definedName>
    <definedName name="BExKMFUOVKD6ZRRWMW0FAANYOY14" hidden="1">'[38]10.08.4 -2008 Capital'!#REF!</definedName>
    <definedName name="BExKMM52P2JTD826GL7EUFZ2GOWA" localSheetId="14" hidden="1">#REF!</definedName>
    <definedName name="BExKMM52P2JTD826GL7EUFZ2GOWA" localSheetId="15" hidden="1">#REF!</definedName>
    <definedName name="BExKMM52P2JTD826GL7EUFZ2GOWA" localSheetId="16" hidden="1">#REF!</definedName>
    <definedName name="BExKMM52P2JTD826GL7EUFZ2GOWA" localSheetId="19" hidden="1">#REF!</definedName>
    <definedName name="BExKMM52P2JTD826GL7EUFZ2GOWA" hidden="1">#REF!</definedName>
    <definedName name="BExKMWBX4EH3EYJ07UFEM08NB40Z" localSheetId="16" hidden="1">#REF!</definedName>
    <definedName name="BExKMWBX4EH3EYJ07UFEM08NB40Z" localSheetId="19" hidden="1">#REF!</definedName>
    <definedName name="BExKMWBX4EH3EYJ07UFEM08NB40Z" hidden="1">#REF!</definedName>
    <definedName name="BExKNBGV2IR3S7M0BX4810KZB4V3" localSheetId="16" hidden="1">#REF!</definedName>
    <definedName name="BExKNBGV2IR3S7M0BX4810KZB4V3" localSheetId="19" hidden="1">#REF!</definedName>
    <definedName name="BExKNBGV2IR3S7M0BX4810KZB4V3" hidden="1">#REF!</definedName>
    <definedName name="BExKNCTBZTSY3MO42VU5PLV6YUHZ" localSheetId="19" hidden="1">#REF!</definedName>
    <definedName name="BExKNCTBZTSY3MO42VU5PLV6YUHZ" hidden="1">#REF!</definedName>
    <definedName name="BExKNGV2YY749C42AQ2T9QNIE5C3" localSheetId="19" hidden="1">#REF!</definedName>
    <definedName name="BExKNGV2YY749C42AQ2T9QNIE5C3" hidden="1">#REF!</definedName>
    <definedName name="BExKNSP7EUXMQ7HQ1I4UI51T620P" localSheetId="19" hidden="1">#REF!</definedName>
    <definedName name="BExKNSP7EUXMQ7HQ1I4UI51T620P" hidden="1">#REF!</definedName>
    <definedName name="BExKNV8UOHVWEHDJWI2WMJ9X6QHZ" localSheetId="19" hidden="1">#REF!</definedName>
    <definedName name="BExKNV8UOHVWEHDJWI2WMJ9X6QHZ" hidden="1">#REF!</definedName>
    <definedName name="BExKNZLD7UATC1MYRNJD8H2NH4KU" localSheetId="19" hidden="1">#REF!</definedName>
    <definedName name="BExKNZLD7UATC1MYRNJD8H2NH4KU" hidden="1">#REF!</definedName>
    <definedName name="BExKNZQUKQQG2Y97R74G4O4BJP1L" localSheetId="19" hidden="1">#REF!</definedName>
    <definedName name="BExKNZQUKQQG2Y97R74G4O4BJP1L" hidden="1">#REF!</definedName>
    <definedName name="BExKO06X0EAD3ABEG1E8PWLDWHBA" localSheetId="19" hidden="1">#REF!</definedName>
    <definedName name="BExKO06X0EAD3ABEG1E8PWLDWHBA" hidden="1">#REF!</definedName>
    <definedName name="BExKO2AHHSGNI1AZOIOW21KPXKPE" localSheetId="19" hidden="1">#REF!</definedName>
    <definedName name="BExKO2AHHSGNI1AZOIOW21KPXKPE" hidden="1">#REF!</definedName>
    <definedName name="BExKO2FXWJWC5IZLDN8JHYILQJ2N" localSheetId="19" hidden="1">#REF!</definedName>
    <definedName name="BExKO2FXWJWC5IZLDN8JHYILQJ2N" hidden="1">#REF!</definedName>
    <definedName name="BExKO438WZ8FKOU00NURGFMOYXWN" localSheetId="19" hidden="1">#REF!</definedName>
    <definedName name="BExKO438WZ8FKOU00NURGFMOYXWN" hidden="1">#REF!</definedName>
    <definedName name="BExKOBVQIBD5QN64WI0VMWG8ECVY" localSheetId="19" hidden="1">#REF!</definedName>
    <definedName name="BExKOBVQIBD5QN64WI0VMWG8ECVY" hidden="1">#REF!</definedName>
    <definedName name="BExKODIZGWW2EQD0FEYW6WK6XLCM" localSheetId="19" hidden="1">#REF!</definedName>
    <definedName name="BExKODIZGWW2EQD0FEYW6WK6XLCM" hidden="1">#REF!</definedName>
    <definedName name="BExKOPO2HPWVQGAKW8LOZMPIDEFG" localSheetId="19" hidden="1">#REF!</definedName>
    <definedName name="BExKOPO2HPWVQGAKW8LOZMPIDEFG" hidden="1">#REF!</definedName>
    <definedName name="BExKOU0G4S03BPJYQJ7Q6BXA1XZE" localSheetId="19" hidden="1">#REF!</definedName>
    <definedName name="BExKOU0G4S03BPJYQJ7Q6BXA1XZE" hidden="1">#REF!</definedName>
    <definedName name="BExKP1NNUBCM89W1AWCQ4GYT46VL" localSheetId="19" hidden="1">'[38]10.08.4 -2008 Capital'!#REF!</definedName>
    <definedName name="BExKP1NNUBCM89W1AWCQ4GYT46VL" hidden="1">'[38]10.08.4 -2008 Capital'!#REF!</definedName>
    <definedName name="BExKPEZP0QTKOTLIMMIFSVTHQEEK" localSheetId="14" hidden="1">#REF!</definedName>
    <definedName name="BExKPEZP0QTKOTLIMMIFSVTHQEEK" localSheetId="15" hidden="1">#REF!</definedName>
    <definedName name="BExKPEZP0QTKOTLIMMIFSVTHQEEK" localSheetId="16" hidden="1">#REF!</definedName>
    <definedName name="BExKPEZP0QTKOTLIMMIFSVTHQEEK" localSheetId="19" hidden="1">#REF!</definedName>
    <definedName name="BExKPEZP0QTKOTLIMMIFSVTHQEEK" hidden="1">#REF!</definedName>
    <definedName name="BExKPJXT3SWOS15NRMD9RAD4AXOC" localSheetId="16" hidden="1">#REF!</definedName>
    <definedName name="BExKPJXT3SWOS15NRMD9RAD4AXOC" localSheetId="19" hidden="1">#REF!</definedName>
    <definedName name="BExKPJXT3SWOS15NRMD9RAD4AXOC" hidden="1">#REF!</definedName>
    <definedName name="BExKPLFRCAYNO7ZNGISMPGFFXB00" localSheetId="16" hidden="1">#REF!</definedName>
    <definedName name="BExKPLFRCAYNO7ZNGISMPGFFXB00" localSheetId="19" hidden="1">#REF!</definedName>
    <definedName name="BExKPLFRCAYNO7ZNGISMPGFFXB00" hidden="1">#REF!</definedName>
    <definedName name="BExKPLQJX0HJ8OTXBXH9IC9J2V0W" localSheetId="19" hidden="1">#REF!</definedName>
    <definedName name="BExKPLQJX0HJ8OTXBXH9IC9J2V0W" hidden="1">#REF!</definedName>
    <definedName name="BExKPN8C7GN36ZJZHLOB74LU6KT0" localSheetId="19" hidden="1">#REF!</definedName>
    <definedName name="BExKPN8C7GN36ZJZHLOB74LU6KT0" hidden="1">#REF!</definedName>
    <definedName name="BExKPUKRNDWTKQ8SV8FLABPPXTJK" localSheetId="19" hidden="1">#REF!</definedName>
    <definedName name="BExKPUKRNDWTKQ8SV8FLABPPXTJK" hidden="1">#REF!</definedName>
    <definedName name="BExKPX9VZ1J5021Q98K60HMPJU58" localSheetId="19" hidden="1">#REF!</definedName>
    <definedName name="BExKPX9VZ1J5021Q98K60HMPJU58" hidden="1">#REF!</definedName>
    <definedName name="BExKQJGAAWNM3NT19E9I0CQDBTU0" localSheetId="19" hidden="1">#REF!</definedName>
    <definedName name="BExKQJGAAWNM3NT19E9I0CQDBTU0" hidden="1">#REF!</definedName>
    <definedName name="BExKQM5GJ1ZN5REKFE7YVBQ0KXWF" localSheetId="19" hidden="1">#REF!</definedName>
    <definedName name="BExKQM5GJ1ZN5REKFE7YVBQ0KXWF" hidden="1">#REF!</definedName>
    <definedName name="BExKQOEA7HV9U5DH9C8JXFD62EKH" localSheetId="19" hidden="1">#REF!</definedName>
    <definedName name="BExKQOEA7HV9U5DH9C8JXFD62EKH" hidden="1">#REF!</definedName>
    <definedName name="BExKQQ71278061G7ZFYGPWOMOMY2" localSheetId="19" hidden="1">#REF!</definedName>
    <definedName name="BExKQQ71278061G7ZFYGPWOMOMY2" hidden="1">#REF!</definedName>
    <definedName name="BExKQR8NYY6S7G0RNG3W5UHF26LU" localSheetId="19" hidden="1">#REF!</definedName>
    <definedName name="BExKQR8NYY6S7G0RNG3W5UHF26LU" hidden="1">#REF!</definedName>
    <definedName name="BExKQRUAOHG635WYE6STI4YHGJPE" localSheetId="19" hidden="1">#REF!</definedName>
    <definedName name="BExKQRUAOHG635WYE6STI4YHGJPE" hidden="1">#REF!</definedName>
    <definedName name="BExKQTXRG3ECU8NT47UR7643LO5G" localSheetId="19" hidden="1">#REF!</definedName>
    <definedName name="BExKQTXRG3ECU8NT47UR7643LO5G" hidden="1">#REF!</definedName>
    <definedName name="BExKQVL7HPOIZ4FHANDFMVOJLEPR" localSheetId="19" hidden="1">#REF!</definedName>
    <definedName name="BExKQVL7HPOIZ4FHANDFMVOJLEPR" hidden="1">#REF!</definedName>
    <definedName name="BExKR1VS7ERDDF8HXB3WTPYEUCIU" localSheetId="19" hidden="1">#REF!</definedName>
    <definedName name="BExKR1VS7ERDDF8HXB3WTPYEUCIU" hidden="1">#REF!</definedName>
    <definedName name="BExKR32XG1WY77WDT8KW9FJPGQTU" localSheetId="19" hidden="1">#REF!</definedName>
    <definedName name="BExKR32XG1WY77WDT8KW9FJPGQTU" hidden="1">#REF!</definedName>
    <definedName name="BExKR510GA0MUAKSG4OVIQ26I0BG" localSheetId="19" hidden="1">#REF!</definedName>
    <definedName name="BExKR510GA0MUAKSG4OVIQ26I0BG" hidden="1">#REF!</definedName>
    <definedName name="BExKR8RZSEHW184G0Z56B4EGNU72" localSheetId="19" hidden="1">#REF!</definedName>
    <definedName name="BExKR8RZSEHW184G0Z56B4EGNU72" hidden="1">#REF!</definedName>
    <definedName name="BExKRVUSQ6PA7ZYQSTEQL3X7PB9P" localSheetId="19" hidden="1">#REF!</definedName>
    <definedName name="BExKRVUSQ6PA7ZYQSTEQL3X7PB9P" hidden="1">#REF!</definedName>
    <definedName name="BExKRY3KZ7F7RB2KH8HXSQ85IEQO" localSheetId="19" hidden="1">#REF!</definedName>
    <definedName name="BExKRY3KZ7F7RB2KH8HXSQ85IEQO" hidden="1">#REF!</definedName>
    <definedName name="BExKSA37DZTCK6H13HPIKR0ZFVL8" localSheetId="19" hidden="1">#REF!</definedName>
    <definedName name="BExKSA37DZTCK6H13HPIKR0ZFVL8" hidden="1">#REF!</definedName>
    <definedName name="BExKSFMOMSZYDE0WNC94F40S6636" localSheetId="19" hidden="1">#REF!</definedName>
    <definedName name="BExKSFMOMSZYDE0WNC94F40S6636" hidden="1">#REF!</definedName>
    <definedName name="BExKSHQ9K79S8KYUWIV5M5LAHHF1" localSheetId="19" hidden="1">#REF!</definedName>
    <definedName name="BExKSHQ9K79S8KYUWIV5M5LAHHF1" hidden="1">#REF!</definedName>
    <definedName name="BExKSIS3VA1NCEFCZZSIK8B3YIBZ" localSheetId="19" hidden="1">#REF!</definedName>
    <definedName name="BExKSIS3VA1NCEFCZZSIK8B3YIBZ" hidden="1">#REF!</definedName>
    <definedName name="BExKSJTWG9L3FCX8FLK4EMUJMF27" localSheetId="19" hidden="1">#REF!</definedName>
    <definedName name="BExKSJTWG9L3FCX8FLK4EMUJMF27" hidden="1">#REF!</definedName>
    <definedName name="BExKSLH6QVG81B35VZ8FUSPBKTD5" localSheetId="19" hidden="1">#REF!</definedName>
    <definedName name="BExKSLH6QVG81B35VZ8FUSPBKTD5" hidden="1">#REF!</definedName>
    <definedName name="BExKSRX3BUJY78UHYYZJVTVLMZVP" localSheetId="19" hidden="1">#REF!</definedName>
    <definedName name="BExKSRX3BUJY78UHYYZJVTVLMZVP" hidden="1">#REF!</definedName>
    <definedName name="BExKSU0MKNAVZYYPKCYTZDWQX4R8" localSheetId="19" hidden="1">#REF!</definedName>
    <definedName name="BExKSU0MKNAVZYYPKCYTZDWQX4R8" hidden="1">#REF!</definedName>
    <definedName name="BExKSUBFNA2CM15GD0QR99POCR5I" localSheetId="19" hidden="1">#REF!</definedName>
    <definedName name="BExKSUBFNA2CM15GD0QR99POCR5I" hidden="1">#REF!</definedName>
    <definedName name="BExKSV7ROT5B5BVJ3G19JSC85BAD" localSheetId="19" hidden="1">#REF!</definedName>
    <definedName name="BExKSV7ROT5B5BVJ3G19JSC85BAD" hidden="1">#REF!</definedName>
    <definedName name="BExKSX60G1MUS689FXIGYP2F7C62" localSheetId="19" hidden="1">#REF!</definedName>
    <definedName name="BExKSX60G1MUS689FXIGYP2F7C62" hidden="1">#REF!</definedName>
    <definedName name="BExKT2UZ7Y2VWF5NQE18SJRLD2RN" localSheetId="19" hidden="1">#REF!</definedName>
    <definedName name="BExKT2UZ7Y2VWF5NQE18SJRLD2RN" hidden="1">#REF!</definedName>
    <definedName name="BExKT3GJFNGAM09H5F615E36A38C" localSheetId="19" hidden="1">#REF!</definedName>
    <definedName name="BExKT3GJFNGAM09H5F615E36A38C" hidden="1">#REF!</definedName>
    <definedName name="BExKT9AWCJUL6FVVYMI7NGFTAEEG" localSheetId="19" hidden="1">#REF!</definedName>
    <definedName name="BExKT9AWCJUL6FVVYMI7NGFTAEEG" hidden="1">#REF!</definedName>
    <definedName name="BExKTQZGN8GI3XGSEXMPCCA3S19H" localSheetId="19" hidden="1">#REF!</definedName>
    <definedName name="BExKTQZGN8GI3XGSEXMPCCA3S19H" hidden="1">#REF!</definedName>
    <definedName name="BExKTSBXGP8YGSN5UO0FUHVXT92J" localSheetId="19" hidden="1">#REF!</definedName>
    <definedName name="BExKTSBXGP8YGSN5UO0FUHVXT92J" hidden="1">#REF!</definedName>
    <definedName name="BExKTUKYYU0F6TUW1RXV24LRAZFE" localSheetId="19" hidden="1">#REF!</definedName>
    <definedName name="BExKTUKYYU0F6TUW1RXV24LRAZFE" hidden="1">#REF!</definedName>
    <definedName name="BExKU3FBLHQBIUTN6XEZW5GC9OG1" localSheetId="19" hidden="1">#REF!</definedName>
    <definedName name="BExKU3FBLHQBIUTN6XEZW5GC9OG1" hidden="1">#REF!</definedName>
    <definedName name="BExKU3KMPVWH483Q5TP8K2H0S2L4" localSheetId="19" hidden="1">#REF!</definedName>
    <definedName name="BExKU3KMPVWH483Q5TP8K2H0S2L4" hidden="1">#REF!</definedName>
    <definedName name="BExKU82I99FEUIZLODXJDOJC96CQ" localSheetId="19" hidden="1">#REF!</definedName>
    <definedName name="BExKU82I99FEUIZLODXJDOJC96CQ" hidden="1">#REF!</definedName>
    <definedName name="BExKU9EXMNZKVJV6GSO4XEI3YCWM" localSheetId="19" hidden="1">#REF!</definedName>
    <definedName name="BExKU9EXMNZKVJV6GSO4XEI3YCWM" hidden="1">#REF!</definedName>
    <definedName name="BExKUDM0DFSCM3D91SH0XLXJSL18" localSheetId="19" hidden="1">#REF!</definedName>
    <definedName name="BExKUDM0DFSCM3D91SH0XLXJSL18" hidden="1">#REF!</definedName>
    <definedName name="BExKUGGKEOHX3EEPQ7NGSZWZ8UPA" localSheetId="19" hidden="1">#REF!</definedName>
    <definedName name="BExKUGGKEOHX3EEPQ7NGSZWZ8UPA" hidden="1">#REF!</definedName>
    <definedName name="BExKULEKJLA77AUQPDUHSM94Y76Z" localSheetId="19" hidden="1">#REF!</definedName>
    <definedName name="BExKULEKJLA77AUQPDUHSM94Y76Z" hidden="1">#REF!</definedName>
    <definedName name="BExKUPAT7VWF9ZS0PSYAV71U4N72" localSheetId="19" hidden="1">'[38]10.08.5 - 2008 Capital - TDBU'!#REF!</definedName>
    <definedName name="BExKUPAT7VWF9ZS0PSYAV71U4N72" hidden="1">'[38]10.08.5 - 2008 Capital - TDBU'!#REF!</definedName>
    <definedName name="BExKV08R85MKI3MAX9E2HERNQUNL" localSheetId="14" hidden="1">#REF!</definedName>
    <definedName name="BExKV08R85MKI3MAX9E2HERNQUNL" localSheetId="15" hidden="1">#REF!</definedName>
    <definedName name="BExKV08R85MKI3MAX9E2HERNQUNL" localSheetId="16" hidden="1">#REF!</definedName>
    <definedName name="BExKV08R85MKI3MAX9E2HERNQUNL" localSheetId="19" hidden="1">#REF!</definedName>
    <definedName name="BExKV08R85MKI3MAX9E2HERNQUNL" hidden="1">#REF!</definedName>
    <definedName name="BExKV334XOSQSXAYPE1ZFCWHR4J8" localSheetId="16" hidden="1">#REF!</definedName>
    <definedName name="BExKV334XOSQSXAYPE1ZFCWHR4J8" localSheetId="19" hidden="1">#REF!</definedName>
    <definedName name="BExKV334XOSQSXAYPE1ZFCWHR4J8" hidden="1">#REF!</definedName>
    <definedName name="BExKV4AAUNNJL5JWD7PX6BFKVS6O" localSheetId="16" hidden="1">#REF!</definedName>
    <definedName name="BExKV4AAUNNJL5JWD7PX6BFKVS6O" localSheetId="19" hidden="1">#REF!</definedName>
    <definedName name="BExKV4AAUNNJL5JWD7PX6BFKVS6O" hidden="1">#REF!</definedName>
    <definedName name="BExKV6J9WVQH09L0UOV4PHTLKXRK" localSheetId="19" hidden="1">#REF!</definedName>
    <definedName name="BExKV6J9WVQH09L0UOV4PHTLKXRK" hidden="1">#REF!</definedName>
    <definedName name="BExKVDVK6HN74GQPTXICP9BFC8CF" localSheetId="19" hidden="1">#REF!</definedName>
    <definedName name="BExKVDVK6HN74GQPTXICP9BFC8CF" hidden="1">#REF!</definedName>
    <definedName name="BExKVFZ3ZZGIC1QI8XN6BYFWN0ZY" localSheetId="19" hidden="1">#REF!</definedName>
    <definedName name="BExKVFZ3ZZGIC1QI8XN6BYFWN0ZY" hidden="1">#REF!</definedName>
    <definedName name="BExKVG4KGO28KPGTAFL1R8TTZ10N" localSheetId="19" hidden="1">#REF!</definedName>
    <definedName name="BExKVG4KGO28KPGTAFL1R8TTZ10N" hidden="1">#REF!</definedName>
    <definedName name="BExKVQRICZRKMKC3XFBPYJM79KT1" localSheetId="19" hidden="1">#REF!</definedName>
    <definedName name="BExKVQRICZRKMKC3XFBPYJM79KT1" hidden="1">#REF!</definedName>
    <definedName name="BExKW0CSH7DA02YSNV64PSEIXB2P" localSheetId="19" hidden="1">#REF!</definedName>
    <definedName name="BExKW0CSH7DA02YSNV64PSEIXB2P" hidden="1">#REF!</definedName>
    <definedName name="BExKW61SUXF65SCFWSZUR9GUOOMH" localSheetId="19" hidden="1">#REF!</definedName>
    <definedName name="BExKW61SUXF65SCFWSZUR9GUOOMH" hidden="1">#REF!</definedName>
    <definedName name="BExM9NUG3Q31X01AI9ZJCZIX25CS" localSheetId="19" hidden="1">#REF!</definedName>
    <definedName name="BExM9NUG3Q31X01AI9ZJCZIX25CS" hidden="1">#REF!</definedName>
    <definedName name="BExM9OG182RP30MY23PG49LVPZ1C" localSheetId="19" hidden="1">#REF!</definedName>
    <definedName name="BExM9OG182RP30MY23PG49LVPZ1C" hidden="1">#REF!</definedName>
    <definedName name="BExMA64MW1S18NH8DCKPCCEI5KCB" localSheetId="19" hidden="1">#REF!</definedName>
    <definedName name="BExMA64MW1S18NH8DCKPCCEI5KCB" hidden="1">#REF!</definedName>
    <definedName name="BExMAAMGWSV264QND3PEEFNT51OK" localSheetId="19" hidden="1">#REF!</definedName>
    <definedName name="BExMAAMGWSV264QND3PEEFNT51OK" hidden="1">#REF!</definedName>
    <definedName name="BExMAC4FBX1U0Y3998JERGS9KL2T" localSheetId="19" hidden="1">#REF!</definedName>
    <definedName name="BExMAC4FBX1U0Y3998JERGS9KL2T" hidden="1">#REF!</definedName>
    <definedName name="BExMAIF09XQ94J83IAH3DFXTENQV" localSheetId="19" hidden="1">#REF!</definedName>
    <definedName name="BExMAIF09XQ94J83IAH3DFXTENQV" hidden="1">#REF!</definedName>
    <definedName name="BExMALEWFUEM8Y686IT03ECURUBR" localSheetId="19" hidden="1">#REF!</definedName>
    <definedName name="BExMALEWFUEM8Y686IT03ECURUBR" hidden="1">#REF!</definedName>
    <definedName name="BExMAR3XSK6RSFLHP7ZX1EWGHASI" localSheetId="19" hidden="1">#REF!</definedName>
    <definedName name="BExMAR3XSK6RSFLHP7ZX1EWGHASI" hidden="1">#REF!</definedName>
    <definedName name="BExMAXJS82ZJ8RS22VLE0V0LDUII" localSheetId="19" hidden="1">#REF!</definedName>
    <definedName name="BExMAXJS82ZJ8RS22VLE0V0LDUII" hidden="1">#REF!</definedName>
    <definedName name="BExMB4QRS0R3MTB4CMUHFZ84LNZQ" localSheetId="19" hidden="1">#REF!</definedName>
    <definedName name="BExMB4QRS0R3MTB4CMUHFZ84LNZQ" hidden="1">#REF!</definedName>
    <definedName name="BExMBC35WKQY5CWQJLV4D05O6971" localSheetId="19" hidden="1">#REF!</definedName>
    <definedName name="BExMBC35WKQY5CWQJLV4D05O6971" hidden="1">#REF!</definedName>
    <definedName name="BExMBFTZV4Q1A5KG25C1N9PHQNSW" localSheetId="19" hidden="1">#REF!</definedName>
    <definedName name="BExMBFTZV4Q1A5KG25C1N9PHQNSW" hidden="1">#REF!</definedName>
    <definedName name="BExMBK6ISK3U7KHZKUJXIDKGF6VW" localSheetId="19" hidden="1">#REF!</definedName>
    <definedName name="BExMBK6ISK3U7KHZKUJXIDKGF6VW" hidden="1">#REF!</definedName>
    <definedName name="BExMBMVGO0XJ71IWHILW9QA74NPG" localSheetId="19" hidden="1">#REF!</definedName>
    <definedName name="BExMBMVGO0XJ71IWHILW9QA74NPG" hidden="1">#REF!</definedName>
    <definedName name="BExMBYPQDG9AYDQ5E8IECVFREPO6" localSheetId="19" hidden="1">[39]Table!#REF!</definedName>
    <definedName name="BExMBYPQDG9AYDQ5E8IECVFREPO6" hidden="1">[39]Table!#REF!</definedName>
    <definedName name="BExMBZ5YTPW7PFDUD2A9VUJ4HTNH" localSheetId="14" hidden="1">#REF!</definedName>
    <definedName name="BExMBZ5YTPW7PFDUD2A9VUJ4HTNH" localSheetId="15" hidden="1">#REF!</definedName>
    <definedName name="BExMBZ5YTPW7PFDUD2A9VUJ4HTNH" localSheetId="16" hidden="1">#REF!</definedName>
    <definedName name="BExMBZ5YTPW7PFDUD2A9VUJ4HTNH" localSheetId="19" hidden="1">#REF!</definedName>
    <definedName name="BExMBZ5YTPW7PFDUD2A9VUJ4HTNH" hidden="1">#REF!</definedName>
    <definedName name="BExMBZM2XYYERB8X75SWZCZRQTT3" localSheetId="16" hidden="1">#REF!</definedName>
    <definedName name="BExMBZM2XYYERB8X75SWZCZRQTT3" localSheetId="19" hidden="1">#REF!</definedName>
    <definedName name="BExMBZM2XYYERB8X75SWZCZRQTT3" hidden="1">#REF!</definedName>
    <definedName name="BExMC8AZUTX8LG89K2JJR7ZG62XX" localSheetId="16" hidden="1">#REF!</definedName>
    <definedName name="BExMC8AZUTX8LG89K2JJR7ZG62XX" localSheetId="19" hidden="1">#REF!</definedName>
    <definedName name="BExMC8AZUTX8LG89K2JJR7ZG62XX" hidden="1">#REF!</definedName>
    <definedName name="BExMCA96YR10V72G2R0SCIKPZLIZ" localSheetId="19" hidden="1">#REF!</definedName>
    <definedName name="BExMCA96YR10V72G2R0SCIKPZLIZ" hidden="1">#REF!</definedName>
    <definedName name="BExMCB5JU5I2VQDUBS4O42BTEVKI" localSheetId="19" hidden="1">#REF!</definedName>
    <definedName name="BExMCB5JU5I2VQDUBS4O42BTEVKI" hidden="1">#REF!</definedName>
    <definedName name="BExMCFSQFSEMPY5IXDIRKZDASDBR" localSheetId="19" hidden="1">#REF!</definedName>
    <definedName name="BExMCFSQFSEMPY5IXDIRKZDASDBR" hidden="1">#REF!</definedName>
    <definedName name="BExMCGUFAIU47IPVOIVWOZPLSX79" localSheetId="19" hidden="1">#REF!</definedName>
    <definedName name="BExMCGUFAIU47IPVOIVWOZPLSX79" hidden="1">#REF!</definedName>
    <definedName name="BExMCMZOEYWVOOJ98TBHTTCS7XB8" localSheetId="19" hidden="1">#REF!</definedName>
    <definedName name="BExMCMZOEYWVOOJ98TBHTTCS7XB8" hidden="1">#REF!</definedName>
    <definedName name="BExMCQQH8CGFPPPG70D6VV4J3XR6" localSheetId="19" hidden="1">#REF!</definedName>
    <definedName name="BExMCQQH8CGFPPPG70D6VV4J3XR6" hidden="1">#REF!</definedName>
    <definedName name="BExMCS8EF2W3FS9QADNKREYSI8P0" localSheetId="19" hidden="1">#REF!</definedName>
    <definedName name="BExMCS8EF2W3FS9QADNKREYSI8P0" hidden="1">#REF!</definedName>
    <definedName name="BExMCUS7GSOM96J0HJ7EH0FFM2AC" localSheetId="19" hidden="1">#REF!</definedName>
    <definedName name="BExMCUS7GSOM96J0HJ7EH0FFM2AC" hidden="1">#REF!</definedName>
    <definedName name="BExMCYTT6TVDWMJXO1NZANRTVNAN" localSheetId="19" hidden="1">#REF!</definedName>
    <definedName name="BExMCYTT6TVDWMJXO1NZANRTVNAN" hidden="1">#REF!</definedName>
    <definedName name="BExMD5F6IAV108XYJLXUO9HD0IT6" localSheetId="19" hidden="1">#REF!</definedName>
    <definedName name="BExMD5F6IAV108XYJLXUO9HD0IT6" hidden="1">#REF!</definedName>
    <definedName name="BExMDANV66W9T3XAXID40XFJ0J93" localSheetId="19" hidden="1">#REF!</definedName>
    <definedName name="BExMDANV66W9T3XAXID40XFJ0J93" hidden="1">#REF!</definedName>
    <definedName name="BExMDGD1KQP7NNR78X2ZX4FCBQ1S" localSheetId="19" hidden="1">#REF!</definedName>
    <definedName name="BExMDGD1KQP7NNR78X2ZX4FCBQ1S" hidden="1">#REF!</definedName>
    <definedName name="BExMDIRDK0DI8P86HB7WPH8QWLSQ" localSheetId="19" hidden="1">#REF!</definedName>
    <definedName name="BExMDIRDK0DI8P86HB7WPH8QWLSQ" hidden="1">#REF!</definedName>
    <definedName name="BExMDPI2FVMORSWDDCVAJ85WYAYO" localSheetId="19" hidden="1">#REF!</definedName>
    <definedName name="BExMDPI2FVMORSWDDCVAJ85WYAYO" hidden="1">#REF!</definedName>
    <definedName name="BExMDUWB7VWHFFR266QXO46BNV2S" localSheetId="19" hidden="1">#REF!</definedName>
    <definedName name="BExMDUWB7VWHFFR266QXO46BNV2S" hidden="1">#REF!</definedName>
    <definedName name="BExME2U47N8LZG0BPJ49ANY5QVV2" localSheetId="19" hidden="1">#REF!</definedName>
    <definedName name="BExME2U47N8LZG0BPJ49ANY5QVV2" hidden="1">#REF!</definedName>
    <definedName name="BExME5OOQT5THEZMTKUDCTJQJ75P" localSheetId="19" hidden="1">#REF!</definedName>
    <definedName name="BExME5OOQT5THEZMTKUDCTJQJ75P" hidden="1">#REF!</definedName>
    <definedName name="BExME88DH5DUKMUFI9FNVECXFD2E" localSheetId="19" hidden="1">#REF!</definedName>
    <definedName name="BExME88DH5DUKMUFI9FNVECXFD2E" hidden="1">#REF!</definedName>
    <definedName name="BExME9A7MOGAK7YTTQYXP5DL6VYA" localSheetId="19" hidden="1">#REF!</definedName>
    <definedName name="BExME9A7MOGAK7YTTQYXP5DL6VYA" hidden="1">#REF!</definedName>
    <definedName name="BExMEIF7MG94HDIP9UUN2B1R7AP9" localSheetId="19" hidden="1">#REF!</definedName>
    <definedName name="BExMEIF7MG94HDIP9UUN2B1R7AP9" hidden="1">#REF!</definedName>
    <definedName name="BExMEOV9YFRY5C3GDLU60GIX10BY" localSheetId="19" hidden="1">#REF!</definedName>
    <definedName name="BExMEOV9YFRY5C3GDLU60GIX10BY" hidden="1">#REF!</definedName>
    <definedName name="BExMEQ7OI6NAP3UP3UX0O5JKS0DV" localSheetId="19" hidden="1">#REF!</definedName>
    <definedName name="BExMEQ7OI6NAP3UP3UX0O5JKS0DV" hidden="1">#REF!</definedName>
    <definedName name="BExMEY09ESM4H2YGKEQQRYUD114R" localSheetId="19" hidden="1">#REF!</definedName>
    <definedName name="BExMEY09ESM4H2YGKEQQRYUD114R" hidden="1">#REF!</definedName>
    <definedName name="BExMF4G4IUPQY1Y5GEY5N3E04CL6" localSheetId="19" hidden="1">#REF!</definedName>
    <definedName name="BExMF4G4IUPQY1Y5GEY5N3E04CL6" hidden="1">#REF!</definedName>
    <definedName name="BExMF5I0YYHYSHHGNQEI50YPTUFU" localSheetId="19" hidden="1">#REF!</definedName>
    <definedName name="BExMF5I0YYHYSHHGNQEI50YPTUFU" hidden="1">#REF!</definedName>
    <definedName name="BExMF9UIGYMOAQK0ELUWP0S0HZZY" localSheetId="19" hidden="1">#REF!</definedName>
    <definedName name="BExMF9UIGYMOAQK0ELUWP0S0HZZY" hidden="1">#REF!</definedName>
    <definedName name="BExMFDLBSWFMRDYJ2DZETI3EXKN2" localSheetId="19" hidden="1">#REF!</definedName>
    <definedName name="BExMFDLBSWFMRDYJ2DZETI3EXKN2" hidden="1">#REF!</definedName>
    <definedName name="BExMFLDTMRTCHKA37LQW67BG8D5C" localSheetId="19" hidden="1">#REF!</definedName>
    <definedName name="BExMFLDTMRTCHKA37LQW67BG8D5C" hidden="1">#REF!</definedName>
    <definedName name="BExMFYPXA6CPPQEIQCZVJ1O8CC3D" localSheetId="19" hidden="1">#REF!</definedName>
    <definedName name="BExMFYPXA6CPPQEIQCZVJ1O8CC3D" hidden="1">#REF!</definedName>
    <definedName name="BExMG3IJ4BTO1ISLMJY91RJVU21M" localSheetId="19" hidden="1">#REF!</definedName>
    <definedName name="BExMG3IJ4BTO1ISLMJY91RJVU21M" hidden="1">#REF!</definedName>
    <definedName name="BExMG9NSK30KD01QX0UBN2VNRTG4" localSheetId="19" hidden="1">#REF!</definedName>
    <definedName name="BExMG9NSK30KD01QX0UBN2VNRTG4" hidden="1">#REF!</definedName>
    <definedName name="BExMGD99CUH3CN5F5OWTFJPXIOC5" localSheetId="19" hidden="1">#REF!</definedName>
    <definedName name="BExMGD99CUH3CN5F5OWTFJPXIOC5" hidden="1">#REF!</definedName>
    <definedName name="BExMGG3PFIHPHX7NXB7HDFI3N12L" localSheetId="19" hidden="1">#REF!</definedName>
    <definedName name="BExMGG3PFIHPHX7NXB7HDFI3N12L" hidden="1">#REF!</definedName>
    <definedName name="BExMGGUQP0X7T5PIESJE86819NLZ" localSheetId="19" hidden="1">#REF!</definedName>
    <definedName name="BExMGGUQP0X7T5PIESJE86819NLZ" hidden="1">#REF!</definedName>
    <definedName name="BExMH3H9TW5TJCNU5Z1EWXP3BAEP" localSheetId="19" hidden="1">#REF!</definedName>
    <definedName name="BExMH3H9TW5TJCNU5Z1EWXP3BAEP" hidden="1">#REF!</definedName>
    <definedName name="BExMHOWPB34KPZ76M2KIX2C9R2VB" localSheetId="19" hidden="1">#REF!</definedName>
    <definedName name="BExMHOWPB34KPZ76M2KIX2C9R2VB" hidden="1">#REF!</definedName>
    <definedName name="BExMHSSYC6KVHA3QDTSYPN92TWMI" localSheetId="19" hidden="1">#REF!</definedName>
    <definedName name="BExMHSSYC6KVHA3QDTSYPN92TWMI" hidden="1">#REF!</definedName>
    <definedName name="BExMI0WA793SF41LQ40A28U8OXQY" localSheetId="19" hidden="1">#REF!</definedName>
    <definedName name="BExMI0WA793SF41LQ40A28U8OXQY" hidden="1">#REF!</definedName>
    <definedName name="BExMI3AJ9477KDL4T9DHET4LJJTW" localSheetId="19" hidden="1">#REF!</definedName>
    <definedName name="BExMI3AJ9477KDL4T9DHET4LJJTW" hidden="1">#REF!</definedName>
    <definedName name="BExMI58NHPZ1UTOZCYFOQPS8I7WN" localSheetId="19" hidden="1">#REF!</definedName>
    <definedName name="BExMI58NHPZ1UTOZCYFOQPS8I7WN" hidden="1">#REF!</definedName>
    <definedName name="BExMI6L9KX05GAK523JFKICJMTA5" localSheetId="19" hidden="1">#REF!</definedName>
    <definedName name="BExMI6L9KX05GAK523JFKICJMTA5" hidden="1">#REF!</definedName>
    <definedName name="BExMI6QQ20XHD0NWJUN741B37182" localSheetId="19" hidden="1">#REF!</definedName>
    <definedName name="BExMI6QQ20XHD0NWJUN741B37182" hidden="1">#REF!</definedName>
    <definedName name="BExMI7MYLMINF9AC59CYYVFGQJAY" localSheetId="19" hidden="1">#REF!</definedName>
    <definedName name="BExMI7MYLMINF9AC59CYYVFGQJAY" hidden="1">#REF!</definedName>
    <definedName name="BExMI8JB94SBD9EMNJEK7Y2T6GYU" localSheetId="19" hidden="1">#REF!</definedName>
    <definedName name="BExMI8JB94SBD9EMNJEK7Y2T6GYU" hidden="1">#REF!</definedName>
    <definedName name="BExMI8OS85YTW3KYVE4YD0R7Z6UV" localSheetId="19" hidden="1">#REF!</definedName>
    <definedName name="BExMI8OS85YTW3KYVE4YD0R7Z6UV" hidden="1">#REF!</definedName>
    <definedName name="BExMIBOOZU40JS3F89OMPSRCE9MM" localSheetId="19" hidden="1">#REF!</definedName>
    <definedName name="BExMIBOOZU40JS3F89OMPSRCE9MM" hidden="1">#REF!</definedName>
    <definedName name="BExMIHJ01IVQHPV5ZNO9UPQB64N8" localSheetId="19" hidden="1">#REF!</definedName>
    <definedName name="BExMIHJ01IVQHPV5ZNO9UPQB64N8" hidden="1">#REF!</definedName>
    <definedName name="BExMIIQ5MBWSIHTFWAQADXMZC22Q" localSheetId="19" hidden="1">#REF!</definedName>
    <definedName name="BExMIIQ5MBWSIHTFWAQADXMZC22Q" hidden="1">#REF!</definedName>
    <definedName name="BExMIL4I2GE866I25CR5JBLJWJ6A" localSheetId="19" hidden="1">#REF!</definedName>
    <definedName name="BExMIL4I2GE866I25CR5JBLJWJ6A" hidden="1">#REF!</definedName>
    <definedName name="BExMIRKIPF27SNO82SPFSB3T5U17" localSheetId="19" hidden="1">#REF!</definedName>
    <definedName name="BExMIRKIPF27SNO82SPFSB3T5U17" hidden="1">#REF!</definedName>
    <definedName name="BExMITILFEELDXT62AREXCM0DX4R" localSheetId="19" hidden="1">#REF!</definedName>
    <definedName name="BExMITILFEELDXT62AREXCM0DX4R" hidden="1">#REF!</definedName>
    <definedName name="BExMIV0KC8555D5E42ZGWG15Y0MO" localSheetId="19" hidden="1">#REF!</definedName>
    <definedName name="BExMIV0KC8555D5E42ZGWG15Y0MO" hidden="1">#REF!</definedName>
    <definedName name="BExMIZT6AN7E6YMW2S87CTCN2UXH" localSheetId="19" hidden="1">#REF!</definedName>
    <definedName name="BExMIZT6AN7E6YMW2S87CTCN2UXH" hidden="1">#REF!</definedName>
    <definedName name="BExMJ03XNEEQE05W28YBDN4G56JD" localSheetId="19" hidden="1">#REF!</definedName>
    <definedName name="BExMJ03XNEEQE05W28YBDN4G56JD" hidden="1">#REF!</definedName>
    <definedName name="BExMJ15T9F3475M0896SG60TN0SR" localSheetId="19" hidden="1">#REF!</definedName>
    <definedName name="BExMJ15T9F3475M0896SG60TN0SR" hidden="1">#REF!</definedName>
    <definedName name="BExMJ39CRE4I6SJI19LKWDKX3OQ2" localSheetId="19" hidden="1">#REF!</definedName>
    <definedName name="BExMJ39CRE4I6SJI19LKWDKX3OQ2" hidden="1">#REF!</definedName>
    <definedName name="BExMJC8UI1MMXIJR29O1IWETLHH6" localSheetId="19" hidden="1">#REF!</definedName>
    <definedName name="BExMJC8UI1MMXIJR29O1IWETLHH6" hidden="1">#REF!</definedName>
    <definedName name="BExMJNC8ZFB9DRFOJ961ZAJ8U3A8" localSheetId="19" hidden="1">#REF!</definedName>
    <definedName name="BExMJNC8ZFB9DRFOJ961ZAJ8U3A8" hidden="1">#REF!</definedName>
    <definedName name="BExMJSA6JY35531TSI8ZQP6U7CDE" localSheetId="19" hidden="1">#REF!</definedName>
    <definedName name="BExMJSA6JY35531TSI8ZQP6U7CDE" hidden="1">#REF!</definedName>
    <definedName name="BExMJTBV8A3D31W2IQHP9RDFPPHQ" localSheetId="19" hidden="1">#REF!</definedName>
    <definedName name="BExMJTBV8A3D31W2IQHP9RDFPPHQ" hidden="1">#REF!</definedName>
    <definedName name="BExMK2RTXN4QJWEUNX002XK8VQP8" localSheetId="19" hidden="1">#REF!</definedName>
    <definedName name="BExMK2RTXN4QJWEUNX002XK8VQP8" hidden="1">#REF!</definedName>
    <definedName name="BExMK3YZF17HAMXX3PO2KP6S46ZU" localSheetId="19" hidden="1">#REF!</definedName>
    <definedName name="BExMK3YZF17HAMXX3PO2KP6S46ZU" hidden="1">#REF!</definedName>
    <definedName name="BExMKBGQDUZ8AWXYHA3QVMSDVZ3D" localSheetId="19" hidden="1">#REF!</definedName>
    <definedName name="BExMKBGQDUZ8AWXYHA3QVMSDVZ3D" hidden="1">#REF!</definedName>
    <definedName name="BExMKBM1467553LDFZRRKVSHN374" localSheetId="19" hidden="1">#REF!</definedName>
    <definedName name="BExMKBM1467553LDFZRRKVSHN374" hidden="1">#REF!</definedName>
    <definedName name="BExMKGK5FJUC0AU8MABRGDC5ZM70" localSheetId="19" hidden="1">#REF!</definedName>
    <definedName name="BExMKGK5FJUC0AU8MABRGDC5ZM70" hidden="1">#REF!</definedName>
    <definedName name="BExMKISYVO6POIGSJWIW3PHDYL45" localSheetId="19" hidden="1">#REF!</definedName>
    <definedName name="BExMKISYVO6POIGSJWIW3PHDYL45" hidden="1">#REF!</definedName>
    <definedName name="BExMKSP1VOPPTKX4WEPT3LUKE8WQ" localSheetId="19" hidden="1">#REF!</definedName>
    <definedName name="BExMKSP1VOPPTKX4WEPT3LUKE8WQ" hidden="1">#REF!</definedName>
    <definedName name="BExMKTW7R5SOV4PHAFGHU3W73DYE" localSheetId="19" hidden="1">#REF!</definedName>
    <definedName name="BExMKTW7R5SOV4PHAFGHU3W73DYE" hidden="1">#REF!</definedName>
    <definedName name="BExMKU7051J2W1RQXGZGE62NBRUZ" localSheetId="19" hidden="1">#REF!</definedName>
    <definedName name="BExMKU7051J2W1RQXGZGE62NBRUZ" hidden="1">#REF!</definedName>
    <definedName name="BExMKUN3WPECJR2XRID2R7GZRGNX" localSheetId="19" hidden="1">#REF!</definedName>
    <definedName name="BExMKUN3WPECJR2XRID2R7GZRGNX" hidden="1">#REF!</definedName>
    <definedName name="BExMKZ535P011X4TNV16GCOH4H21" localSheetId="19" hidden="1">#REF!</definedName>
    <definedName name="BExMKZ535P011X4TNV16GCOH4H21" hidden="1">#REF!</definedName>
    <definedName name="BExML2VXA0E0WCJ13O00WFMOW4RI" localSheetId="19" hidden="1">#REF!</definedName>
    <definedName name="BExML2VXA0E0WCJ13O00WFMOW4RI" hidden="1">#REF!</definedName>
    <definedName name="BExML3XQNDIMX55ZCHHXKUV3D6E6" localSheetId="19" hidden="1">#REF!</definedName>
    <definedName name="BExML3XQNDIMX55ZCHHXKUV3D6E6" hidden="1">#REF!</definedName>
    <definedName name="BExML5QGSWHLI18BGY4CGOTD3UWH" localSheetId="19" hidden="1">#REF!</definedName>
    <definedName name="BExML5QGSWHLI18BGY4CGOTD3UWH" hidden="1">#REF!</definedName>
    <definedName name="BExML6MTWMIEAK6NWSBVYN98A7G9" localSheetId="19" hidden="1">#REF!</definedName>
    <definedName name="BExML6MTWMIEAK6NWSBVYN98A7G9" hidden="1">#REF!</definedName>
    <definedName name="BExMLO5Z61RE85X8HHX2G4IU3AZW" localSheetId="19" hidden="1">#REF!</definedName>
    <definedName name="BExMLO5Z61RE85X8HHX2G4IU3AZW" hidden="1">#REF!</definedName>
    <definedName name="BExMLVI7UORSHM9FMO8S2EI0TMTS" localSheetId="19" hidden="1">#REF!</definedName>
    <definedName name="BExMLVI7UORSHM9FMO8S2EI0TMTS" hidden="1">#REF!</definedName>
    <definedName name="BExMM5UCOT2HSSN0ZIPZW55GSOVO" localSheetId="19" hidden="1">#REF!</definedName>
    <definedName name="BExMM5UCOT2HSSN0ZIPZW55GSOVO" hidden="1">#REF!</definedName>
    <definedName name="BExMM8ZRS5RQ8H1H55RVPVTDL5NL" localSheetId="19" hidden="1">#REF!</definedName>
    <definedName name="BExMM8ZRS5RQ8H1H55RVPVTDL5NL" hidden="1">#REF!</definedName>
    <definedName name="BExMMH8EAZB09XXQ5X4LR0P4NHG9" localSheetId="19" hidden="1">#REF!</definedName>
    <definedName name="BExMMH8EAZB09XXQ5X4LR0P4NHG9" hidden="1">#REF!</definedName>
    <definedName name="BExMMIQH5BABNZVCIQ7TBCQ10AY5" localSheetId="19" hidden="1">#REF!</definedName>
    <definedName name="BExMMIQH5BABNZVCIQ7TBCQ10AY5" hidden="1">#REF!</definedName>
    <definedName name="BExMMNIZ2T7M22WECMUQXEF4NJ71" localSheetId="19" hidden="1">#REF!</definedName>
    <definedName name="BExMMNIZ2T7M22WECMUQXEF4NJ71" hidden="1">#REF!</definedName>
    <definedName name="BExMMPMIOU7BURTV0L1K6ACW9X73" localSheetId="19" hidden="1">#REF!</definedName>
    <definedName name="BExMMPMIOU7BURTV0L1K6ACW9X73" hidden="1">#REF!</definedName>
    <definedName name="BExMMQ835AJDHS4B419SS645P67Q" localSheetId="19" hidden="1">#REF!</definedName>
    <definedName name="BExMMQ835AJDHS4B419SS645P67Q" hidden="1">#REF!</definedName>
    <definedName name="BExMMQ844A9KG2DK921WGK4O9YPZ" localSheetId="19" hidden="1">#REF!</definedName>
    <definedName name="BExMMQ844A9KG2DK921WGK4O9YPZ" hidden="1">#REF!</definedName>
    <definedName name="BExMMQIUVPCOBISTEJJYNCCLUCPY" localSheetId="19" hidden="1">#REF!</definedName>
    <definedName name="BExMMQIUVPCOBISTEJJYNCCLUCPY" hidden="1">#REF!</definedName>
    <definedName name="BExMMSH37SF6GV4N9O9EW1APAZ1E" localSheetId="19" hidden="1">#REF!</definedName>
    <definedName name="BExMMSH37SF6GV4N9O9EW1APAZ1E" hidden="1">#REF!</definedName>
    <definedName name="BExMMTIXETA5VAKBSOFDD5SRU887" localSheetId="19" hidden="1">#REF!</definedName>
    <definedName name="BExMMTIXETA5VAKBSOFDD5SRU887" hidden="1">#REF!</definedName>
    <definedName name="BExMMV0P6P5YS3C35G0JYYHI7992" localSheetId="19" hidden="1">#REF!</definedName>
    <definedName name="BExMMV0P6P5YS3C35G0JYYHI7992" hidden="1">#REF!</definedName>
    <definedName name="BExMN1WVXE52MEF2NT3IVTY8KJQM" localSheetId="19" hidden="1">#REF!</definedName>
    <definedName name="BExMN1WVXE52MEF2NT3IVTY8KJQM" hidden="1">#REF!</definedName>
    <definedName name="BExMN2IH1J3S3D19MIV7YYZMS9DV" localSheetId="19" hidden="1">#REF!</definedName>
    <definedName name="BExMN2IH1J3S3D19MIV7YYZMS9DV" hidden="1">#REF!</definedName>
    <definedName name="BExMNAWJNSZ1W6QTQUX8O56Y0NF2" localSheetId="19" hidden="1">'[38]10.08.5 - 2008 Capital - TDBU'!#REF!</definedName>
    <definedName name="BExMNAWJNSZ1W6QTQUX8O56Y0NF2" hidden="1">'[38]10.08.5 - 2008 Capital - TDBU'!#REF!</definedName>
    <definedName name="BExMNDR4V2VG5RFZDGTAGD3Q9PPG" localSheetId="14" hidden="1">#REF!</definedName>
    <definedName name="BExMNDR4V2VG5RFZDGTAGD3Q9PPG" localSheetId="15" hidden="1">#REF!</definedName>
    <definedName name="BExMNDR4V2VG5RFZDGTAGD3Q9PPG" localSheetId="16" hidden="1">#REF!</definedName>
    <definedName name="BExMNDR4V2VG5RFZDGTAGD3Q9PPG" localSheetId="19" hidden="1">#REF!</definedName>
    <definedName name="BExMNDR4V2VG5RFZDGTAGD3Q9PPG" hidden="1">#REF!</definedName>
    <definedName name="BExMNJLFWZBRN9PZF1IO9CYWV1B2" localSheetId="16" hidden="1">#REF!</definedName>
    <definedName name="BExMNJLFWZBRN9PZF1IO9CYWV1B2" localSheetId="19" hidden="1">#REF!</definedName>
    <definedName name="BExMNJLFWZBRN9PZF1IO9CYWV1B2" hidden="1">#REF!</definedName>
    <definedName name="BExMNKCJ0FA57YEUUAJE43U1QN5P" localSheetId="16" hidden="1">#REF!</definedName>
    <definedName name="BExMNKCJ0FA57YEUUAJE43U1QN5P" localSheetId="19" hidden="1">#REF!</definedName>
    <definedName name="BExMNKCJ0FA57YEUUAJE43U1QN5P" hidden="1">#REF!</definedName>
    <definedName name="BExMNKN5D1WEF2OOJVP6LZ6DLU3Y" localSheetId="19" hidden="1">#REF!</definedName>
    <definedName name="BExMNKN5D1WEF2OOJVP6LZ6DLU3Y" hidden="1">#REF!</definedName>
    <definedName name="BExMNR38HMPLWAJRQ9MMS3ZAZ9IU" localSheetId="19" hidden="1">#REF!</definedName>
    <definedName name="BExMNR38HMPLWAJRQ9MMS3ZAZ9IU" hidden="1">#REF!</definedName>
    <definedName name="BExMNRDZULKJMVY2VKIIRM2M5A1M" localSheetId="19" hidden="1">#REF!</definedName>
    <definedName name="BExMNRDZULKJMVY2VKIIRM2M5A1M" hidden="1">#REF!</definedName>
    <definedName name="BExMO9IOWKTWHO8LQJJQI5P3INWY" localSheetId="19" hidden="1">#REF!</definedName>
    <definedName name="BExMO9IOWKTWHO8LQJJQI5P3INWY" hidden="1">#REF!</definedName>
    <definedName name="BExMOI29DOEK5R1A5QZPUDKF7N6T" localSheetId="19" hidden="1">#REF!</definedName>
    <definedName name="BExMOI29DOEK5R1A5QZPUDKF7N6T" hidden="1">#REF!</definedName>
    <definedName name="BExMOIYOIL4KOXZBI7MJYXPIV1QJ" localSheetId="19" hidden="1">#REF!</definedName>
    <definedName name="BExMOIYOIL4KOXZBI7MJYXPIV1QJ" hidden="1">#REF!</definedName>
    <definedName name="BExMORI2ZA9JU0J28GT1ZAXP5A9C" localSheetId="19" hidden="1">#REF!</definedName>
    <definedName name="BExMORI2ZA9JU0J28GT1ZAXP5A9C" hidden="1">#REF!</definedName>
    <definedName name="BExMPAJ5AJAXGKGK3F6H3ODS6RF4" localSheetId="19" hidden="1">#REF!</definedName>
    <definedName name="BExMPAJ5AJAXGKGK3F6H3ODS6RF4" hidden="1">#REF!</definedName>
    <definedName name="BExMPD2X55FFBVJ6CBUKNPROIOEU" localSheetId="19" hidden="1">#REF!</definedName>
    <definedName name="BExMPD2X55FFBVJ6CBUKNPROIOEU" hidden="1">#REF!</definedName>
    <definedName name="BExMPGZ848E38FUH1JBQN97DGWAT" localSheetId="19" hidden="1">#REF!</definedName>
    <definedName name="BExMPGZ848E38FUH1JBQN97DGWAT" hidden="1">#REF!</definedName>
    <definedName name="BExMPMTICOSMQENOFKQ18K0ZT4S8" localSheetId="19" hidden="1">#REF!</definedName>
    <definedName name="BExMPMTICOSMQENOFKQ18K0ZT4S8" hidden="1">#REF!</definedName>
    <definedName name="BExMPMZ07II0R4KGWQQ7PGS3RZS4" localSheetId="19" hidden="1">#REF!</definedName>
    <definedName name="BExMPMZ07II0R4KGWQQ7PGS3RZS4" hidden="1">#REF!</definedName>
    <definedName name="BExMPOBH04JMDO6Z8DMSEJZM4ANN" localSheetId="19" hidden="1">#REF!</definedName>
    <definedName name="BExMPOBH04JMDO6Z8DMSEJZM4ANN" hidden="1">#REF!</definedName>
    <definedName name="BExMPSD77XQ3HA6A4FZOJK8G2JP3" localSheetId="19" hidden="1">#REF!</definedName>
    <definedName name="BExMPSD77XQ3HA6A4FZOJK8G2JP3" hidden="1">#REF!</definedName>
    <definedName name="BExMPT9KA5ZL7QPEO8EJSGDXUSF6" localSheetId="19" hidden="1">#REF!</definedName>
    <definedName name="BExMPT9KA5ZL7QPEO8EJSGDXUSF6" hidden="1">#REF!</definedName>
    <definedName name="BExMQ4I3Q7F0BMPHSFMFW9TZ87UD" localSheetId="19" hidden="1">#REF!</definedName>
    <definedName name="BExMQ4I3Q7F0BMPHSFMFW9TZ87UD" hidden="1">#REF!</definedName>
    <definedName name="BExMQ4SWDWI4N16AZ0T5CJ6HH8WC" localSheetId="19" hidden="1">#REF!</definedName>
    <definedName name="BExMQ4SWDWI4N16AZ0T5CJ6HH8WC" hidden="1">#REF!</definedName>
    <definedName name="BExMQ71WHW50GVX45JU951AGPLFQ" localSheetId="19" hidden="1">#REF!</definedName>
    <definedName name="BExMQ71WHW50GVX45JU951AGPLFQ" hidden="1">#REF!</definedName>
    <definedName name="BExMQGXSLPT4A6N47LE6FBVHWBOF" localSheetId="19" hidden="1">#REF!</definedName>
    <definedName name="BExMQGXSLPT4A6N47LE6FBVHWBOF" hidden="1">#REF!</definedName>
    <definedName name="BExMQSBR7PL4KLB1Q4961QO45Y4G" localSheetId="19" hidden="1">#REF!</definedName>
    <definedName name="BExMQSBR7PL4KLB1Q4961QO45Y4G" hidden="1">#REF!</definedName>
    <definedName name="BExMR1MA4I1X77714ZEPUVC8W398" localSheetId="19" hidden="1">#REF!</definedName>
    <definedName name="BExMR1MA4I1X77714ZEPUVC8W398" hidden="1">#REF!</definedName>
    <definedName name="BExMR8YQHA7N77HGHY4Y6R30I3XT" localSheetId="19" hidden="1">#REF!</definedName>
    <definedName name="BExMR8YQHA7N77HGHY4Y6R30I3XT" hidden="1">#REF!</definedName>
    <definedName name="BExMRENOIARWRYOIVPDIEBVNRDO7" localSheetId="19" hidden="1">#REF!</definedName>
    <definedName name="BExMRENOIARWRYOIVPDIEBVNRDO7" hidden="1">#REF!</definedName>
    <definedName name="BExMRQHUEHGF2FS4LCB0THFELGDI" localSheetId="19" hidden="1">#REF!</definedName>
    <definedName name="BExMRQHUEHGF2FS4LCB0THFELGDI" hidden="1">#REF!</definedName>
    <definedName name="BExMRRJNUMGRSDD5GGKKGEIZ6FTS" localSheetId="19" hidden="1">#REF!</definedName>
    <definedName name="BExMRRJNUMGRSDD5GGKKGEIZ6FTS" hidden="1">#REF!</definedName>
    <definedName name="BExMRU3ACIU0RD2BNWO55LH5U2BR" localSheetId="19" hidden="1">#REF!</definedName>
    <definedName name="BExMRU3ACIU0RD2BNWO55LH5U2BR" hidden="1">#REF!</definedName>
    <definedName name="BExMS86DS3IHF2GL3USMAG2JZHWC" localSheetId="19" hidden="1">#REF!</definedName>
    <definedName name="BExMS86DS3IHF2GL3USMAG2JZHWC" hidden="1">#REF!</definedName>
    <definedName name="BExMSCO8TZ680ZEYN2WP0KB738IZ" localSheetId="19" hidden="1">#REF!</definedName>
    <definedName name="BExMSCO8TZ680ZEYN2WP0KB738IZ" hidden="1">#REF!</definedName>
    <definedName name="BExMSQRCC40AP8BDUPL2I2DNC210" localSheetId="19" hidden="1">#REF!</definedName>
    <definedName name="BExMSQRCC40AP8BDUPL2I2DNC210" hidden="1">#REF!</definedName>
    <definedName name="BExO4J9LR712G00TVA82VNTG8O7H" localSheetId="19" hidden="1">#REF!</definedName>
    <definedName name="BExO4J9LR712G00TVA82VNTG8O7H" hidden="1">#REF!</definedName>
    <definedName name="BExO4WGD4T7PXNGQYFD65V3BP906" localSheetId="19" hidden="1">'[38]10.08.5 - 2008 Capital - TDBU'!#REF!</definedName>
    <definedName name="BExO4WGD4T7PXNGQYFD65V3BP906" hidden="1">'[38]10.08.5 - 2008 Capital - TDBU'!#REF!</definedName>
    <definedName name="BExO55G2KVZ7MIJ30N827CLH0I2A" localSheetId="14" hidden="1">#REF!</definedName>
    <definedName name="BExO55G2KVZ7MIJ30N827CLH0I2A" localSheetId="15" hidden="1">#REF!</definedName>
    <definedName name="BExO55G2KVZ7MIJ30N827CLH0I2A" localSheetId="16" hidden="1">#REF!</definedName>
    <definedName name="BExO55G2KVZ7MIJ30N827CLH0I2A" localSheetId="19" hidden="1">#REF!</definedName>
    <definedName name="BExO55G2KVZ7MIJ30N827CLH0I2A" hidden="1">#REF!</definedName>
    <definedName name="BExO5A8PZD9EUHC5CMPU6N3SQ15L" localSheetId="16" hidden="1">#REF!</definedName>
    <definedName name="BExO5A8PZD9EUHC5CMPU6N3SQ15L" localSheetId="19" hidden="1">#REF!</definedName>
    <definedName name="BExO5A8PZD9EUHC5CMPU6N3SQ15L" hidden="1">#REF!</definedName>
    <definedName name="BExO5XMAHL7CY3X0B1OPKZ28DCJ5" localSheetId="16" hidden="1">#REF!</definedName>
    <definedName name="BExO5XMAHL7CY3X0B1OPKZ28DCJ5" localSheetId="19" hidden="1">#REF!</definedName>
    <definedName name="BExO5XMAHL7CY3X0B1OPKZ28DCJ5" hidden="1">#REF!</definedName>
    <definedName name="BExO64NREBN75DKW0OMYAUWYVY5S" localSheetId="19" hidden="1">#REF!</definedName>
    <definedName name="BExO64NREBN75DKW0OMYAUWYVY5S" hidden="1">#REF!</definedName>
    <definedName name="BExO66LZJKY4PTQVREELI6POS4AY" localSheetId="19" hidden="1">#REF!</definedName>
    <definedName name="BExO66LZJKY4PTQVREELI6POS4AY" hidden="1">#REF!</definedName>
    <definedName name="BExO6LLHCYTF7CIVHKAO0NMET14Q" localSheetId="19" hidden="1">#REF!</definedName>
    <definedName name="BExO6LLHCYTF7CIVHKAO0NMET14Q" hidden="1">#REF!</definedName>
    <definedName name="BExO6QE36OX39618EFGY819YKS0N" localSheetId="19" hidden="1">#REF!</definedName>
    <definedName name="BExO6QE36OX39618EFGY819YKS0N" hidden="1">#REF!</definedName>
    <definedName name="BExO6Y6LB0P6L4JTH4J6TCB4OHW8" localSheetId="19" hidden="1">#REF!</definedName>
    <definedName name="BExO6Y6LB0P6L4JTH4J6TCB4OHW8" hidden="1">#REF!</definedName>
    <definedName name="BExO7OUQS3XTUQ2LDKGQ8AAQ3OJJ" localSheetId="19" hidden="1">#REF!</definedName>
    <definedName name="BExO7OUQS3XTUQ2LDKGQ8AAQ3OJJ" hidden="1">#REF!</definedName>
    <definedName name="BExO7RUSODZC2NQZMT2AFSMV2ONF" localSheetId="19" hidden="1">#REF!</definedName>
    <definedName name="BExO7RUSODZC2NQZMT2AFSMV2ONF" hidden="1">#REF!</definedName>
    <definedName name="BExO7VLLWHHV7J25Z3RPF2PK6D8H" localSheetId="19" hidden="1">#REF!</definedName>
    <definedName name="BExO7VLLWHHV7J25Z3RPF2PK6D8H" hidden="1">#REF!</definedName>
    <definedName name="BExO7WNA0JRE553ALPEZODW1ICID" localSheetId="19" hidden="1">#REF!</definedName>
    <definedName name="BExO7WNA0JRE553ALPEZODW1ICID" hidden="1">#REF!</definedName>
    <definedName name="BExO85HMYXZJ7SONWBKKIAXMCI3C" localSheetId="19" hidden="1">#REF!</definedName>
    <definedName name="BExO85HMYXZJ7SONWBKKIAXMCI3C" hidden="1">#REF!</definedName>
    <definedName name="BExO863922O4PBGQMUNEQKGN3K96" localSheetId="19" hidden="1">#REF!</definedName>
    <definedName name="BExO863922O4PBGQMUNEQKGN3K96" hidden="1">#REF!</definedName>
    <definedName name="BExO89ZIOXN0HOKHY24F7HDZ87UT" localSheetId="19" hidden="1">#REF!</definedName>
    <definedName name="BExO89ZIOXN0HOKHY24F7HDZ87UT" hidden="1">#REF!</definedName>
    <definedName name="BExO8BXK76C9VFPKRARWMK6YTJ6O" localSheetId="19" hidden="1">#REF!</definedName>
    <definedName name="BExO8BXK76C9VFPKRARWMK6YTJ6O" hidden="1">#REF!</definedName>
    <definedName name="BExO8CDTBCABLEUD6PE2UM2EZ6C4" localSheetId="19" hidden="1">#REF!</definedName>
    <definedName name="BExO8CDTBCABLEUD6PE2UM2EZ6C4" hidden="1">#REF!</definedName>
    <definedName name="BExO8I85NBW303RBA7RZM8Q42KKU" localSheetId="19" hidden="1">#REF!</definedName>
    <definedName name="BExO8I85NBW303RBA7RZM8Q42KKU" hidden="1">#REF!</definedName>
    <definedName name="BExO8IZ05ZG0XVOL3W41KBQE176A" localSheetId="19" hidden="1">#REF!</definedName>
    <definedName name="BExO8IZ05ZG0XVOL3W41KBQE176A" hidden="1">#REF!</definedName>
    <definedName name="BExO8SK9JB6X989C2E50VDFI9589" localSheetId="19" hidden="1">#REF!</definedName>
    <definedName name="BExO8SK9JB6X989C2E50VDFI9589" hidden="1">#REF!</definedName>
    <definedName name="BExO8SPR4QWYLQRJDDPI2HTYU64C" localSheetId="19" hidden="1">#REF!</definedName>
    <definedName name="BExO8SPR4QWYLQRJDDPI2HTYU64C" hidden="1">#REF!</definedName>
    <definedName name="BExO8UTAGQWDBQZEEF4HUNMLQCVU" localSheetId="19" hidden="1">#REF!</definedName>
    <definedName name="BExO8UTAGQWDBQZEEF4HUNMLQCVU" hidden="1">#REF!</definedName>
    <definedName name="BExO8ZWPPH977G7OJO9G8JR25ZG1" localSheetId="19" hidden="1">#REF!</definedName>
    <definedName name="BExO8ZWPPH977G7OJO9G8JR25ZG1" hidden="1">#REF!</definedName>
    <definedName name="BExO937E20IHMGQOZMECL3VZC7OX" localSheetId="19" hidden="1">#REF!</definedName>
    <definedName name="BExO937E20IHMGQOZMECL3VZC7OX" hidden="1">#REF!</definedName>
    <definedName name="BExO94UTJKQQ7TJTTJRTSR70YVJC" localSheetId="19" hidden="1">#REF!</definedName>
    <definedName name="BExO94UTJKQQ7TJTTJRTSR70YVJC" hidden="1">#REF!</definedName>
    <definedName name="BExO9AZXF5CN7MTM11IM5SV2RXHY" localSheetId="19" hidden="1">#REF!</definedName>
    <definedName name="BExO9AZXF5CN7MTM11IM5SV2RXHY" hidden="1">#REF!</definedName>
    <definedName name="BExO9J3A438976RXIUX5U9SU5T55" localSheetId="19" hidden="1">#REF!</definedName>
    <definedName name="BExO9J3A438976RXIUX5U9SU5T55" hidden="1">#REF!</definedName>
    <definedName name="BExO9RS5RXFJ1911HL3CCK6M74EP" localSheetId="19" hidden="1">#REF!</definedName>
    <definedName name="BExO9RS5RXFJ1911HL3CCK6M74EP" hidden="1">#REF!</definedName>
    <definedName name="BExO9SDRI1M6KMHXSG3AE5L0F2U3" localSheetId="19" hidden="1">#REF!</definedName>
    <definedName name="BExO9SDRI1M6KMHXSG3AE5L0F2U3" hidden="1">#REF!</definedName>
    <definedName name="BExO9V2U2YXAY904GYYGU6TD8Y7M" localSheetId="19" hidden="1">#REF!</definedName>
    <definedName name="BExO9V2U2YXAY904GYYGU6TD8Y7M" hidden="1">#REF!</definedName>
    <definedName name="BExOAQ3GKCT7YZW1EMVU3EILSZL2" localSheetId="19" hidden="1">#REF!</definedName>
    <definedName name="BExOAQ3GKCT7YZW1EMVU3EILSZL2" hidden="1">#REF!</definedName>
    <definedName name="BExOAULC4L2CQJSFPGMEJUUTI5B1" localSheetId="19" hidden="1">#REF!</definedName>
    <definedName name="BExOAULC4L2CQJSFPGMEJUUTI5B1" hidden="1">#REF!</definedName>
    <definedName name="BExOAZU2Y521ZUPN4R2HWBIUQKKR" localSheetId="19" hidden="1">#REF!</definedName>
    <definedName name="BExOAZU2Y521ZUPN4R2HWBIUQKKR" hidden="1">#REF!</definedName>
    <definedName name="BExOB9KT2THGV4SPLDVFTFXS4B14" localSheetId="19" hidden="1">#REF!</definedName>
    <definedName name="BExOB9KT2THGV4SPLDVFTFXS4B14" hidden="1">#REF!</definedName>
    <definedName name="BExOBEZ0IE2WBEYY3D3CMRI72N1K" localSheetId="19" hidden="1">#REF!</definedName>
    <definedName name="BExOBEZ0IE2WBEYY3D3CMRI72N1K" hidden="1">#REF!</definedName>
    <definedName name="BExOBIPU8760ITY0C8N27XZ3KWEF" localSheetId="19" hidden="1">#REF!</definedName>
    <definedName name="BExOBIPU8760ITY0C8N27XZ3KWEF" hidden="1">#REF!</definedName>
    <definedName name="BExOBM0I5L0MZ1G4H9MGMD87SBMZ" localSheetId="19" hidden="1">#REF!</definedName>
    <definedName name="BExOBM0I5L0MZ1G4H9MGMD87SBMZ" hidden="1">#REF!</definedName>
    <definedName name="BExOBOUXMP88KJY2BX2JLUJH5N0K" localSheetId="19" hidden="1">#REF!</definedName>
    <definedName name="BExOBOUXMP88KJY2BX2JLUJH5N0K" hidden="1">#REF!</definedName>
    <definedName name="BExOBP0FKQ4SVR59FB48UNLKCOR6" localSheetId="19" hidden="1">#REF!</definedName>
    <definedName name="BExOBP0FKQ4SVR59FB48UNLKCOR6" hidden="1">#REF!</definedName>
    <definedName name="BExOBXURJP8XL4VX0LAH1M4VR4VL" localSheetId="19" hidden="1">#REF!</definedName>
    <definedName name="BExOBXURJP8XL4VX0LAH1M4VR4VL" hidden="1">#REF!</definedName>
    <definedName name="BExOBYAVUCQ0IGM0Y6A75QHP0Q1A" localSheetId="19" hidden="1">#REF!</definedName>
    <definedName name="BExOBYAVUCQ0IGM0Y6A75QHP0Q1A" hidden="1">#REF!</definedName>
    <definedName name="BExOC3UEHB1CZNINSQHZANWJYKR8" localSheetId="19" hidden="1">#REF!</definedName>
    <definedName name="BExOC3UEHB1CZNINSQHZANWJYKR8" hidden="1">#REF!</definedName>
    <definedName name="BExOCBSF3XGO9YJ23LX2H78VOUR7" localSheetId="19" hidden="1">#REF!</definedName>
    <definedName name="BExOCBSF3XGO9YJ23LX2H78VOUR7" hidden="1">#REF!</definedName>
    <definedName name="BExOCHBYK42SX24MJ239H6G9OJ8E" localSheetId="19" hidden="1">#REF!</definedName>
    <definedName name="BExOCHBYK42SX24MJ239H6G9OJ8E" hidden="1">#REF!</definedName>
    <definedName name="BExOCKXFMOW6WPFEVX1I7R7FNDSS" localSheetId="19" hidden="1">#REF!</definedName>
    <definedName name="BExOCKXFMOW6WPFEVX1I7R7FNDSS" hidden="1">#REF!</definedName>
    <definedName name="BExOCYEXOB95DH5NOB0M5NOYX398" localSheetId="19" hidden="1">#REF!</definedName>
    <definedName name="BExOCYEXOB95DH5NOB0M5NOYX398" hidden="1">#REF!</definedName>
    <definedName name="BExOD4ERMDMFD8X1016N4EXOUR0S" localSheetId="19" hidden="1">#REF!</definedName>
    <definedName name="BExOD4ERMDMFD8X1016N4EXOUR0S" hidden="1">#REF!</definedName>
    <definedName name="BExOD55RS7BQUHRQ6H3USVGKR0P7" localSheetId="19" hidden="1">#REF!</definedName>
    <definedName name="BExOD55RS7BQUHRQ6H3USVGKR0P7" hidden="1">#REF!</definedName>
    <definedName name="BExOD7UQ6G3P86ZLZV0GY79H7VLL" localSheetId="19" hidden="1">#REF!</definedName>
    <definedName name="BExOD7UQ6G3P86ZLZV0GY79H7VLL" hidden="1">#REF!</definedName>
    <definedName name="BExODEWDDEABM4ZY3XREJIBZ8IVP" localSheetId="19" hidden="1">#REF!</definedName>
    <definedName name="BExODEWDDEABM4ZY3XREJIBZ8IVP" hidden="1">#REF!</definedName>
    <definedName name="BExODNLAA1L7WQ9ZQX6A1ZOXK9VR" localSheetId="19" hidden="1">#REF!</definedName>
    <definedName name="BExODNLAA1L7WQ9ZQX6A1ZOXK9VR" hidden="1">#REF!</definedName>
    <definedName name="BExODZFEIWV26E8RFU7XQYX1J458" localSheetId="19" hidden="1">#REF!</definedName>
    <definedName name="BExODZFEIWV26E8RFU7XQYX1J458" hidden="1">#REF!</definedName>
    <definedName name="BExOEBKG55EROA2VL360A06LKASE" localSheetId="19" hidden="1">#REF!</definedName>
    <definedName name="BExOEBKG55EROA2VL360A06LKASE" hidden="1">#REF!</definedName>
    <definedName name="BExOED2F7B5GEHKVIWGRV2BCDE2Y" localSheetId="19" hidden="1">#REF!</definedName>
    <definedName name="BExOED2F7B5GEHKVIWGRV2BCDE2Y" hidden="1">#REF!</definedName>
    <definedName name="BExOERG5LWXYYEN1DY1H2FWRJS9T" localSheetId="19" hidden="1">#REF!</definedName>
    <definedName name="BExOERG5LWXYYEN1DY1H2FWRJS9T" hidden="1">#REF!</definedName>
    <definedName name="BExOEV1S6JJVO5PP4BZ20SNGZR7D" localSheetId="19" hidden="1">#REF!</definedName>
    <definedName name="BExOEV1S6JJVO5PP4BZ20SNGZR7D" hidden="1">#REF!</definedName>
    <definedName name="BExOF2U4Y5JYM0GUBGC0U2UH931Y" localSheetId="19" hidden="1">#REF!</definedName>
    <definedName name="BExOF2U4Y5JYM0GUBGC0U2UH931Y" hidden="1">#REF!</definedName>
    <definedName name="BExOF6VWODFNH2HUFTQI5L0UHNQ9" localSheetId="19" hidden="1">'[38]10.08.5 - 2008 Capital - TDBU'!#REF!</definedName>
    <definedName name="BExOF6VWODFNH2HUFTQI5L0UHNQ9" hidden="1">'[38]10.08.5 - 2008 Capital - TDBU'!#REF!</definedName>
    <definedName name="BExOFEDNCYI2TPTMQ8SJN3AW4YMF" localSheetId="14" hidden="1">#REF!</definedName>
    <definedName name="BExOFEDNCYI2TPTMQ8SJN3AW4YMF" localSheetId="15" hidden="1">#REF!</definedName>
    <definedName name="BExOFEDNCYI2TPTMQ8SJN3AW4YMF" localSheetId="16" hidden="1">#REF!</definedName>
    <definedName name="BExOFEDNCYI2TPTMQ8SJN3AW4YMF" localSheetId="19" hidden="1">#REF!</definedName>
    <definedName name="BExOFEDNCYI2TPTMQ8SJN3AW4YMF" hidden="1">#REF!</definedName>
    <definedName name="BExOFGRSPF8UTG0K1OGA8LX12P37" localSheetId="16" hidden="1">#REF!</definedName>
    <definedName name="BExOFGRSPF8UTG0K1OGA8LX12P37" localSheetId="19" hidden="1">#REF!</definedName>
    <definedName name="BExOFGRSPF8UTG0K1OGA8LX12P37" hidden="1">#REF!</definedName>
    <definedName name="BExOFVLXVD6RVHSQO8KZOOACSV24" localSheetId="16" hidden="1">#REF!</definedName>
    <definedName name="BExOFVLXVD6RVHSQO8KZOOACSV24" localSheetId="19" hidden="1">#REF!</definedName>
    <definedName name="BExOFVLXVD6RVHSQO8KZOOACSV24" hidden="1">#REF!</definedName>
    <definedName name="BExOG2SW3XOGP9VAPQ3THV3VWV12" localSheetId="19" hidden="1">#REF!</definedName>
    <definedName name="BExOG2SW3XOGP9VAPQ3THV3VWV12" hidden="1">#REF!</definedName>
    <definedName name="BExOG45J81K4OPA40KW5VQU54KY3" localSheetId="19" hidden="1">#REF!</definedName>
    <definedName name="BExOG45J81K4OPA40KW5VQU54KY3" hidden="1">#REF!</definedName>
    <definedName name="BExOGBXX51PO4FXDL42WFPKYU6Y9" localSheetId="19" hidden="1">#REF!</definedName>
    <definedName name="BExOGBXX51PO4FXDL42WFPKYU6Y9" hidden="1">#REF!</definedName>
    <definedName name="BExOGFE2SCL8HHT4DFAXKLUTJZOG" localSheetId="19" hidden="1">#REF!</definedName>
    <definedName name="BExOGFE2SCL8HHT4DFAXKLUTJZOG" hidden="1">#REF!</definedName>
    <definedName name="BExOGT6D0LJ3C22RDW8COECKB1J5" localSheetId="19" hidden="1">#REF!</definedName>
    <definedName name="BExOGT6D0LJ3C22RDW8COECKB1J5" hidden="1">#REF!</definedName>
    <definedName name="BExOGTMI1HT31M1RGWVRAVHAK7DE" localSheetId="19" hidden="1">#REF!</definedName>
    <definedName name="BExOGTMI1HT31M1RGWVRAVHAK7DE" hidden="1">#REF!</definedName>
    <definedName name="BExOGXO9JE5XSE9GC3I6O21UEKAO" localSheetId="19" hidden="1">#REF!</definedName>
    <definedName name="BExOGXO9JE5XSE9GC3I6O21UEKAO" hidden="1">#REF!</definedName>
    <definedName name="BExOH9ICZ13C1LAW8OTYTR9S7ZP3" localSheetId="19" hidden="1">#REF!</definedName>
    <definedName name="BExOH9ICZ13C1LAW8OTYTR9S7ZP3" hidden="1">#REF!</definedName>
    <definedName name="BExOHCI9MFNF9Y2P8D4LJGJ5B5CB" localSheetId="19" hidden="1">#REF!</definedName>
    <definedName name="BExOHCI9MFNF9Y2P8D4LJGJ5B5CB" hidden="1">#REF!</definedName>
    <definedName name="BExOHL75H3OT4WAKKPUXIVXWFVDS" localSheetId="19" hidden="1">#REF!</definedName>
    <definedName name="BExOHL75H3OT4WAKKPUXIVXWFVDS" hidden="1">#REF!</definedName>
    <definedName name="BExOHLHXXJL6363CC082M9M5VVXQ" localSheetId="19" hidden="1">#REF!</definedName>
    <definedName name="BExOHLHXXJL6363CC082M9M5VVXQ" hidden="1">#REF!</definedName>
    <definedName name="BExOHNAO5UDXSO73BK2ARHWKS90Y" localSheetId="19" hidden="1">#REF!</definedName>
    <definedName name="BExOHNAO5UDXSO73BK2ARHWKS90Y" hidden="1">#REF!</definedName>
    <definedName name="BExOHNLFZGEVXCTJ9CWMJJS7C98A" localSheetId="19" hidden="1">#REF!</definedName>
    <definedName name="BExOHNLFZGEVXCTJ9CWMJJS7C98A" hidden="1">#REF!</definedName>
    <definedName name="BExOHR1G1I9A9CI1HG94EWBLWNM2" localSheetId="19" hidden="1">#REF!</definedName>
    <definedName name="BExOHR1G1I9A9CI1HG94EWBLWNM2" hidden="1">#REF!</definedName>
    <definedName name="BExOHTQPP8LQ98L6PYUI6QW08YID" localSheetId="19" hidden="1">#REF!</definedName>
    <definedName name="BExOHTQPP8LQ98L6PYUI6QW08YID" hidden="1">#REF!</definedName>
    <definedName name="BExOHX6Q6NJI793PGX59O5EKTP4G" localSheetId="19" hidden="1">#REF!</definedName>
    <definedName name="BExOHX6Q6NJI793PGX59O5EKTP4G" hidden="1">#REF!</definedName>
    <definedName name="BExOI5VMTHH7Y8MQQ1N635CHYI0P" localSheetId="19" hidden="1">#REF!</definedName>
    <definedName name="BExOI5VMTHH7Y8MQQ1N635CHYI0P" hidden="1">#REF!</definedName>
    <definedName name="BExOIEVCP4Y6VDS23AK84MCYYHRT" localSheetId="19" hidden="1">#REF!</definedName>
    <definedName name="BExOIEVCP4Y6VDS23AK84MCYYHRT" hidden="1">#REF!</definedName>
    <definedName name="BExOIHPQIXR0NDR5WD01BZKPKEO3" localSheetId="19" hidden="1">#REF!</definedName>
    <definedName name="BExOIHPQIXR0NDR5WD01BZKPKEO3" hidden="1">#REF!</definedName>
    <definedName name="BExOIK437LIDQQW9LPBD4ZIP504X" localSheetId="19" hidden="1">#REF!</definedName>
    <definedName name="BExOIK437LIDQQW9LPBD4ZIP504X" hidden="1">#REF!</definedName>
    <definedName name="BExOIM7L0Z3LSII9P7ZTV4KJ8RMA" localSheetId="19" hidden="1">#REF!</definedName>
    <definedName name="BExOIM7L0Z3LSII9P7ZTV4KJ8RMA" hidden="1">#REF!</definedName>
    <definedName name="BExOIRR9MU1G575D1ZA3HFPLOPHO" localSheetId="19" hidden="1">#REF!</definedName>
    <definedName name="BExOIRR9MU1G575D1ZA3HFPLOPHO" hidden="1">#REF!</definedName>
    <definedName name="BExOIWJVMJ6MG6JC4SPD1L00OHU1" localSheetId="19" hidden="1">#REF!</definedName>
    <definedName name="BExOIWJVMJ6MG6JC4SPD1L00OHU1" hidden="1">#REF!</definedName>
    <definedName name="BExOIYCN8Z4JK3OOG86KYUCV0ME8" localSheetId="19" hidden="1">#REF!</definedName>
    <definedName name="BExOIYCN8Z4JK3OOG86KYUCV0ME8" hidden="1">#REF!</definedName>
    <definedName name="BExOJ1HV93EOH7BOVAII53VPS2G2" localSheetId="19" hidden="1">#REF!</definedName>
    <definedName name="BExOJ1HV93EOH7BOVAII53VPS2G2" hidden="1">#REF!</definedName>
    <definedName name="BExOJ3AKZ9BCBZT3KD8WMSLK6MN2" localSheetId="19" hidden="1">#REF!</definedName>
    <definedName name="BExOJ3AKZ9BCBZT3KD8WMSLK6MN2" hidden="1">#REF!</definedName>
    <definedName name="BExOJ3FWAWMR29DR11VER2OQPUJT" localSheetId="19" hidden="1">#REF!</definedName>
    <definedName name="BExOJ3FWAWMR29DR11VER2OQPUJT" hidden="1">#REF!</definedName>
    <definedName name="BExOJ7XQK71I4YZDD29AKOOWZ47E" localSheetId="19" hidden="1">#REF!</definedName>
    <definedName name="BExOJ7XQK71I4YZDD29AKOOWZ47E" hidden="1">#REF!</definedName>
    <definedName name="BExOJM0W6XGSW5MXPTTX0GNF6SFT" localSheetId="19" hidden="1">#REF!</definedName>
    <definedName name="BExOJM0W6XGSW5MXPTTX0GNF6SFT" hidden="1">#REF!</definedName>
    <definedName name="BExOJXEUJJ9SYRJXKYYV2NCCDT2R" localSheetId="19" hidden="1">#REF!</definedName>
    <definedName name="BExOJXEUJJ9SYRJXKYYV2NCCDT2R" hidden="1">#REF!</definedName>
    <definedName name="BExOK0EQYM9JUMAGWOUN7QDH7VMZ" localSheetId="19" hidden="1">#REF!</definedName>
    <definedName name="BExOK0EQYM9JUMAGWOUN7QDH7VMZ" hidden="1">#REF!</definedName>
    <definedName name="BExOK4WM9O7QNG6O57FOASI5QSN1" localSheetId="19" hidden="1">#REF!</definedName>
    <definedName name="BExOK4WM9O7QNG6O57FOASI5QSN1" hidden="1">#REF!</definedName>
    <definedName name="BExOK6EKT2189GVNUAT82OZYA3XB" localSheetId="19" hidden="1">#REF!</definedName>
    <definedName name="BExOK6EKT2189GVNUAT82OZYA3XB" hidden="1">#REF!</definedName>
    <definedName name="BExOKFUDO7FXT8ZXISPIKAJYI0CO" localSheetId="19" hidden="1">#REF!</definedName>
    <definedName name="BExOKFUDO7FXT8ZXISPIKAJYI0CO" hidden="1">#REF!</definedName>
    <definedName name="BExOKI3C3DWTNF6PRKG2XY34A3JA" localSheetId="19" hidden="1">#REF!</definedName>
    <definedName name="BExOKI3C3DWTNF6PRKG2XY34A3JA" hidden="1">#REF!</definedName>
    <definedName name="BExOKKHOPWUVRJGQJ5ONR2U40JX8" localSheetId="19" hidden="1">#REF!</definedName>
    <definedName name="BExOKKHOPWUVRJGQJ5ONR2U40JX8" hidden="1">#REF!</definedName>
    <definedName name="BExOKTXMJP351VXKH8VT6SXUNIMF" localSheetId="19" hidden="1">#REF!</definedName>
    <definedName name="BExOKTXMJP351VXKH8VT6SXUNIMF" hidden="1">#REF!</definedName>
    <definedName name="BExOKU8GMLOCNVORDE329819XN67" localSheetId="19" hidden="1">#REF!</definedName>
    <definedName name="BExOKU8GMLOCNVORDE329819XN67" hidden="1">#REF!</definedName>
    <definedName name="BExOL0Z3Z7IAMHPB91EO2MF49U57" localSheetId="19" hidden="1">#REF!</definedName>
    <definedName name="BExOL0Z3Z7IAMHPB91EO2MF49U57" hidden="1">#REF!</definedName>
    <definedName name="BExOL7KH12VAR0LG741SIOJTLWFD" localSheetId="19" hidden="1">#REF!</definedName>
    <definedName name="BExOL7KH12VAR0LG741SIOJTLWFD" hidden="1">#REF!</definedName>
    <definedName name="BExOLICXFHJLILCJVFMJE5MGGWKR" localSheetId="19" hidden="1">#REF!</definedName>
    <definedName name="BExOLICXFHJLILCJVFMJE5MGGWKR" hidden="1">#REF!</definedName>
    <definedName name="BExOLOI0WJS3QC12I3ISL0D9AWOF" localSheetId="19" hidden="1">#REF!</definedName>
    <definedName name="BExOLOI0WJS3QC12I3ISL0D9AWOF" hidden="1">#REF!</definedName>
    <definedName name="BExOLUCCA6OM4TBUAJHS6O1UU6TO" localSheetId="19" hidden="1">#REF!</definedName>
    <definedName name="BExOLUCCA6OM4TBUAJHS6O1UU6TO" hidden="1">#REF!</definedName>
    <definedName name="BExOLYZNG5RBD0BTS1OEZJNU92Q5" localSheetId="19" hidden="1">#REF!</definedName>
    <definedName name="BExOLYZNG5RBD0BTS1OEZJNU92Q5" hidden="1">#REF!</definedName>
    <definedName name="BExOM3HIJ3UZPOKJI68KPBJAHPDC" localSheetId="19" hidden="1">#REF!</definedName>
    <definedName name="BExOM3HIJ3UZPOKJI68KPBJAHPDC" hidden="1">#REF!</definedName>
    <definedName name="BExOM8VPAS5WZAM0QNYW8ZY56VAP" localSheetId="19" hidden="1">#REF!</definedName>
    <definedName name="BExOM8VPAS5WZAM0QNYW8ZY56VAP" hidden="1">#REF!</definedName>
    <definedName name="BExOMKPURE33YQ3K1JG9NVQD4W49" localSheetId="19" hidden="1">#REF!</definedName>
    <definedName name="BExOMKPURE33YQ3K1JG9NVQD4W49" hidden="1">#REF!</definedName>
    <definedName name="BExOMP7NGCLUNFK50QD2LPKRG078" localSheetId="19" hidden="1">#REF!</definedName>
    <definedName name="BExOMP7NGCLUNFK50QD2LPKRG078" hidden="1">#REF!</definedName>
    <definedName name="BExOMU0A6XMY48SZRYL4WQZD13BI" localSheetId="19" hidden="1">#REF!</definedName>
    <definedName name="BExOMU0A6XMY48SZRYL4WQZD13BI" hidden="1">#REF!</definedName>
    <definedName name="BExOMVT0HSNC59DJP4CLISASGHKL" localSheetId="19" hidden="1">#REF!</definedName>
    <definedName name="BExOMVT0HSNC59DJP4CLISASGHKL" hidden="1">#REF!</definedName>
    <definedName name="BExON0AX35F2SI0UCVMGWGVIUNI3" localSheetId="19" hidden="1">#REF!</definedName>
    <definedName name="BExON0AX35F2SI0UCVMGWGVIUNI3" hidden="1">#REF!</definedName>
    <definedName name="BExON41U4296DV3DPG6I5EF3OEYF" localSheetId="19" hidden="1">#REF!</definedName>
    <definedName name="BExON41U4296DV3DPG6I5EF3OEYF" hidden="1">#REF!</definedName>
    <definedName name="BExONB3A7CO4YD8RB41PHC93BQ9M" localSheetId="19" hidden="1">#REF!</definedName>
    <definedName name="BExONB3A7CO4YD8RB41PHC93BQ9M" hidden="1">#REF!</definedName>
    <definedName name="BExONDSE2SJ2Q00MS22HA9D59305" localSheetId="19" hidden="1">#REF!</definedName>
    <definedName name="BExONDSE2SJ2Q00MS22HA9D59305" hidden="1">#REF!</definedName>
    <definedName name="BExONFQH6UUXF8V0GI4BRIST9RFO" localSheetId="19" hidden="1">#REF!</definedName>
    <definedName name="BExONFQH6UUXF8V0GI4BRIST9RFO" hidden="1">#REF!</definedName>
    <definedName name="BExONIL31DZWU7IFVN3VV0XTXJA1" localSheetId="19" hidden="1">#REF!</definedName>
    <definedName name="BExONIL31DZWU7IFVN3VV0XTXJA1" hidden="1">#REF!</definedName>
    <definedName name="BExONJ1BU17R0F5A2UP1UGJBOGKS" localSheetId="19" hidden="1">#REF!</definedName>
    <definedName name="BExONJ1BU17R0F5A2UP1UGJBOGKS" hidden="1">#REF!</definedName>
    <definedName name="BExONNZ9VMHVX3J6NLNJY7KZA61O" localSheetId="19" hidden="1">#REF!</definedName>
    <definedName name="BExONNZ9VMHVX3J6NLNJY7KZA61O" hidden="1">#REF!</definedName>
    <definedName name="BExONRQ1BAA4F3TXP2MYQ4YCZ09S" localSheetId="19" hidden="1">#REF!</definedName>
    <definedName name="BExONRQ1BAA4F3TXP2MYQ4YCZ09S" hidden="1">#REF!</definedName>
    <definedName name="BExOO0EYS79NAIW0WEELRXCYS9GK" localSheetId="19" hidden="1">'[38]10.08.3 - 2008 Expense - TDBU'!#REF!</definedName>
    <definedName name="BExOO0EYS79NAIW0WEELRXCYS9GK" hidden="1">'[38]10.08.3 - 2008 Expense - TDBU'!#REF!</definedName>
    <definedName name="BExOO1WWIZSGB0YTGKESB45TSVMZ" localSheetId="14" hidden="1">#REF!</definedName>
    <definedName name="BExOO1WWIZSGB0YTGKESB45TSVMZ" localSheetId="15" hidden="1">#REF!</definedName>
    <definedName name="BExOO1WWIZSGB0YTGKESB45TSVMZ" localSheetId="16" hidden="1">#REF!</definedName>
    <definedName name="BExOO1WWIZSGB0YTGKESB45TSVMZ" localSheetId="19" hidden="1">#REF!</definedName>
    <definedName name="BExOO1WWIZSGB0YTGKESB45TSVMZ" hidden="1">#REF!</definedName>
    <definedName name="BExOO4B8FPAFYPHCTYTX37P1TQM5" localSheetId="16" hidden="1">#REF!</definedName>
    <definedName name="BExOO4B8FPAFYPHCTYTX37P1TQM5" localSheetId="19" hidden="1">#REF!</definedName>
    <definedName name="BExOO4B8FPAFYPHCTYTX37P1TQM5" hidden="1">#REF!</definedName>
    <definedName name="BExOO5D2QZREOU0YQCGPBXBS4YQ1" localSheetId="16" hidden="1">#REF!</definedName>
    <definedName name="BExOO5D2QZREOU0YQCGPBXBS4YQ1" localSheetId="19" hidden="1">#REF!</definedName>
    <definedName name="BExOO5D2QZREOU0YQCGPBXBS4YQ1" hidden="1">#REF!</definedName>
    <definedName name="BExOO6ERU9G120RGLKYWC09LZ5RE" localSheetId="19" hidden="1">#REF!</definedName>
    <definedName name="BExOO6ERU9G120RGLKYWC09LZ5RE" hidden="1">#REF!</definedName>
    <definedName name="BExOO824YWJ12GSXLC07K7266C14" localSheetId="19" hidden="1">#REF!</definedName>
    <definedName name="BExOO824YWJ12GSXLC07K7266C14" hidden="1">#REF!</definedName>
    <definedName name="BExOOIULUDOJRMYABWV5CCL906X6" localSheetId="19" hidden="1">#REF!</definedName>
    <definedName name="BExOOIULUDOJRMYABWV5CCL906X6" hidden="1">#REF!</definedName>
    <definedName name="BExOOLE93DKM88V3PQ8ELSMZCHUA" localSheetId="19" hidden="1">#REF!</definedName>
    <definedName name="BExOOLE93DKM88V3PQ8ELSMZCHUA" hidden="1">#REF!</definedName>
    <definedName name="BExOOTN0KTXJCL7E476XBN1CJ553" localSheetId="19" hidden="1">#REF!</definedName>
    <definedName name="BExOOTN0KTXJCL7E476XBN1CJ553" hidden="1">#REF!</definedName>
    <definedName name="BExOP9DEBV5W5P4Q25J3XCJBP5S9" localSheetId="19" hidden="1">#REF!</definedName>
    <definedName name="BExOP9DEBV5W5P4Q25J3XCJBP5S9" hidden="1">#REF!</definedName>
    <definedName name="BExOPFNYRBL0BFM23LZBJTADNOE4" localSheetId="19" hidden="1">#REF!</definedName>
    <definedName name="BExOPFNYRBL0BFM23LZBJTADNOE4" hidden="1">#REF!</definedName>
    <definedName name="BExOPINVFSIZMCVT9YGT2AODVCX3" localSheetId="19" hidden="1">#REF!</definedName>
    <definedName name="BExOPINVFSIZMCVT9YGT2AODVCX3" hidden="1">#REF!</definedName>
    <definedName name="BExOQ1JN4SAC44RTMZIGHSW023WA" localSheetId="19" hidden="1">#REF!</definedName>
    <definedName name="BExOQ1JN4SAC44RTMZIGHSW023WA" hidden="1">#REF!</definedName>
    <definedName name="BExOQ256YMF115DJL3KBPNKABJ90" localSheetId="19" hidden="1">#REF!</definedName>
    <definedName name="BExOQ256YMF115DJL3KBPNKABJ90" hidden="1">#REF!</definedName>
    <definedName name="BExQ19DEUOLC11IW32E2AMVZLFF1" localSheetId="19" hidden="1">#REF!</definedName>
    <definedName name="BExQ19DEUOLC11IW32E2AMVZLFF1" hidden="1">#REF!</definedName>
    <definedName name="BExQ1FD6KISGYU1JWEQ4G243ZPVD" localSheetId="19" hidden="1">#REF!</definedName>
    <definedName name="BExQ1FD6KISGYU1JWEQ4G243ZPVD" hidden="1">#REF!</definedName>
    <definedName name="BExQ1OYH5SW4PG5JI8ED4NJN4422" localSheetId="19" hidden="1">#REF!</definedName>
    <definedName name="BExQ1OYH5SW4PG5JI8ED4NJN4422" hidden="1">#REF!</definedName>
    <definedName name="BExQ29C73XR33S3668YYSYZAIHTG" localSheetId="19" hidden="1">#REF!</definedName>
    <definedName name="BExQ29C73XR33S3668YYSYZAIHTG" hidden="1">#REF!</definedName>
    <definedName name="BExQ2D8FO6F5AOMJ5FJODJ81T8C3" localSheetId="19" hidden="1">#REF!</definedName>
    <definedName name="BExQ2D8FO6F5AOMJ5FJODJ81T8C3" hidden="1">#REF!</definedName>
    <definedName name="BExQ2FS228IUDUP2023RA1D4AO4C" localSheetId="19" hidden="1">#REF!</definedName>
    <definedName name="BExQ2FS228IUDUP2023RA1D4AO4C" hidden="1">#REF!</definedName>
    <definedName name="BExQ2L0XYWLY9VPZWXYYFRIRQRJ1" localSheetId="19" hidden="1">#REF!</definedName>
    <definedName name="BExQ2L0XYWLY9VPZWXYYFRIRQRJ1" hidden="1">#REF!</definedName>
    <definedName name="BExQ2M841F5Z1BQYR8DG5FKK0LIU" localSheetId="19" hidden="1">#REF!</definedName>
    <definedName name="BExQ2M841F5Z1BQYR8DG5FKK0LIU" hidden="1">#REF!</definedName>
    <definedName name="BExQ2V7SO1UTLMJ1NFVRKDOOQAP2" localSheetId="19" hidden="1">#REF!</definedName>
    <definedName name="BExQ2V7SO1UTLMJ1NFVRKDOOQAP2" hidden="1">#REF!</definedName>
    <definedName name="BExQ300G8I8TK45A0MVHV15422EU" localSheetId="19" hidden="1">#REF!</definedName>
    <definedName name="BExQ300G8I8TK45A0MVHV15422EU" hidden="1">#REF!</definedName>
    <definedName name="BExQ39R28MXSG2SEV956F0KZ20AN" localSheetId="19" hidden="1">#REF!</definedName>
    <definedName name="BExQ39R28MXSG2SEV956F0KZ20AN" hidden="1">#REF!</definedName>
    <definedName name="BExQ3D1P3M5Z3HLMEZ17E0BLEE4U" localSheetId="19" hidden="1">#REF!</definedName>
    <definedName name="BExQ3D1P3M5Z3HLMEZ17E0BLEE4U" hidden="1">#REF!</definedName>
    <definedName name="BExQ3D1PQ0OOWP5T1D37RLPA9BFX" localSheetId="19" hidden="1">#REF!</definedName>
    <definedName name="BExQ3D1PQ0OOWP5T1D37RLPA9BFX" hidden="1">#REF!</definedName>
    <definedName name="BExQ3LW3GD5LUIS2HB4C1TEJJP2P" localSheetId="19" hidden="1">#REF!</definedName>
    <definedName name="BExQ3LW3GD5LUIS2HB4C1TEJJP2P" hidden="1">#REF!</definedName>
    <definedName name="BExQ3O4W7QF8BOXTUT4IOGF6YKUD" localSheetId="19" hidden="1">#REF!</definedName>
    <definedName name="BExQ3O4W7QF8BOXTUT4IOGF6YKUD" hidden="1">#REF!</definedName>
    <definedName name="BExQ3PXOWSN8561ZR8IEY8ZASI3B" localSheetId="19" hidden="1">#REF!</definedName>
    <definedName name="BExQ3PXOWSN8561ZR8IEY8ZASI3B" hidden="1">#REF!</definedName>
    <definedName name="BExQ3TZF04IPY0B0UG9CQQ5736UA" localSheetId="19" hidden="1">#REF!</definedName>
    <definedName name="BExQ3TZF04IPY0B0UG9CQQ5736UA" hidden="1">#REF!</definedName>
    <definedName name="BExQ42IU9MNDYLODP41DL6YTZMAR" localSheetId="19" hidden="1">#REF!</definedName>
    <definedName name="BExQ42IU9MNDYLODP41DL6YTZMAR" hidden="1">#REF!</definedName>
    <definedName name="BExQ452HF7N1HYPXJXQ8WD6SOWUV" localSheetId="19" hidden="1">#REF!</definedName>
    <definedName name="BExQ452HF7N1HYPXJXQ8WD6SOWUV" hidden="1">#REF!</definedName>
    <definedName name="BExQ499KBJ5W7A1G293A0K14EVQB" localSheetId="19" hidden="1">#REF!</definedName>
    <definedName name="BExQ499KBJ5W7A1G293A0K14EVQB" hidden="1">#REF!</definedName>
    <definedName name="BExQ4BTBSHPHVEDRCXC2ROW8PLFC" localSheetId="19" hidden="1">#REF!</definedName>
    <definedName name="BExQ4BTBSHPHVEDRCXC2ROW8PLFC" hidden="1">#REF!</definedName>
    <definedName name="BExQ4DGKF54SRKQUTUT4B1CZSS62" localSheetId="19" hidden="1">#REF!</definedName>
    <definedName name="BExQ4DGKF54SRKQUTUT4B1CZSS62" hidden="1">#REF!</definedName>
    <definedName name="BExQ4FV23PRA8ZOTVPNAWYTCYRR2" localSheetId="19" hidden="1">#REF!</definedName>
    <definedName name="BExQ4FV23PRA8ZOTVPNAWYTCYRR2" hidden="1">#REF!</definedName>
    <definedName name="BExQ4KSYQQLLYN7NYUBF7WND3ACX" localSheetId="19" hidden="1">#REF!</definedName>
    <definedName name="BExQ4KSYQQLLYN7NYUBF7WND3ACX" hidden="1">#REF!</definedName>
    <definedName name="BExQ4T74LQ5PYTV1MUQUW75A4BDY" localSheetId="19" hidden="1">#REF!</definedName>
    <definedName name="BExQ4T74LQ5PYTV1MUQUW75A4BDY" hidden="1">#REF!</definedName>
    <definedName name="BExQ4XJHD7EJCNH7S1MJDZJ2MNWG" localSheetId="19" hidden="1">#REF!</definedName>
    <definedName name="BExQ4XJHD7EJCNH7S1MJDZJ2MNWG" hidden="1">#REF!</definedName>
    <definedName name="BExQ5039ZCEWBUJHU682G4S89J03" localSheetId="19" hidden="1">#REF!</definedName>
    <definedName name="BExQ5039ZCEWBUJHU682G4S89J03" hidden="1">#REF!</definedName>
    <definedName name="BExQ56Z9W6YHZHRXOFFI8EFA7CDI" localSheetId="19" hidden="1">#REF!</definedName>
    <definedName name="BExQ56Z9W6YHZHRXOFFI8EFA7CDI" hidden="1">#REF!</definedName>
    <definedName name="BExQ5DQ4DQOLJ6KAS500VUBF9OTL" localSheetId="19" hidden="1">#REF!</definedName>
    <definedName name="BExQ5DQ4DQOLJ6KAS500VUBF9OTL" hidden="1">#REF!</definedName>
    <definedName name="BExQ5DVF3U6CH0PO809ZFLIE9A0F" localSheetId="19" hidden="1">'[38]10.08.2 - 2008 Expense'!#REF!</definedName>
    <definedName name="BExQ5DVF3U6CH0PO809ZFLIE9A0F" hidden="1">'[38]10.08.2 - 2008 Expense'!#REF!</definedName>
    <definedName name="BExQ5IO89JL1G3PO02VX1LHZHLZ1" localSheetId="14" hidden="1">#REF!</definedName>
    <definedName name="BExQ5IO89JL1G3PO02VX1LHZHLZ1" localSheetId="15" hidden="1">#REF!</definedName>
    <definedName name="BExQ5IO89JL1G3PO02VX1LHZHLZ1" localSheetId="16" hidden="1">#REF!</definedName>
    <definedName name="BExQ5IO89JL1G3PO02VX1LHZHLZ1" localSheetId="19" hidden="1">#REF!</definedName>
    <definedName name="BExQ5IO89JL1G3PO02VX1LHZHLZ1" hidden="1">#REF!</definedName>
    <definedName name="BExQ5KX3Z668H1KUCKZ9J24HUQ1F" localSheetId="16" hidden="1">#REF!</definedName>
    <definedName name="BExQ5KX3Z668H1KUCKZ9J24HUQ1F" localSheetId="19" hidden="1">#REF!</definedName>
    <definedName name="BExQ5KX3Z668H1KUCKZ9J24HUQ1F" hidden="1">#REF!</definedName>
    <definedName name="BExQ5SPMSOCJYLAY20NB5A6O32RE" localSheetId="16" hidden="1">#REF!</definedName>
    <definedName name="BExQ5SPMSOCJYLAY20NB5A6O32RE" localSheetId="19" hidden="1">#REF!</definedName>
    <definedName name="BExQ5SPMSOCJYLAY20NB5A6O32RE" hidden="1">#REF!</definedName>
    <definedName name="BExQ5UICMGTMK790KTLK49MAGXRC" localSheetId="19" hidden="1">#REF!</definedName>
    <definedName name="BExQ5UICMGTMK790KTLK49MAGXRC" hidden="1">#REF!</definedName>
    <definedName name="BExQ5UID6Y8WYNRD669UN70IZT91" localSheetId="19" hidden="1">#REF!</definedName>
    <definedName name="BExQ5UID6Y8WYNRD669UN70IZT91" hidden="1">#REF!</definedName>
    <definedName name="BExQ5VEOVW4SMWTX520KZ3TVUW0I" localSheetId="19" hidden="1">#REF!</definedName>
    <definedName name="BExQ5VEOVW4SMWTX520KZ3TVUW0I" hidden="1">#REF!</definedName>
    <definedName name="BExQ5VEQEIJO7YY80OJTA3XRQYJ9" localSheetId="19" hidden="1">#REF!</definedName>
    <definedName name="BExQ5VEQEIJO7YY80OJTA3XRQYJ9" hidden="1">#REF!</definedName>
    <definedName name="BExQ5Y3SSM2ICJCUN3XZ10VMPD4D" localSheetId="19" hidden="1">#REF!</definedName>
    <definedName name="BExQ5Y3SSM2ICJCUN3XZ10VMPD4D" hidden="1">#REF!</definedName>
    <definedName name="BExQ5YUUK9FD0QGTY4WD0W90O7OL" localSheetId="19" hidden="1">#REF!</definedName>
    <definedName name="BExQ5YUUK9FD0QGTY4WD0W90O7OL" hidden="1">#REF!</definedName>
    <definedName name="BExQ631QZYS8VO7HE6HNP34CEOR2" localSheetId="19" hidden="1">#REF!</definedName>
    <definedName name="BExQ631QZYS8VO7HE6HNP34CEOR2" hidden="1">#REF!</definedName>
    <definedName name="BExQ63793YQ9BH7JLCNRIATIGTRG" localSheetId="19" hidden="1">#REF!</definedName>
    <definedName name="BExQ63793YQ9BH7JLCNRIATIGTRG" hidden="1">#REF!</definedName>
    <definedName name="BExQ6CN1EF2UPZ57ZYMGK8TUJQSS" localSheetId="19" hidden="1">#REF!</definedName>
    <definedName name="BExQ6CN1EF2UPZ57ZYMGK8TUJQSS" hidden="1">#REF!</definedName>
    <definedName name="BExQ6M2YXJ8AMRJF3QGHC40ADAHZ" localSheetId="19" hidden="1">#REF!</definedName>
    <definedName name="BExQ6M2YXJ8AMRJF3QGHC40ADAHZ" hidden="1">#REF!</definedName>
    <definedName name="BExQ6M8APM0TVP9WQAFVTB8N0NXA" localSheetId="19" hidden="1">#REF!</definedName>
    <definedName name="BExQ6M8APM0TVP9WQAFVTB8N0NXA" hidden="1">#REF!</definedName>
    <definedName name="BExQ6M8B0X44N9TV56ATUVHGDI00" localSheetId="19" hidden="1">#REF!</definedName>
    <definedName name="BExQ6M8B0X44N9TV56ATUVHGDI00" hidden="1">#REF!</definedName>
    <definedName name="BExQ6POH065GV0I74XXVD0VUPBJW" localSheetId="19" hidden="1">#REF!</definedName>
    <definedName name="BExQ6POH065GV0I74XXVD0VUPBJW" hidden="1">#REF!</definedName>
    <definedName name="BExQ6R0YG1HMF8DVPFMIHIOUSMVE" localSheetId="19" hidden="1">#REF!</definedName>
    <definedName name="BExQ6R0YG1HMF8DVPFMIHIOUSMVE" hidden="1">#REF!</definedName>
    <definedName name="BExQ6WV9KPSMXPPLGZ3KK4WNYTHU" localSheetId="19" hidden="1">#REF!</definedName>
    <definedName name="BExQ6WV9KPSMXPPLGZ3KK4WNYTHU" hidden="1">#REF!</definedName>
    <definedName name="BExQ6Z48UU3475XVS5MSB61Y2LTN" localSheetId="19" hidden="1">'[38]10.08.5 - 2008 Capital - TDBU'!#REF!</definedName>
    <definedName name="BExQ6Z48UU3475XVS5MSB61Y2LTN" hidden="1">'[38]10.08.5 - 2008 Capital - TDBU'!#REF!</definedName>
    <definedName name="BExQ783XTMM2A9I3UKCFWJH1PP2N" localSheetId="14" hidden="1">#REF!</definedName>
    <definedName name="BExQ783XTMM2A9I3UKCFWJH1PP2N" localSheetId="15" hidden="1">#REF!</definedName>
    <definedName name="BExQ783XTMM2A9I3UKCFWJH1PP2N" localSheetId="16" hidden="1">#REF!</definedName>
    <definedName name="BExQ783XTMM2A9I3UKCFWJH1PP2N" localSheetId="19" hidden="1">#REF!</definedName>
    <definedName name="BExQ783XTMM2A9I3UKCFWJH1PP2N" hidden="1">#REF!</definedName>
    <definedName name="BExQ79LX01ZPQB8EGD1ZHR2VK2H3" localSheetId="16" hidden="1">#REF!</definedName>
    <definedName name="BExQ79LX01ZPQB8EGD1ZHR2VK2H3" localSheetId="19" hidden="1">#REF!</definedName>
    <definedName name="BExQ79LX01ZPQB8EGD1ZHR2VK2H3" hidden="1">#REF!</definedName>
    <definedName name="BExQ7AT1ON4L7W584EXCOXCQ8AF8" localSheetId="16" hidden="1">#REF!</definedName>
    <definedName name="BExQ7AT1ON4L7W584EXCOXCQ8AF8" localSheetId="19" hidden="1">#REF!</definedName>
    <definedName name="BExQ7AT1ON4L7W584EXCOXCQ8AF8" hidden="1">#REF!</definedName>
    <definedName name="BExQ7B3V9MGDK2OIJ61XXFBFLJFZ" localSheetId="19" hidden="1">#REF!</definedName>
    <definedName name="BExQ7B3V9MGDK2OIJ61XXFBFLJFZ" hidden="1">#REF!</definedName>
    <definedName name="BExQ7CB046NVPF9ZXDGA7OXOLSLX" localSheetId="19" hidden="1">#REF!</definedName>
    <definedName name="BExQ7CB046NVPF9ZXDGA7OXOLSLX" hidden="1">#REF!</definedName>
    <definedName name="BExQ7IWDCGGOO1HTJ97YGO1CK3R9" localSheetId="19" hidden="1">#REF!</definedName>
    <definedName name="BExQ7IWDCGGOO1HTJ97YGO1CK3R9" hidden="1">#REF!</definedName>
    <definedName name="BExQ7JNFIEGS2HKNBALH3Q2N5G7Z" localSheetId="19" hidden="1">#REF!</definedName>
    <definedName name="BExQ7JNFIEGS2HKNBALH3Q2N5G7Z" hidden="1">#REF!</definedName>
    <definedName name="BExQ7MY3U2Z1IZ71U5LJUD00VVB4" localSheetId="19" hidden="1">#REF!</definedName>
    <definedName name="BExQ7MY3U2Z1IZ71U5LJUD00VVB4" hidden="1">#REF!</definedName>
    <definedName name="BExQ7NJJ5I2EFVEHCKSRF7BAOJX8" localSheetId="19" hidden="1">#REF!</definedName>
    <definedName name="BExQ7NJJ5I2EFVEHCKSRF7BAOJX8" hidden="1">#REF!</definedName>
    <definedName name="BExQ7OLEEXKKDJBY2RBEALGCVGC3" localSheetId="19" hidden="1">#REF!</definedName>
    <definedName name="BExQ7OLEEXKKDJBY2RBEALGCVGC3" hidden="1">#REF!</definedName>
    <definedName name="BExQ7XL2Q1GVUFL1F9KK0K0EXMWG" localSheetId="19" hidden="1">#REF!</definedName>
    <definedName name="BExQ7XL2Q1GVUFL1F9KK0K0EXMWG" hidden="1">#REF!</definedName>
    <definedName name="BExQ804OMLOOLGJAZ76PFIUFBWIX" localSheetId="19" hidden="1">#REF!</definedName>
    <definedName name="BExQ804OMLOOLGJAZ76PFIUFBWIX" hidden="1">#REF!</definedName>
    <definedName name="BExQ834L4O72YNJYUPLVXEJ7K3BU" localSheetId="19" hidden="1">#REF!</definedName>
    <definedName name="BExQ834L4O72YNJYUPLVXEJ7K3BU" hidden="1">#REF!</definedName>
    <definedName name="BExQ8469L3ZRZ3KYZPYMSJIDL7Y5" localSheetId="19" hidden="1">#REF!</definedName>
    <definedName name="BExQ8469L3ZRZ3KYZPYMSJIDL7Y5" hidden="1">#REF!</definedName>
    <definedName name="BExQ84MJB94HL3BWRN50M4NCB6Z0" localSheetId="19" hidden="1">#REF!</definedName>
    <definedName name="BExQ84MJB94HL3BWRN50M4NCB6Z0" hidden="1">#REF!</definedName>
    <definedName name="BExQ8583ZE00NW7T9OF11OT9IA14" localSheetId="19" hidden="1">#REF!</definedName>
    <definedName name="BExQ8583ZE00NW7T9OF11OT9IA14" hidden="1">#REF!</definedName>
    <definedName name="BExQ8A0RPE3IMIFIZLUE7KD2N21W" localSheetId="19" hidden="1">#REF!</definedName>
    <definedName name="BExQ8A0RPE3IMIFIZLUE7KD2N21W" hidden="1">#REF!</definedName>
    <definedName name="BExQ8ABK6H1ADV2R2OYT8NFFYG2N" localSheetId="19" hidden="1">#REF!</definedName>
    <definedName name="BExQ8ABK6H1ADV2R2OYT8NFFYG2N" hidden="1">#REF!</definedName>
    <definedName name="BExQ8DM90XJ6GCJIK9LC5O82I2TJ" localSheetId="19" hidden="1">#REF!</definedName>
    <definedName name="BExQ8DM90XJ6GCJIK9LC5O82I2TJ" hidden="1">#REF!</definedName>
    <definedName name="BExQ8DX1FNZIJVRD63724J6NDCOG" localSheetId="19" hidden="1">#REF!</definedName>
    <definedName name="BExQ8DX1FNZIJVRD63724J6NDCOG" hidden="1">#REF!</definedName>
    <definedName name="BExQ8G0K46ZORA0QVQTDI7Z8LXGF" localSheetId="19" hidden="1">#REF!</definedName>
    <definedName name="BExQ8G0K46ZORA0QVQTDI7Z8LXGF" hidden="1">#REF!</definedName>
    <definedName name="BExQ8O3WEU8HNTTGKTW5T0QSKCLP" localSheetId="19" hidden="1">#REF!</definedName>
    <definedName name="BExQ8O3WEU8HNTTGKTW5T0QSKCLP" hidden="1">#REF!</definedName>
    <definedName name="BExQ8PWMBELWDMVC65RE0VV0PKJ2" localSheetId="19" hidden="1">#REF!</definedName>
    <definedName name="BExQ8PWMBELWDMVC65RE0VV0PKJ2" hidden="1">#REF!</definedName>
    <definedName name="BExQ8XEDA0NG4CETTWK2XL8XZWLT" localSheetId="19" hidden="1">#REF!</definedName>
    <definedName name="BExQ8XEDA0NG4CETTWK2XL8XZWLT" hidden="1">#REF!</definedName>
    <definedName name="BExQ8ZCEDBOBJA3D9LDP5TU2WYGR" localSheetId="19" hidden="1">#REF!</definedName>
    <definedName name="BExQ8ZCEDBOBJA3D9LDP5TU2WYGR" hidden="1">#REF!</definedName>
    <definedName name="BExQ94LAW6MAQBWY25WTBFV5PPZJ" localSheetId="19" hidden="1">#REF!</definedName>
    <definedName name="BExQ94LAW6MAQBWY25WTBFV5PPZJ" hidden="1">#REF!</definedName>
    <definedName name="BExQ97QIPOSSRK978N8P234Y1XA4" localSheetId="19" hidden="1">#REF!</definedName>
    <definedName name="BExQ97QIPOSSRK978N8P234Y1XA4" hidden="1">#REF!</definedName>
    <definedName name="BExQ9E6FBAXTHGF3RXANFIA77GXP" localSheetId="19" hidden="1">#REF!</definedName>
    <definedName name="BExQ9E6FBAXTHGF3RXANFIA77GXP" hidden="1">#REF!</definedName>
    <definedName name="BExQ9F2YH4UUCCMQITJ475B3S3NP" localSheetId="19" hidden="1">#REF!</definedName>
    <definedName name="BExQ9F2YH4UUCCMQITJ475B3S3NP" hidden="1">#REF!</definedName>
    <definedName name="BExQ9KX9734KIAK7IMRLHCPYDHO2" localSheetId="19" hidden="1">#REF!</definedName>
    <definedName name="BExQ9KX9734KIAK7IMRLHCPYDHO2" hidden="1">#REF!</definedName>
    <definedName name="BExQ9L81FF4I7816VTPFBDWVU4CW" localSheetId="19" hidden="1">#REF!</definedName>
    <definedName name="BExQ9L81FF4I7816VTPFBDWVU4CW" hidden="1">#REF!</definedName>
    <definedName name="BExQ9M4E2ACZOWWWP1JJIQO8AHUM" localSheetId="19" hidden="1">#REF!</definedName>
    <definedName name="BExQ9M4E2ACZOWWWP1JJIQO8AHUM" hidden="1">#REF!</definedName>
    <definedName name="BExQ9R7UV4VT86NLRFAY9CP2M3CL" localSheetId="19" hidden="1">#REF!</definedName>
    <definedName name="BExQ9R7UV4VT86NLRFAY9CP2M3CL" hidden="1">#REF!</definedName>
    <definedName name="BExQ9UTANMJCK7LJ4OQMD6F2Q01L" localSheetId="19" hidden="1">#REF!</definedName>
    <definedName name="BExQ9UTANMJCK7LJ4OQMD6F2Q01L" hidden="1">#REF!</definedName>
    <definedName name="BExQ9ZLYHWABXAA9NJDW8ZS0UQ9P" localSheetId="19" hidden="1">[39]Table!#REF!</definedName>
    <definedName name="BExQ9ZLYHWABXAA9NJDW8ZS0UQ9P" hidden="1">[39]Table!#REF!</definedName>
    <definedName name="BExQA324HSCK40ENJUT9CS9EC71B" localSheetId="14" hidden="1">#REF!</definedName>
    <definedName name="BExQA324HSCK40ENJUT9CS9EC71B" localSheetId="15" hidden="1">#REF!</definedName>
    <definedName name="BExQA324HSCK40ENJUT9CS9EC71B" localSheetId="16" hidden="1">#REF!</definedName>
    <definedName name="BExQA324HSCK40ENJUT9CS9EC71B" localSheetId="19" hidden="1">#REF!</definedName>
    <definedName name="BExQA324HSCK40ENJUT9CS9EC71B" hidden="1">#REF!</definedName>
    <definedName name="BExQA55GY0STSNBWQCWN8E31ZXCS" localSheetId="16" hidden="1">#REF!</definedName>
    <definedName name="BExQA55GY0STSNBWQCWN8E31ZXCS" localSheetId="19" hidden="1">#REF!</definedName>
    <definedName name="BExQA55GY0STSNBWQCWN8E31ZXCS" hidden="1">#REF!</definedName>
    <definedName name="BExQA6Y7SIFO3MVYCQACIZ6YV0WS" localSheetId="16" hidden="1">#REF!</definedName>
    <definedName name="BExQA6Y7SIFO3MVYCQACIZ6YV0WS" localSheetId="19" hidden="1">#REF!</definedName>
    <definedName name="BExQA6Y7SIFO3MVYCQACIZ6YV0WS" hidden="1">#REF!</definedName>
    <definedName name="BExQA9HZIN9XEMHEEVHT99UU9Z82" localSheetId="19" hidden="1">#REF!</definedName>
    <definedName name="BExQA9HZIN9XEMHEEVHT99UU9Z82" hidden="1">#REF!</definedName>
    <definedName name="BExQAELFYH92K8CJL155181UDORO" localSheetId="19" hidden="1">#REF!</definedName>
    <definedName name="BExQAELFYH92K8CJL155181UDORO" hidden="1">#REF!</definedName>
    <definedName name="BExQAG8PP8R5NJKNQD1U4QOSD6X5" localSheetId="19" hidden="1">#REF!</definedName>
    <definedName name="BExQAG8PP8R5NJKNQD1U4QOSD6X5" hidden="1">#REF!</definedName>
    <definedName name="BExQATFG0VP9HTVNMWL5T6B3N3IP" localSheetId="19" hidden="1">#REF!</definedName>
    <definedName name="BExQATFG0VP9HTVNMWL5T6B3N3IP" hidden="1">#REF!</definedName>
    <definedName name="BExQAYDITUO5K8A2FQRB0H1O4I4E" localSheetId="19" hidden="1">#REF!</definedName>
    <definedName name="BExQAYDITUO5K8A2FQRB0H1O4I4E" hidden="1">#REF!</definedName>
    <definedName name="BExQBDICMZTSA1X73TMHNO4JSFLN" localSheetId="19" hidden="1">#REF!</definedName>
    <definedName name="BExQBDICMZTSA1X73TMHNO4JSFLN" hidden="1">#REF!</definedName>
    <definedName name="BExQBEER6CRCRPSSL61S0OMH57ZA" localSheetId="19" hidden="1">#REF!</definedName>
    <definedName name="BExQBEER6CRCRPSSL61S0OMH57ZA" hidden="1">#REF!</definedName>
    <definedName name="BExQBIGGY5TXI2FJVVZSLZ0LTZYH" localSheetId="19" hidden="1">#REF!</definedName>
    <definedName name="BExQBIGGY5TXI2FJVVZSLZ0LTZYH" hidden="1">#REF!</definedName>
    <definedName name="BExQBM1RUSIQ85LLMM2159BYDPIP" localSheetId="19" hidden="1">#REF!</definedName>
    <definedName name="BExQBM1RUSIQ85LLMM2159BYDPIP" hidden="1">#REF!</definedName>
    <definedName name="BExQBPSOZ47V81YAEURP0NQJNTJH" localSheetId="19" hidden="1">#REF!</definedName>
    <definedName name="BExQBPSOZ47V81YAEURP0NQJNTJH" hidden="1">#REF!</definedName>
    <definedName name="BExQBZZKW056AXUH7L35UYMATHNR" localSheetId="19" hidden="1">#REF!</definedName>
    <definedName name="BExQBZZKW056AXUH7L35UYMATHNR" hidden="1">#REF!</definedName>
    <definedName name="BExQC5TWT21CGBKD0IHAXTIN2QB8" localSheetId="19" hidden="1">#REF!</definedName>
    <definedName name="BExQC5TWT21CGBKD0IHAXTIN2QB8" hidden="1">#REF!</definedName>
    <definedName name="BExQC94JL9F5GW4S8DQCAF4WB2DA" localSheetId="19" hidden="1">#REF!</definedName>
    <definedName name="BExQC94JL9F5GW4S8DQCAF4WB2DA" hidden="1">#REF!</definedName>
    <definedName name="BExQCDH4D9DTA02ITMHNTDANJREJ" localSheetId="19" hidden="1">#REF!</definedName>
    <definedName name="BExQCDH4D9DTA02ITMHNTDANJREJ" hidden="1">#REF!</definedName>
    <definedName name="BExQCKTD8AT0824LGWREXM1B5D1X" localSheetId="19" hidden="1">#REF!</definedName>
    <definedName name="BExQCKTD8AT0824LGWREXM1B5D1X" hidden="1">#REF!</definedName>
    <definedName name="BExQCOV3MAQPJ038UJX6SNODPAZU" localSheetId="19" hidden="1">#REF!</definedName>
    <definedName name="BExQCOV3MAQPJ038UJX6SNODPAZU" hidden="1">#REF!</definedName>
    <definedName name="BExQD571YWOXKR2SX85K5MKQ0AO2" localSheetId="19" hidden="1">#REF!</definedName>
    <definedName name="BExQD571YWOXKR2SX85K5MKQ0AO2" hidden="1">#REF!</definedName>
    <definedName name="BExQD8SK7Y1Y0AYWI0WMF0ET8HR1" localSheetId="19" hidden="1">#REF!</definedName>
    <definedName name="BExQD8SK7Y1Y0AYWI0WMF0ET8HR1" hidden="1">#REF!</definedName>
    <definedName name="BExQDB6VCHN8PNX8EA6JNIEQ2JC2" localSheetId="19" hidden="1">#REF!</definedName>
    <definedName name="BExQDB6VCHN8PNX8EA6JNIEQ2JC2" hidden="1">#REF!</definedName>
    <definedName name="BExQDE1B6U2Q9B73KBENABP71YM1" localSheetId="19" hidden="1">#REF!</definedName>
    <definedName name="BExQDE1B6U2Q9B73KBENABP71YM1" hidden="1">#REF!</definedName>
    <definedName name="BExQDG4YSI6HR3RI4SO2KWMGKUPB" localSheetId="19" hidden="1">#REF!</definedName>
    <definedName name="BExQDG4YSI6HR3RI4SO2KWMGKUPB" hidden="1">#REF!</definedName>
    <definedName name="BExQDGQCN7ZW41QDUHOBJUGQAX40" localSheetId="19" hidden="1">#REF!</definedName>
    <definedName name="BExQDGQCN7ZW41QDUHOBJUGQAX40" hidden="1">#REF!</definedName>
    <definedName name="BExQE73VMCL6FGT6439XK03B088Y" localSheetId="19" hidden="1">#REF!</definedName>
    <definedName name="BExQE73VMCL6FGT6439XK03B088Y" hidden="1">#REF!</definedName>
    <definedName name="BExQEC7BRIJ30PTU3UPFOIP2HPE3" localSheetId="19" hidden="1">#REF!</definedName>
    <definedName name="BExQEC7BRIJ30PTU3UPFOIP2HPE3" hidden="1">#REF!</definedName>
    <definedName name="BExQELXVICMMT0JFDWUW1L3I335X" localSheetId="19" hidden="1">#REF!</definedName>
    <definedName name="BExQELXVICMMT0JFDWUW1L3I335X" hidden="1">#REF!</definedName>
    <definedName name="BExQEMUA4HEFM4OVO8M8MA8PIAW1" localSheetId="19" hidden="1">#REF!</definedName>
    <definedName name="BExQEMUA4HEFM4OVO8M8MA8PIAW1" hidden="1">#REF!</definedName>
    <definedName name="BExQEQ4XZQFIKUXNU9H7WE7AMZ1U" localSheetId="19" hidden="1">#REF!</definedName>
    <definedName name="BExQEQ4XZQFIKUXNU9H7WE7AMZ1U" hidden="1">#REF!</definedName>
    <definedName name="BExQERHKUGD73UH278HHQULBSG9M" localSheetId="19" hidden="1">#REF!</definedName>
    <definedName name="BExQERHKUGD73UH278HHQULBSG9M" hidden="1">#REF!</definedName>
    <definedName name="BExQESZI930ZHFKIRJ3TMK3X27PH" localSheetId="19" hidden="1">#REF!</definedName>
    <definedName name="BExQESZI930ZHFKIRJ3TMK3X27PH" hidden="1">#REF!</definedName>
    <definedName name="BExQEY88PESL76JUL4GA11W8IHFE" localSheetId="19" hidden="1">#REF!</definedName>
    <definedName name="BExQEY88PESL76JUL4GA11W8IHFE" hidden="1">#REF!</definedName>
    <definedName name="BExQF1OEB07CRAP6ALNNMJNJ3P2D" localSheetId="19" hidden="1">#REF!</definedName>
    <definedName name="BExQF1OEB07CRAP6ALNNMJNJ3P2D" hidden="1">#REF!</definedName>
    <definedName name="BExQF9X2AQPFJZTCHTU5PTTR0JAH" localSheetId="19" hidden="1">#REF!</definedName>
    <definedName name="BExQF9X2AQPFJZTCHTU5PTTR0JAH" hidden="1">#REF!</definedName>
    <definedName name="BExQFC0M9KKFMQKPLPEO2RQDB7MM" localSheetId="19" hidden="1">#REF!</definedName>
    <definedName name="BExQFC0M9KKFMQKPLPEO2RQDB7MM" hidden="1">#REF!</definedName>
    <definedName name="BExQFEEV7627R8TYZCM28C6V6WHE" localSheetId="19" hidden="1">#REF!</definedName>
    <definedName name="BExQFEEV7627R8TYZCM28C6V6WHE" hidden="1">#REF!</definedName>
    <definedName name="BExQFEK8NUD04X2OBRA275ADPSDL" localSheetId="19" hidden="1">#REF!</definedName>
    <definedName name="BExQFEK8NUD04X2OBRA275ADPSDL" hidden="1">#REF!</definedName>
    <definedName name="BExQFGYIWDR4W0YF7XR6E4EWWJ02" localSheetId="19" hidden="1">#REF!</definedName>
    <definedName name="BExQFGYIWDR4W0YF7XR6E4EWWJ02" hidden="1">#REF!</definedName>
    <definedName name="BExQFPNFKA36IAPS22LAUMBDI4KE" localSheetId="19" hidden="1">#REF!</definedName>
    <definedName name="BExQFPNFKA36IAPS22LAUMBDI4KE" hidden="1">#REF!</definedName>
    <definedName name="BExQFPSWEMA8WBUZ4WK20LR13VSU" localSheetId="19" hidden="1">#REF!</definedName>
    <definedName name="BExQFPSWEMA8WBUZ4WK20LR13VSU" hidden="1">#REF!</definedName>
    <definedName name="BExQFVSPOSCCPF1TLJPIWYWYB8A9" localSheetId="19" hidden="1">#REF!</definedName>
    <definedName name="BExQFVSPOSCCPF1TLJPIWYWYB8A9" hidden="1">#REF!</definedName>
    <definedName name="BExQFWJQXNQAW6LUMOEDS6KMJMYL" localSheetId="19" hidden="1">#REF!</definedName>
    <definedName name="BExQFWJQXNQAW6LUMOEDS6KMJMYL" hidden="1">#REF!</definedName>
    <definedName name="BExQFZZRMR5PQTR0X833N3LRX6ZL" localSheetId="19" hidden="1">#REF!</definedName>
    <definedName name="BExQFZZRMR5PQTR0X833N3LRX6ZL" hidden="1">#REF!</definedName>
    <definedName name="BExQG8TYRD2G42UA5ZPCRLNKUDMX" localSheetId="19" hidden="1">#REF!</definedName>
    <definedName name="BExQG8TYRD2G42UA5ZPCRLNKUDMX" hidden="1">#REF!</definedName>
    <definedName name="BExQGO48J9MPCDQ96RBB9UN9AIGT" localSheetId="19" hidden="1">#REF!</definedName>
    <definedName name="BExQGO48J9MPCDQ96RBB9UN9AIGT" hidden="1">#REF!</definedName>
    <definedName name="BExQGSBB6MJWDW7AYWA0MSFTXKRR" localSheetId="19" hidden="1">#REF!</definedName>
    <definedName name="BExQGSBB6MJWDW7AYWA0MSFTXKRR" hidden="1">#REF!</definedName>
    <definedName name="BExQGV5VQ04IFVBYEFOZQHKJ561J" localSheetId="19" hidden="1">#REF!</definedName>
    <definedName name="BExQGV5VQ04IFVBYEFOZQHKJ561J" hidden="1">#REF!</definedName>
    <definedName name="BExQGVB7GL4W9291MCCPQ46Z66C1" localSheetId="19" hidden="1">#REF!</definedName>
    <definedName name="BExQGVB7GL4W9291MCCPQ46Z66C1" hidden="1">#REF!</definedName>
    <definedName name="BExQH0UURAJ13AVO5UI04HSRGVYW" localSheetId="19" hidden="1">#REF!</definedName>
    <definedName name="BExQH0UURAJ13AVO5UI04HSRGVYW" hidden="1">#REF!</definedName>
    <definedName name="BExQH6ZZY0NR8SE48PSI9D0CU1TC" localSheetId="19" hidden="1">#REF!</definedName>
    <definedName name="BExQH6ZZY0NR8SE48PSI9D0CU1TC" hidden="1">#REF!</definedName>
    <definedName name="BExQH9P2MCXAJOVEO4GFQT6MNW22" localSheetId="19" hidden="1">#REF!</definedName>
    <definedName name="BExQH9P2MCXAJOVEO4GFQT6MNW22" hidden="1">#REF!</definedName>
    <definedName name="BExQHCZSBYUY8OKKJXFYWKBBM6AH" localSheetId="19" hidden="1">#REF!</definedName>
    <definedName name="BExQHCZSBYUY8OKKJXFYWKBBM6AH" hidden="1">#REF!</definedName>
    <definedName name="BExQHPKXZ1K33V2F90NZIQRZYIAW" localSheetId="19" hidden="1">#REF!</definedName>
    <definedName name="BExQHPKXZ1K33V2F90NZIQRZYIAW" hidden="1">#REF!</definedName>
    <definedName name="BExQHVF9KD06AG2RXUQJ9X4PVGX4" localSheetId="19" hidden="1">#REF!</definedName>
    <definedName name="BExQHVF9KD06AG2RXUQJ9X4PVGX4" hidden="1">#REF!</definedName>
    <definedName name="BExQHXDHUYC4Q1EIPVGT5YX2JZL4" localSheetId="19" hidden="1">#REF!</definedName>
    <definedName name="BExQHXDHUYC4Q1EIPVGT5YX2JZL4" hidden="1">#REF!</definedName>
    <definedName name="BExQHZBHVN2L4HC7ACTR73T5OCV0" localSheetId="19" hidden="1">#REF!</definedName>
    <definedName name="BExQHZBHVN2L4HC7ACTR73T5OCV0" hidden="1">#REF!</definedName>
    <definedName name="BExQI5M37YD0WH3DQITAZHZBB115" localSheetId="19" hidden="1">#REF!</definedName>
    <definedName name="BExQI5M37YD0WH3DQITAZHZBB115" hidden="1">#REF!</definedName>
    <definedName name="BExQI7V42EHAI28LLDLOQJ1ETBBF" localSheetId="19" hidden="1">#REF!</definedName>
    <definedName name="BExQI7V42EHAI28LLDLOQJ1ETBBF" hidden="1">#REF!</definedName>
    <definedName name="BExQI85V9TNLDJT5LTRZS10Y26SG" localSheetId="19" hidden="1">#REF!</definedName>
    <definedName name="BExQI85V9TNLDJT5LTRZS10Y26SG" hidden="1">#REF!</definedName>
    <definedName name="BExQIAPKHVEV8CU1L3TTHJW67FJ5" localSheetId="19" hidden="1">#REF!</definedName>
    <definedName name="BExQIAPKHVEV8CU1L3TTHJW67FJ5" hidden="1">#REF!</definedName>
    <definedName name="BExQIBB4I3Z6AUU0HYV1DHRS13M4" localSheetId="19" hidden="1">#REF!</definedName>
    <definedName name="BExQIBB4I3Z6AUU0HYV1DHRS13M4" hidden="1">#REF!</definedName>
    <definedName name="BExQIBWPAXU7HJZLKGJZY3EB7MIS" localSheetId="19" hidden="1">#REF!</definedName>
    <definedName name="BExQIBWPAXU7HJZLKGJZY3EB7MIS" hidden="1">#REF!</definedName>
    <definedName name="BExQIEB09IBJU22LBRVC4SFL687J" localSheetId="19" hidden="1">#REF!</definedName>
    <definedName name="BExQIEB09IBJU22LBRVC4SFL687J" hidden="1">#REF!</definedName>
    <definedName name="BExQIJUJOU8IYLVQCFMPTADHZ9J7" localSheetId="19" hidden="1">#REF!</definedName>
    <definedName name="BExQIJUJOU8IYLVQCFMPTADHZ9J7" hidden="1">#REF!</definedName>
    <definedName name="BExQIS8O6R36CI01XRY9ISM99TW9" localSheetId="19" hidden="1">#REF!</definedName>
    <definedName name="BExQIS8O6R36CI01XRY9ISM99TW9" hidden="1">#REF!</definedName>
    <definedName name="BExQIVJB9MJ25NDUHTCVMSODJY2C" localSheetId="19" hidden="1">#REF!</definedName>
    <definedName name="BExQIVJB9MJ25NDUHTCVMSODJY2C" hidden="1">#REF!</definedName>
    <definedName name="BExQJ2KYENKJB760H4Z8NV8Z08WT" localSheetId="19" hidden="1">#REF!</definedName>
    <definedName name="BExQJ2KYENKJB760H4Z8NV8Z08WT" hidden="1">#REF!</definedName>
    <definedName name="BExQJ4DQ84ZQCB1WU62YHO0XEQSV" localSheetId="19" hidden="1">#REF!</definedName>
    <definedName name="BExQJ4DQ84ZQCB1WU62YHO0XEQSV" hidden="1">#REF!</definedName>
    <definedName name="BExQJBF7LAX128WR7VTMJC88ZLPG" localSheetId="19" hidden="1">#REF!</definedName>
    <definedName name="BExQJBF7LAX128WR7VTMJC88ZLPG" hidden="1">#REF!</definedName>
    <definedName name="BExQJEVCKX6KZHNCLYXY7D0MX5KN" localSheetId="19" hidden="1">#REF!</definedName>
    <definedName name="BExQJEVCKX6KZHNCLYXY7D0MX5KN" hidden="1">#REF!</definedName>
    <definedName name="BExQJJYSDX8B0J1QGF2HL071KKA3" localSheetId="19" hidden="1">#REF!</definedName>
    <definedName name="BExQJJYSDX8B0J1QGF2HL071KKA3" hidden="1">#REF!</definedName>
    <definedName name="BExQJQPFM9GN0NWOW73O5VE3NTJO" localSheetId="19" hidden="1">#REF!</definedName>
    <definedName name="BExQJQPFM9GN0NWOW73O5VE3NTJO" hidden="1">#REF!</definedName>
    <definedName name="BExQK1HV6SQQ7CP8H8IUKI9TYXTD" localSheetId="19" hidden="1">#REF!</definedName>
    <definedName name="BExQK1HV6SQQ7CP8H8IUKI9TYXTD" hidden="1">#REF!</definedName>
    <definedName name="BExQK3LE5CSBW1E4H4KHW548FL2R" localSheetId="19" hidden="1">#REF!</definedName>
    <definedName name="BExQK3LE5CSBW1E4H4KHW548FL2R" hidden="1">#REF!</definedName>
    <definedName name="BExQKG6LD6PLNDGNGO9DJXY865BR" localSheetId="19" hidden="1">#REF!</definedName>
    <definedName name="BExQKG6LD6PLNDGNGO9DJXY865BR" hidden="1">#REF!</definedName>
    <definedName name="BExQKKDMM6UNMDK33ZZN3QBP6TN6" localSheetId="19" hidden="1">#REF!</definedName>
    <definedName name="BExQKKDMM6UNMDK33ZZN3QBP6TN6" hidden="1">#REF!</definedName>
    <definedName name="BExQKP6ANI278H3LT3CHFIOFPQDR" localSheetId="19" hidden="1">#REF!</definedName>
    <definedName name="BExQKP6ANI278H3LT3CHFIOFPQDR" hidden="1">#REF!</definedName>
    <definedName name="BExQLE1TOW3A287TQB0AVWENT8O1" localSheetId="19" hidden="1">#REF!</definedName>
    <definedName name="BExQLE1TOW3A287TQB0AVWENT8O1" hidden="1">#REF!</definedName>
    <definedName name="BExRYOYB4A3E5F6MTROY69LR0PMG" localSheetId="19" hidden="1">#REF!</definedName>
    <definedName name="BExRYOYB4A3E5F6MTROY69LR0PMG" hidden="1">#REF!</definedName>
    <definedName name="BExRYZLA9EW71H4SXQR525S72LLP" localSheetId="19" hidden="1">#REF!</definedName>
    <definedName name="BExRYZLA9EW71H4SXQR525S72LLP" hidden="1">#REF!</definedName>
    <definedName name="BExRZ66M8G9FQ0VFP077QSZBSOA5" localSheetId="19" hidden="1">#REF!</definedName>
    <definedName name="BExRZ66M8G9FQ0VFP077QSZBSOA5" hidden="1">#REF!</definedName>
    <definedName name="BExRZ8FMQQL46I8AQWU17LRNZD5T" localSheetId="19" hidden="1">#REF!</definedName>
    <definedName name="BExRZ8FMQQL46I8AQWU17LRNZD5T" hidden="1">#REF!</definedName>
    <definedName name="BExRZIRRIXRUMZ5GOO95S7460BMP" localSheetId="19" hidden="1">#REF!</definedName>
    <definedName name="BExRZIRRIXRUMZ5GOO95S7460BMP" hidden="1">#REF!</definedName>
    <definedName name="BExRZK9RAHMM0ZLTNSK7A4LDC42D" localSheetId="19" hidden="1">#REF!</definedName>
    <definedName name="BExRZK9RAHMM0ZLTNSK7A4LDC42D" hidden="1">#REF!</definedName>
    <definedName name="BExRZOGSR69INI6GAEPHDWSNK5Q4" localSheetId="19" hidden="1">#REF!</definedName>
    <definedName name="BExRZOGSR69INI6GAEPHDWSNK5Q4" hidden="1">#REF!</definedName>
    <definedName name="BExS017FU4YOHE3YTW15EQ9ZTN1Y" localSheetId="19" hidden="1">#REF!</definedName>
    <definedName name="BExS017FU4YOHE3YTW15EQ9ZTN1Y" hidden="1">#REF!</definedName>
    <definedName name="BExS0ASQBKRTPDWFK0KUDFOS9LE5" localSheetId="19" hidden="1">#REF!</definedName>
    <definedName name="BExS0ASQBKRTPDWFK0KUDFOS9LE5" hidden="1">#REF!</definedName>
    <definedName name="BExS0GHQUF6YT0RU3TKDEO8CSJYB" localSheetId="19" hidden="1">#REF!</definedName>
    <definedName name="BExS0GHQUF6YT0RU3TKDEO8CSJYB" hidden="1">#REF!</definedName>
    <definedName name="BExS0K8IHC45I78DMZBOJ1P13KQA" localSheetId="19" hidden="1">#REF!</definedName>
    <definedName name="BExS0K8IHC45I78DMZBOJ1P13KQA" hidden="1">#REF!</definedName>
    <definedName name="BExS14X03J9K12GCDNGZI9AZKE9C" localSheetId="19" hidden="1">#REF!</definedName>
    <definedName name="BExS14X03J9K12GCDNGZI9AZKE9C" hidden="1">#REF!</definedName>
    <definedName name="BExS152B2LFCRAUHSLI5T6QRNII0" localSheetId="19" hidden="1">#REF!</definedName>
    <definedName name="BExS152B2LFCRAUHSLI5T6QRNII0" hidden="1">#REF!</definedName>
    <definedName name="BExS15IJV0WW662NXQUVT3FGP4ST" localSheetId="19" hidden="1">#REF!</definedName>
    <definedName name="BExS15IJV0WW662NXQUVT3FGP4ST" hidden="1">#REF!</definedName>
    <definedName name="BExS194110MR25BYJI3CJ2EGZ8XT" localSheetId="19" hidden="1">#REF!</definedName>
    <definedName name="BExS194110MR25BYJI3CJ2EGZ8XT" hidden="1">#REF!</definedName>
    <definedName name="BExS1BNVGNSGD4EP90QL8WXYWZ66" localSheetId="19" hidden="1">#REF!</definedName>
    <definedName name="BExS1BNVGNSGD4EP90QL8WXYWZ66" hidden="1">#REF!</definedName>
    <definedName name="BExS1UE39N6NCND7MAARSBWXS6HU" localSheetId="19" hidden="1">#REF!</definedName>
    <definedName name="BExS1UE39N6NCND7MAARSBWXS6HU" hidden="1">#REF!</definedName>
    <definedName name="BExS226HTWL5WVC76MP5A1IBI8WD" localSheetId="19" hidden="1">#REF!</definedName>
    <definedName name="BExS226HTWL5WVC76MP5A1IBI8WD" hidden="1">#REF!</definedName>
    <definedName name="BExS26OI2QNNAH2WMDD95Z400048" localSheetId="19" hidden="1">#REF!</definedName>
    <definedName name="BExS26OI2QNNAH2WMDD95Z400048" hidden="1">#REF!</definedName>
    <definedName name="BExS2DF6B4ZUF3VZLI4G6LJ3BF38" localSheetId="19" hidden="1">#REF!</definedName>
    <definedName name="BExS2DF6B4ZUF3VZLI4G6LJ3BF38" hidden="1">#REF!</definedName>
    <definedName name="BExS2QB5FS5LYTFYO4BROTWG3OV5" localSheetId="19" hidden="1">#REF!</definedName>
    <definedName name="BExS2QB5FS5LYTFYO4BROTWG3OV5" hidden="1">#REF!</definedName>
    <definedName name="BExS2TLU1HONYV6S3ZD9T12D7CIG" localSheetId="19" hidden="1">#REF!</definedName>
    <definedName name="BExS2TLU1HONYV6S3ZD9T12D7CIG" hidden="1">#REF!</definedName>
    <definedName name="BExS318UV9I2FXPQQWUKKX00QLPJ" localSheetId="19" hidden="1">#REF!</definedName>
    <definedName name="BExS318UV9I2FXPQQWUKKX00QLPJ" hidden="1">#REF!</definedName>
    <definedName name="BExS3KQ6RJB21YELK7Z4KFN2CQPS" localSheetId="19" hidden="1">#REF!</definedName>
    <definedName name="BExS3KQ6RJB21YELK7Z4KFN2CQPS" hidden="1">#REF!</definedName>
    <definedName name="BExS3LBS0SMTHALVM4NRI1BAV1NP" localSheetId="19" hidden="1">#REF!</definedName>
    <definedName name="BExS3LBS0SMTHALVM4NRI1BAV1NP" hidden="1">#REF!</definedName>
    <definedName name="BExS3MTQ75VBXDGEBURP6YT8RROE" localSheetId="19" hidden="1">#REF!</definedName>
    <definedName name="BExS3MTQ75VBXDGEBURP6YT8RROE" hidden="1">#REF!</definedName>
    <definedName name="BExS3OMGYO0DFN5186UFKEXZ2RX3" localSheetId="19" hidden="1">#REF!</definedName>
    <definedName name="BExS3OMGYO0DFN5186UFKEXZ2RX3" hidden="1">#REF!</definedName>
    <definedName name="BExS3PO59RQLS7HO1A6UIPRZX70V" localSheetId="19" hidden="1">#REF!</definedName>
    <definedName name="BExS3PO59RQLS7HO1A6UIPRZX70V" hidden="1">#REF!</definedName>
    <definedName name="BExS3SDERJ27OER67TIGOVZU13A2" localSheetId="19" hidden="1">#REF!</definedName>
    <definedName name="BExS3SDERJ27OER67TIGOVZU13A2" hidden="1">#REF!</definedName>
    <definedName name="BExS46R5WDNU5KL04FKY5LHJUCB8" localSheetId="19" hidden="1">#REF!</definedName>
    <definedName name="BExS46R5WDNU5KL04FKY5LHJUCB8" hidden="1">#REF!</definedName>
    <definedName name="BExS46WMSMYP0MQ9GHLZM5ON641L" localSheetId="19" hidden="1">#REF!</definedName>
    <definedName name="BExS46WMSMYP0MQ9GHLZM5ON641L" hidden="1">#REF!</definedName>
    <definedName name="BExS4ASWKM93XA275AXHYP8AG6SU" localSheetId="19" hidden="1">#REF!</definedName>
    <definedName name="BExS4ASWKM93XA275AXHYP8AG6SU" hidden="1">#REF!</definedName>
    <definedName name="BExS4JN3Y6SVBKILQK0R9HS45Y52" localSheetId="19" hidden="1">#REF!</definedName>
    <definedName name="BExS4JN3Y6SVBKILQK0R9HS45Y52" hidden="1">#REF!</definedName>
    <definedName name="BExS4P6S41O6Z6BED77U3GD9PNH1" localSheetId="19" hidden="1">#REF!</definedName>
    <definedName name="BExS4P6S41O6Z6BED77U3GD9PNH1" hidden="1">#REF!</definedName>
    <definedName name="BExS4WOJWBEF6OH97BLAVUD3TQ7R" localSheetId="19" hidden="1">#REF!</definedName>
    <definedName name="BExS4WOJWBEF6OH97BLAVUD3TQ7R" hidden="1">#REF!</definedName>
    <definedName name="BExS51H0N51UT0FZOPZRCF1GU063" localSheetId="19" hidden="1">#REF!</definedName>
    <definedName name="BExS51H0N51UT0FZOPZRCF1GU063" hidden="1">#REF!</definedName>
    <definedName name="BExS54X72TJFC41FJK72MLRR2OO7" localSheetId="19" hidden="1">#REF!</definedName>
    <definedName name="BExS54X72TJFC41FJK72MLRR2OO7" hidden="1">#REF!</definedName>
    <definedName name="BExS59F0PA1V2ZC7S5TN6IT41SXP" localSheetId="19" hidden="1">#REF!</definedName>
    <definedName name="BExS59F0PA1V2ZC7S5TN6IT41SXP" hidden="1">#REF!</definedName>
    <definedName name="BExS5DRER9US6NXY9ATYT41KZII3" localSheetId="19" hidden="1">#REF!</definedName>
    <definedName name="BExS5DRER9US6NXY9ATYT41KZII3" hidden="1">#REF!</definedName>
    <definedName name="BExS5L3TGB8JVW9ROYWTKYTUPW27" localSheetId="19" hidden="1">#REF!</definedName>
    <definedName name="BExS5L3TGB8JVW9ROYWTKYTUPW27" hidden="1">#REF!</definedName>
    <definedName name="BExS5UP3NQ1QY0PMIO69O2J1JRQX" localSheetId="19" hidden="1">#REF!</definedName>
    <definedName name="BExS5UP3NQ1QY0PMIO69O2J1JRQX" hidden="1">#REF!</definedName>
    <definedName name="BExS64QH0TK7BFMOHTRNM3DTXCZ5" localSheetId="19" hidden="1">'[38]10.08.2 - 2008 Expense'!#REF!</definedName>
    <definedName name="BExS64QH0TK7BFMOHTRNM3DTXCZ5" hidden="1">'[38]10.08.2 - 2008 Expense'!#REF!</definedName>
    <definedName name="BExS668EZXO8KT71OK13TBL2MYVF" localSheetId="14" hidden="1">#REF!</definedName>
    <definedName name="BExS668EZXO8KT71OK13TBL2MYVF" localSheetId="15" hidden="1">#REF!</definedName>
    <definedName name="BExS668EZXO8KT71OK13TBL2MYVF" localSheetId="16" hidden="1">#REF!</definedName>
    <definedName name="BExS668EZXO8KT71OK13TBL2MYVF" localSheetId="19" hidden="1">#REF!</definedName>
    <definedName name="BExS668EZXO8KT71OK13TBL2MYVF" hidden="1">#REF!</definedName>
    <definedName name="BExS6GKQ96EHVLYWNJDWXZXUZW90" localSheetId="16" hidden="1">#REF!</definedName>
    <definedName name="BExS6GKQ96EHVLYWNJDWXZXUZW90" localSheetId="19" hidden="1">#REF!</definedName>
    <definedName name="BExS6GKQ96EHVLYWNJDWXZXUZW90" hidden="1">#REF!</definedName>
    <definedName name="BExS6ITKSZFRR01YD5B0F676SYN7" localSheetId="16" hidden="1">#REF!</definedName>
    <definedName name="BExS6ITKSZFRR01YD5B0F676SYN7" localSheetId="19" hidden="1">#REF!</definedName>
    <definedName name="BExS6ITKSZFRR01YD5B0F676SYN7" hidden="1">#REF!</definedName>
    <definedName name="BExS6M4AG8VGSMFGJXMMJ6YYATZI" localSheetId="16" hidden="1">'[38]10.08.5 - 2008 Capital - TDBU'!#REF!</definedName>
    <definedName name="BExS6M4AG8VGSMFGJXMMJ6YYATZI" localSheetId="19" hidden="1">'[38]10.08.5 - 2008 Capital - TDBU'!#REF!</definedName>
    <definedName name="BExS6M4AG8VGSMFGJXMMJ6YYATZI" hidden="1">'[38]10.08.5 - 2008 Capital - TDBU'!#REF!</definedName>
    <definedName name="BExS6N0LI574IAC89EFW6CLTCQ33" localSheetId="14" hidden="1">#REF!</definedName>
    <definedName name="BExS6N0LI574IAC89EFW6CLTCQ33" localSheetId="15" hidden="1">#REF!</definedName>
    <definedName name="BExS6N0LI574IAC89EFW6CLTCQ33" localSheetId="16" hidden="1">#REF!</definedName>
    <definedName name="BExS6N0LI574IAC89EFW6CLTCQ33" localSheetId="19" hidden="1">#REF!</definedName>
    <definedName name="BExS6N0LI574IAC89EFW6CLTCQ33" hidden="1">#REF!</definedName>
    <definedName name="BExS6WRDBF3ST86ZOBBUL3GTCR11" localSheetId="16" hidden="1">#REF!</definedName>
    <definedName name="BExS6WRDBF3ST86ZOBBUL3GTCR11" localSheetId="19" hidden="1">#REF!</definedName>
    <definedName name="BExS6WRDBF3ST86ZOBBUL3GTCR11" hidden="1">#REF!</definedName>
    <definedName name="BExS6XNRKR0C3MTA0LV5B60UB908" localSheetId="16" hidden="1">#REF!</definedName>
    <definedName name="BExS6XNRKR0C3MTA0LV5B60UB908" localSheetId="19" hidden="1">#REF!</definedName>
    <definedName name="BExS6XNRKR0C3MTA0LV5B60UB908" hidden="1">#REF!</definedName>
    <definedName name="BExS743NAKMEAA4255AJCZWPVQD5" localSheetId="19" hidden="1">#REF!</definedName>
    <definedName name="BExS743NAKMEAA4255AJCZWPVQD5" hidden="1">#REF!</definedName>
    <definedName name="BExS7EQLZPAVX5ZPW27ZJHFHXJWR" localSheetId="19" hidden="1">#REF!</definedName>
    <definedName name="BExS7EQLZPAVX5ZPW27ZJHFHXJWR" hidden="1">#REF!</definedName>
    <definedName name="BExS7J348DNX760P5D4N9N72C1H1" localSheetId="19" hidden="1">#REF!</definedName>
    <definedName name="BExS7J348DNX760P5D4N9N72C1H1" hidden="1">#REF!</definedName>
    <definedName name="BExS7OMMB9XYX3CR9NYR0OI0B6YV" localSheetId="19" hidden="1">#REF!</definedName>
    <definedName name="BExS7OMMB9XYX3CR9NYR0OI0B6YV" hidden="1">#REF!</definedName>
    <definedName name="BExS7TKQYLRZGM93UY3ZJZJBQNFJ" localSheetId="19" hidden="1">#REF!</definedName>
    <definedName name="BExS7TKQYLRZGM93UY3ZJZJBQNFJ" hidden="1">#REF!</definedName>
    <definedName name="BExS7Y2LNGVHSIBKC7C3R6X4LDR6" localSheetId="19" hidden="1">#REF!</definedName>
    <definedName name="BExS7Y2LNGVHSIBKC7C3R6X4LDR6" hidden="1">#REF!</definedName>
    <definedName name="BExS81TE0EY44Y3W2M4Z4MGNP5OM" localSheetId="19" hidden="1">#REF!</definedName>
    <definedName name="BExS81TE0EY44Y3W2M4Z4MGNP5OM" hidden="1">#REF!</definedName>
    <definedName name="BExS81YPDZDVJJVS15HV2HDXAC3Y" localSheetId="19" hidden="1">#REF!</definedName>
    <definedName name="BExS81YPDZDVJJVS15HV2HDXAC3Y" hidden="1">#REF!</definedName>
    <definedName name="BExS82PRVNUTEKQZS56YT2DVF6C2" localSheetId="19" hidden="1">#REF!</definedName>
    <definedName name="BExS82PRVNUTEKQZS56YT2DVF6C2" hidden="1">#REF!</definedName>
    <definedName name="BExS8BPG5A0GR5AO1U951NDGGR0L" localSheetId="19" hidden="1">#REF!</definedName>
    <definedName name="BExS8BPG5A0GR5AO1U951NDGGR0L" hidden="1">#REF!</definedName>
    <definedName name="BExS8GSUS17UY50TEM2AWF36BR9Z" localSheetId="19" hidden="1">#REF!</definedName>
    <definedName name="BExS8GSUS17UY50TEM2AWF36BR9Z" hidden="1">#REF!</definedName>
    <definedName name="BExS8HJRBVG0XI6PWA9KTMJZMQXK" localSheetId="19" hidden="1">#REF!</definedName>
    <definedName name="BExS8HJRBVG0XI6PWA9KTMJZMQXK" hidden="1">#REF!</definedName>
    <definedName name="BExS8PN4E1L5NH0OOKX0SGAV052X" localSheetId="19" hidden="1">#REF!</definedName>
    <definedName name="BExS8PN4E1L5NH0OOKX0SGAV052X" hidden="1">#REF!</definedName>
    <definedName name="BExS8R51C8RM2FS6V6IRTYO9GA4A" localSheetId="19" hidden="1">#REF!</definedName>
    <definedName name="BExS8R51C8RM2FS6V6IRTYO9GA4A" hidden="1">#REF!</definedName>
    <definedName name="BExS8WDX408F60MH1X9B9UZ2H4R7" localSheetId="19" hidden="1">#REF!</definedName>
    <definedName name="BExS8WDX408F60MH1X9B9UZ2H4R7" hidden="1">#REF!</definedName>
    <definedName name="BExS8Z2W2QEC3MH0BZIYLDFQNUIP" localSheetId="19" hidden="1">#REF!</definedName>
    <definedName name="BExS8Z2W2QEC3MH0BZIYLDFQNUIP" hidden="1">#REF!</definedName>
    <definedName name="BExS8Z8DJ9GSBTJQBINLMFIRTKJ2" localSheetId="19" hidden="1">#REF!</definedName>
    <definedName name="BExS8Z8DJ9GSBTJQBINLMFIRTKJ2" hidden="1">#REF!</definedName>
    <definedName name="BExS92DKGRFFCIA9C0IXDOLO57EP" localSheetId="19" hidden="1">#REF!</definedName>
    <definedName name="BExS92DKGRFFCIA9C0IXDOLO57EP" hidden="1">#REF!</definedName>
    <definedName name="BExS95DMT99CLDFYVR0MMS5QFQ4O" localSheetId="19" hidden="1">#REF!</definedName>
    <definedName name="BExS95DMT99CLDFYVR0MMS5QFQ4O" hidden="1">#REF!</definedName>
    <definedName name="BExS98OB4321YCHLCQ022PXKTT2W" localSheetId="19" hidden="1">#REF!</definedName>
    <definedName name="BExS98OB4321YCHLCQ022PXKTT2W" hidden="1">#REF!</definedName>
    <definedName name="BExS9C9N8GFISC6HUERJ0EI06GB2" localSheetId="19" hidden="1">#REF!</definedName>
    <definedName name="BExS9C9N8GFISC6HUERJ0EI06GB2" hidden="1">#REF!</definedName>
    <definedName name="BExS9DX13CACP3J8JDREK30JB1SQ" localSheetId="19" hidden="1">#REF!</definedName>
    <definedName name="BExS9DX13CACP3J8JDREK30JB1SQ" hidden="1">#REF!</definedName>
    <definedName name="BExS9FPRS2KRRCS33SE6WFNF5GYL" localSheetId="19" hidden="1">#REF!</definedName>
    <definedName name="BExS9FPRS2KRRCS33SE6WFNF5GYL" hidden="1">#REF!</definedName>
    <definedName name="BExS9MWR7YEFZL0UO24FU8UDGAXH" localSheetId="19" hidden="1">#REF!</definedName>
    <definedName name="BExS9MWR7YEFZL0UO24FU8UDGAXH" hidden="1">#REF!</definedName>
    <definedName name="BExS9WI0A6PSEB8N9GPXF2Z7MWHM" localSheetId="19" hidden="1">#REF!</definedName>
    <definedName name="BExS9WI0A6PSEB8N9GPXF2Z7MWHM" hidden="1">#REF!</definedName>
    <definedName name="BExSA5HP306TN9XJS0TU619DLRR7" localSheetId="19" hidden="1">#REF!</definedName>
    <definedName name="BExSA5HP306TN9XJS0TU619DLRR7" hidden="1">#REF!</definedName>
    <definedName name="BExSA6U57AKWU3K9W6DLF75569X0" localSheetId="19" hidden="1">#REF!</definedName>
    <definedName name="BExSA6U57AKWU3K9W6DLF75569X0" hidden="1">#REF!</definedName>
    <definedName name="BExSA8HLXG7TQJAREJXZWXCKKLYT" localSheetId="19" hidden="1">#REF!</definedName>
    <definedName name="BExSA8HLXG7TQJAREJXZWXCKKLYT" hidden="1">#REF!</definedName>
    <definedName name="BExSAAVWQOOIA6B3JHQVGP08HFEM" localSheetId="19" hidden="1">#REF!</definedName>
    <definedName name="BExSAAVWQOOIA6B3JHQVGP08HFEM" hidden="1">#REF!</definedName>
    <definedName name="BExSAFJ3IICU2M7QPVE4ARYMXZKX" localSheetId="19" hidden="1">#REF!</definedName>
    <definedName name="BExSAFJ3IICU2M7QPVE4ARYMXZKX" hidden="1">#REF!</definedName>
    <definedName name="BExSAH6ID8OHX379UXVNGFO8J6KQ" localSheetId="19" hidden="1">#REF!</definedName>
    <definedName name="BExSAH6ID8OHX379UXVNGFO8J6KQ" hidden="1">#REF!</definedName>
    <definedName name="BExSAQBHIXGQRNIRGCJMBXUPCZQA" localSheetId="19" hidden="1">#REF!</definedName>
    <definedName name="BExSAQBHIXGQRNIRGCJMBXUPCZQA" hidden="1">#REF!</definedName>
    <definedName name="BExSAUTCT4P7JP57NOR9MTX33QJZ" localSheetId="19" hidden="1">#REF!</definedName>
    <definedName name="BExSAUTCT4P7JP57NOR9MTX33QJZ" hidden="1">#REF!</definedName>
    <definedName name="BExSAY9CA9TFXQ9M9FBJRGJO9T9E" localSheetId="19" hidden="1">#REF!</definedName>
    <definedName name="BExSAY9CA9TFXQ9M9FBJRGJO9T9E" hidden="1">#REF!</definedName>
    <definedName name="BExSB3CYILY5VM7EWWCYC2RHW5GS" localSheetId="19" hidden="1">'[38]10.08.3 - 2008 Expense - TDBU'!#REF!</definedName>
    <definedName name="BExSB3CYILY5VM7EWWCYC2RHW5GS" hidden="1">'[38]10.08.3 - 2008 Expense - TDBU'!#REF!</definedName>
    <definedName name="BExSB4JYKQ3MINI7RAYK5M8BLJDC" localSheetId="14" hidden="1">#REF!</definedName>
    <definedName name="BExSB4JYKQ3MINI7RAYK5M8BLJDC" localSheetId="15" hidden="1">#REF!</definedName>
    <definedName name="BExSB4JYKQ3MINI7RAYK5M8BLJDC" localSheetId="16" hidden="1">#REF!</definedName>
    <definedName name="BExSB4JYKQ3MINI7RAYK5M8BLJDC" localSheetId="19" hidden="1">#REF!</definedName>
    <definedName name="BExSB4JYKQ3MINI7RAYK5M8BLJDC" hidden="1">#REF!</definedName>
    <definedName name="BExSB6NLRVUI2GHH9VI5V6MY8ZL7" localSheetId="16" hidden="1">#REF!</definedName>
    <definedName name="BExSB6NLRVUI2GHH9VI5V6MY8ZL7" localSheetId="19" hidden="1">#REF!</definedName>
    <definedName name="BExSB6NLRVUI2GHH9VI5V6MY8ZL7" hidden="1">#REF!</definedName>
    <definedName name="BExSBMOS41ZRLWYLOU29V6Y7YORR" localSheetId="16" hidden="1">#REF!</definedName>
    <definedName name="BExSBMOS41ZRLWYLOU29V6Y7YORR" localSheetId="19" hidden="1">#REF!</definedName>
    <definedName name="BExSBMOS41ZRLWYLOU29V6Y7YORR" hidden="1">#REF!</definedName>
    <definedName name="BExSBRBXXQMBU1TYDW1BXTEVEPRU" localSheetId="19" hidden="1">#REF!</definedName>
    <definedName name="BExSBRBXXQMBU1TYDW1BXTEVEPRU" hidden="1">#REF!</definedName>
    <definedName name="BExSC54998WTZ21DSL0R8UN0Y9JH" localSheetId="19" hidden="1">#REF!</definedName>
    <definedName name="BExSC54998WTZ21DSL0R8UN0Y9JH" hidden="1">#REF!</definedName>
    <definedName name="BExSC60N7WR9PJSNC9B7ORCX9NGY" localSheetId="19" hidden="1">#REF!</definedName>
    <definedName name="BExSC60N7WR9PJSNC9B7ORCX9NGY" hidden="1">#REF!</definedName>
    <definedName name="BExSCE99EZTILTTCE4NJJF96OYYM" localSheetId="19" hidden="1">#REF!</definedName>
    <definedName name="BExSCE99EZTILTTCE4NJJF96OYYM" hidden="1">#REF!</definedName>
    <definedName name="BExSCHUQZ2HFEWS54X67DIS8OSXZ" localSheetId="19" hidden="1">#REF!</definedName>
    <definedName name="BExSCHUQZ2HFEWS54X67DIS8OSXZ" hidden="1">#REF!</definedName>
    <definedName name="BExSCOG41SKKG4GYU76WRWW1CTE6" localSheetId="19" hidden="1">#REF!</definedName>
    <definedName name="BExSCOG41SKKG4GYU76WRWW1CTE6" hidden="1">#REF!</definedName>
    <definedName name="BExSCPN9MLJYMCCD3AD6AGFMBBGA" localSheetId="19" hidden="1">#REF!</definedName>
    <definedName name="BExSCPN9MLJYMCCD3AD6AGFMBBGA" hidden="1">#REF!</definedName>
    <definedName name="BExSCVC9P86YVFMRKKUVRV29MZXZ" localSheetId="19" hidden="1">#REF!</definedName>
    <definedName name="BExSCVC9P86YVFMRKKUVRV29MZXZ" hidden="1">#REF!</definedName>
    <definedName name="BExSD233CH4MU9ZMGNRF97ZV7KWU" localSheetId="19" hidden="1">#REF!</definedName>
    <definedName name="BExSD233CH4MU9ZMGNRF97ZV7KWU" hidden="1">#REF!</definedName>
    <definedName name="BExSD2U0F3BN6IN9N4R2DTTJG15H" localSheetId="19" hidden="1">#REF!</definedName>
    <definedName name="BExSD2U0F3BN6IN9N4R2DTTJG15H" hidden="1">#REF!</definedName>
    <definedName name="BExSD6A6NY15YSMFH51ST6XJY429" localSheetId="19" hidden="1">#REF!</definedName>
    <definedName name="BExSD6A6NY15YSMFH51ST6XJY429" hidden="1">#REF!</definedName>
    <definedName name="BExSD9VH6PF6RQ135VOEE08YXPAW" localSheetId="19" hidden="1">#REF!</definedName>
    <definedName name="BExSD9VH6PF6RQ135VOEE08YXPAW" hidden="1">#REF!</definedName>
    <definedName name="BExSDP5Y04WWMX2WWRITWOX8R5I9" localSheetId="19" hidden="1">#REF!</definedName>
    <definedName name="BExSDP5Y04WWMX2WWRITWOX8R5I9" hidden="1">#REF!</definedName>
    <definedName name="BExSDSB5WUA2A09DZ1ZPZH3J8VFL" localSheetId="19" hidden="1">#REF!</definedName>
    <definedName name="BExSDSB5WUA2A09DZ1ZPZH3J8VFL" hidden="1">#REF!</definedName>
    <definedName name="BExSDSGM203BJTNS9MKCBX453HMD" localSheetId="19" hidden="1">#REF!</definedName>
    <definedName name="BExSDSGM203BJTNS9MKCBX453HMD" hidden="1">#REF!</definedName>
    <definedName name="BExSDT20XUFXTDM37M148AXAP7HN" localSheetId="19" hidden="1">#REF!</definedName>
    <definedName name="BExSDT20XUFXTDM37M148AXAP7HN" hidden="1">#REF!</definedName>
    <definedName name="BExSEEHK1VLWD7JBV9SVVVIKQZ3I" localSheetId="19" hidden="1">#REF!</definedName>
    <definedName name="BExSEEHK1VLWD7JBV9SVVVIKQZ3I" hidden="1">#REF!</definedName>
    <definedName name="BExSEJKZLX37P3V33TRTFJ30BFRK" localSheetId="19" hidden="1">#REF!</definedName>
    <definedName name="BExSEJKZLX37P3V33TRTFJ30BFRK" hidden="1">#REF!</definedName>
    <definedName name="BExSENBSLP026IKXG2AS0SKST99F" localSheetId="19" hidden="1">#REF!</definedName>
    <definedName name="BExSENBSLP026IKXG2AS0SKST99F" hidden="1">#REF!</definedName>
    <definedName name="BExSEP9UVOAI6TMXKNK587PQ3328" localSheetId="19" hidden="1">#REF!</definedName>
    <definedName name="BExSEP9UVOAI6TMXKNK587PQ3328" hidden="1">#REF!</definedName>
    <definedName name="BExSERZ34ETZF8OI93MYIVZX4RDV" localSheetId="19" hidden="1">#REF!</definedName>
    <definedName name="BExSERZ34ETZF8OI93MYIVZX4RDV" hidden="1">#REF!</definedName>
    <definedName name="BExSF07QFLZCO4P6K6QF05XG7PH1" localSheetId="19" hidden="1">#REF!</definedName>
    <definedName name="BExSF07QFLZCO4P6K6QF05XG7PH1" hidden="1">#REF!</definedName>
    <definedName name="BExSF85QVM8XVOYH429ITJC8TA5Q" localSheetId="19" hidden="1">#REF!</definedName>
    <definedName name="BExSF85QVM8XVOYH429ITJC8TA5Q" hidden="1">#REF!</definedName>
    <definedName name="BExSFELNPJYUZX393PKWKNNZYV1N" localSheetId="19" hidden="1">#REF!</definedName>
    <definedName name="BExSFELNPJYUZX393PKWKNNZYV1N" hidden="1">#REF!</definedName>
    <definedName name="BExSFHAQ0VN5PU9GULAPYTQ4HKW8" localSheetId="19" hidden="1">#REF!</definedName>
    <definedName name="BExSFHAQ0VN5PU9GULAPYTQ4HKW8" hidden="1">#REF!</definedName>
    <definedName name="BExSFIY63CMZLHHLQETZ2HFOHW52" localSheetId="19" hidden="1">#REF!</definedName>
    <definedName name="BExSFIY63CMZLHHLQETZ2HFOHW52" hidden="1">#REF!</definedName>
    <definedName name="BExSFJ8ZAGQ63A4MVMZRQWLVRGQ5" localSheetId="19" hidden="1">#REF!</definedName>
    <definedName name="BExSFJ8ZAGQ63A4MVMZRQWLVRGQ5" hidden="1">#REF!</definedName>
    <definedName name="BExSFKQRST2S9KXWWLCXYLKSF4G1" localSheetId="19" hidden="1">#REF!</definedName>
    <definedName name="BExSFKQRST2S9KXWWLCXYLKSF4G1" hidden="1">#REF!</definedName>
    <definedName name="BExSFLHT3DWP12GA4DDKMCK3E4F9" localSheetId="19" hidden="1">'[38]10.08.2 - 2008 Expense'!#REF!</definedName>
    <definedName name="BExSFLHT3DWP12GA4DDKMCK3E4F9" hidden="1">'[38]10.08.2 - 2008 Expense'!#REF!</definedName>
    <definedName name="BExSFYDRRTAZVPXRWUF5PDQ97WFF" localSheetId="14" hidden="1">#REF!</definedName>
    <definedName name="BExSFYDRRTAZVPXRWUF5PDQ97WFF" localSheetId="15" hidden="1">#REF!</definedName>
    <definedName name="BExSFYDRRTAZVPXRWUF5PDQ97WFF" localSheetId="16" hidden="1">#REF!</definedName>
    <definedName name="BExSFYDRRTAZVPXRWUF5PDQ97WFF" localSheetId="19" hidden="1">#REF!</definedName>
    <definedName name="BExSFYDRRTAZVPXRWUF5PDQ97WFF" hidden="1">#REF!</definedName>
    <definedName name="BExSFZVPFTXA3F0IJ2NGH1GXX9R7" localSheetId="16" hidden="1">#REF!</definedName>
    <definedName name="BExSFZVPFTXA3F0IJ2NGH1GXX9R7" localSheetId="19" hidden="1">#REF!</definedName>
    <definedName name="BExSFZVPFTXA3F0IJ2NGH1GXX9R7" hidden="1">#REF!</definedName>
    <definedName name="BExSG90Q4ZUU2IPGDYOM169NJV9S" localSheetId="16" hidden="1">#REF!</definedName>
    <definedName name="BExSG90Q4ZUU2IPGDYOM169NJV9S" localSheetId="19" hidden="1">#REF!</definedName>
    <definedName name="BExSG90Q4ZUU2IPGDYOM169NJV9S" hidden="1">#REF!</definedName>
    <definedName name="BExSG9X3DU845PNXYJGGLBQY2UHG" localSheetId="19" hidden="1">#REF!</definedName>
    <definedName name="BExSG9X3DU845PNXYJGGLBQY2UHG" hidden="1">#REF!</definedName>
    <definedName name="BExSGE45J27MDUUNXW7Z8Q33UAON" localSheetId="19" hidden="1">#REF!</definedName>
    <definedName name="BExSGE45J27MDUUNXW7Z8Q33UAON" hidden="1">#REF!</definedName>
    <definedName name="BExSGE9LY91Q0URHB4YAMX0UAMYI" localSheetId="19" hidden="1">#REF!</definedName>
    <definedName name="BExSGE9LY91Q0URHB4YAMX0UAMYI" hidden="1">#REF!</definedName>
    <definedName name="BExSGEPODWLV8HDBVY76N01S70YZ" localSheetId="19" hidden="1">#REF!</definedName>
    <definedName name="BExSGEPODWLV8HDBVY76N01S70YZ" hidden="1">#REF!</definedName>
    <definedName name="BExSGLB2URTLBCKBB4Y885W925F2" localSheetId="19" hidden="1">#REF!</definedName>
    <definedName name="BExSGLB2URTLBCKBB4Y885W925F2" hidden="1">#REF!</definedName>
    <definedName name="BExSGOAYG73SFWOPAQV80P710GID" localSheetId="19" hidden="1">#REF!</definedName>
    <definedName name="BExSGOAYG73SFWOPAQV80P710GID" hidden="1">#REF!</definedName>
    <definedName name="BExSGOWJHRW7FWKLO2EHUOOGHNAF" localSheetId="19" hidden="1">#REF!</definedName>
    <definedName name="BExSGOWJHRW7FWKLO2EHUOOGHNAF" hidden="1">#REF!</definedName>
    <definedName name="BExSGOWJTAP41ZV5Q23H7MI9C76W" localSheetId="19" hidden="1">#REF!</definedName>
    <definedName name="BExSGOWJTAP41ZV5Q23H7MI9C76W" hidden="1">#REF!</definedName>
    <definedName name="BExSGP7BU5UM9A7AOHIGT50GZN74" localSheetId="19" hidden="1">'[38]10.08.2 - 2008 Expense'!#REF!</definedName>
    <definedName name="BExSGP7BU5UM9A7AOHIGT50GZN74" hidden="1">'[38]10.08.2 - 2008 Expense'!#REF!</definedName>
    <definedName name="BExSGR5JQVX2HQ0PKCGZNSSUM1RV" localSheetId="14" hidden="1">#REF!</definedName>
    <definedName name="BExSGR5JQVX2HQ0PKCGZNSSUM1RV" localSheetId="15" hidden="1">#REF!</definedName>
    <definedName name="BExSGR5JQVX2HQ0PKCGZNSSUM1RV" localSheetId="16" hidden="1">#REF!</definedName>
    <definedName name="BExSGR5JQVX2HQ0PKCGZNSSUM1RV" localSheetId="19" hidden="1">#REF!</definedName>
    <definedName name="BExSGR5JQVX2HQ0PKCGZNSSUM1RV" hidden="1">#REF!</definedName>
    <definedName name="BExSGVHX69GJZHD99DKE4RZ042B1" localSheetId="16" hidden="1">#REF!</definedName>
    <definedName name="BExSGVHX69GJZHD99DKE4RZ042B1" localSheetId="19" hidden="1">#REF!</definedName>
    <definedName name="BExSGVHX69GJZHD99DKE4RZ042B1" hidden="1">#REF!</definedName>
    <definedName name="BExSGZJO4J4ZO04E2N2ECVYS9DEZ" localSheetId="16" hidden="1">#REF!</definedName>
    <definedName name="BExSGZJO4J4ZO04E2N2ECVYS9DEZ" localSheetId="19" hidden="1">#REF!</definedName>
    <definedName name="BExSGZJO4J4ZO04E2N2ECVYS9DEZ" hidden="1">#REF!</definedName>
    <definedName name="BExSHAHFHS7MMNJR8JPVABRGBVIT" localSheetId="19" hidden="1">#REF!</definedName>
    <definedName name="BExSHAHFHS7MMNJR8JPVABRGBVIT" hidden="1">#REF!</definedName>
    <definedName name="BExSHFA0PJ5TS0LF5C5VDPKMSUP8" localSheetId="19" hidden="1">#REF!</definedName>
    <definedName name="BExSHFA0PJ5TS0LF5C5VDPKMSUP8" hidden="1">#REF!</definedName>
    <definedName name="BExSHGH88QZWW4RNAX4YKAZ5JEBL" localSheetId="19" hidden="1">#REF!</definedName>
    <definedName name="BExSHGH88QZWW4RNAX4YKAZ5JEBL" hidden="1">#REF!</definedName>
    <definedName name="BExSHOKK1OO3CX9Z28C58E5J1D9W" localSheetId="19" hidden="1">#REF!</definedName>
    <definedName name="BExSHOKK1OO3CX9Z28C58E5J1D9W" hidden="1">#REF!</definedName>
    <definedName name="BExSHQD8KYLTQGDXIRKCHQQ7MKIH" localSheetId="19" hidden="1">#REF!</definedName>
    <definedName name="BExSHQD8KYLTQGDXIRKCHQQ7MKIH" hidden="1">#REF!</definedName>
    <definedName name="BExSHVGPIAHXI97UBLI9G4I4M29F" localSheetId="19" hidden="1">#REF!</definedName>
    <definedName name="BExSHVGPIAHXI97UBLI9G4I4M29F" hidden="1">#REF!</definedName>
    <definedName name="BExSHVRHZDFJHSWEWWYO8PK8UC27" localSheetId="19" hidden="1">#REF!</definedName>
    <definedName name="BExSHVRHZDFJHSWEWWYO8PK8UC27" hidden="1">#REF!</definedName>
    <definedName name="BExSI0K2YL3HTCQAD8A7TR4QCUR6" localSheetId="19" hidden="1">#REF!</definedName>
    <definedName name="BExSI0K2YL3HTCQAD8A7TR4QCUR6" hidden="1">#REF!</definedName>
    <definedName name="BExSIFUDNRWXWIWNGCCFOOD8WIAZ" localSheetId="19" hidden="1">#REF!</definedName>
    <definedName name="BExSIFUDNRWXWIWNGCCFOOD8WIAZ" hidden="1">#REF!</definedName>
    <definedName name="BExTTWD2PGX3Y9FR5F2MRNLY1DIY" localSheetId="19" hidden="1">#REF!</definedName>
    <definedName name="BExTTWD2PGX3Y9FR5F2MRNLY1DIY" hidden="1">#REF!</definedName>
    <definedName name="BExTTZNS2PBCR93C9IUW49UZ4I6T" localSheetId="19" hidden="1">#REF!</definedName>
    <definedName name="BExTTZNS2PBCR93C9IUW49UZ4I6T" hidden="1">#REF!</definedName>
    <definedName name="BExTU2YFQ25JQ6MEMRHHN66VLTPJ" localSheetId="19" hidden="1">#REF!</definedName>
    <definedName name="BExTU2YFQ25JQ6MEMRHHN66VLTPJ" hidden="1">#REF!</definedName>
    <definedName name="BExTU75IOII1V5O0C9X2VAYYVJUG" localSheetId="19" hidden="1">#REF!</definedName>
    <definedName name="BExTU75IOII1V5O0C9X2VAYYVJUG" hidden="1">#REF!</definedName>
    <definedName name="BExTUA5F7V4LUIIAM17J3A8XF3JE" localSheetId="19" hidden="1">#REF!</definedName>
    <definedName name="BExTUA5F7V4LUIIAM17J3A8XF3JE" hidden="1">#REF!</definedName>
    <definedName name="BExTUJ53ANGZ3H1KDK4CR4Q0OD6P" localSheetId="19" hidden="1">#REF!</definedName>
    <definedName name="BExTUJ53ANGZ3H1KDK4CR4Q0OD6P" hidden="1">#REF!</definedName>
    <definedName name="BExTUKXSZBM7C57G6NGLWGU4WOHY" localSheetId="19" hidden="1">#REF!</definedName>
    <definedName name="BExTUKXSZBM7C57G6NGLWGU4WOHY" hidden="1">#REF!</definedName>
    <definedName name="BExTUSQCFFYZCDNHWHADBC2E1ZP1" localSheetId="19" hidden="1">#REF!</definedName>
    <definedName name="BExTUSQCFFYZCDNHWHADBC2E1ZP1" hidden="1">#REF!</definedName>
    <definedName name="BExTUVFGOJEYS28JURA5KHQFDU5J" localSheetId="19" hidden="1">#REF!</definedName>
    <definedName name="BExTUVFGOJEYS28JURA5KHQFDU5J" hidden="1">#REF!</definedName>
    <definedName name="BExTUW10U40QCYGHM5NJ3YR1O5SP" localSheetId="19" hidden="1">#REF!</definedName>
    <definedName name="BExTUW10U40QCYGHM5NJ3YR1O5SP" hidden="1">#REF!</definedName>
    <definedName name="BExTUWXFQHINU66YG82BI20ATMB5" localSheetId="19" hidden="1">#REF!</definedName>
    <definedName name="BExTUWXFQHINU66YG82BI20ATMB5" hidden="1">#REF!</definedName>
    <definedName name="BExTUY9WNSJ91GV8CP0SKJTEIV82" localSheetId="19" hidden="1">[39]Table!#REF!</definedName>
    <definedName name="BExTUY9WNSJ91GV8CP0SKJTEIV82" hidden="1">[39]Table!#REF!</definedName>
    <definedName name="BExTV67VIM8PV6KO253M4DUBJQLC" localSheetId="14" hidden="1">#REF!</definedName>
    <definedName name="BExTV67VIM8PV6KO253M4DUBJQLC" localSheetId="15" hidden="1">#REF!</definedName>
    <definedName name="BExTV67VIM8PV6KO253M4DUBJQLC" localSheetId="16" hidden="1">#REF!</definedName>
    <definedName name="BExTV67VIM8PV6KO253M4DUBJQLC" localSheetId="19" hidden="1">#REF!</definedName>
    <definedName name="BExTV67VIM8PV6KO253M4DUBJQLC" hidden="1">#REF!</definedName>
    <definedName name="BExTVELZCF2YA5L6F23BYZZR6WHF" localSheetId="16" hidden="1">#REF!</definedName>
    <definedName name="BExTVELZCF2YA5L6F23BYZZR6WHF" localSheetId="19" hidden="1">#REF!</definedName>
    <definedName name="BExTVELZCF2YA5L6F23BYZZR6WHF" hidden="1">#REF!</definedName>
    <definedName name="BExTVGPIQZ99YFXUC8OONUX5BD42" localSheetId="16" hidden="1">#REF!</definedName>
    <definedName name="BExTVGPIQZ99YFXUC8OONUX5BD42" localSheetId="19" hidden="1">#REF!</definedName>
    <definedName name="BExTVGPIQZ99YFXUC8OONUX5BD42" hidden="1">#REF!</definedName>
    <definedName name="BExTVLNG9KX2WVJZRHW6SQVAV80G" localSheetId="19" hidden="1">#REF!</definedName>
    <definedName name="BExTVLNG9KX2WVJZRHW6SQVAV80G" hidden="1">#REF!</definedName>
    <definedName name="BExTVOSUIF74AWLLP1Y2PW2T8R4L" localSheetId="19" hidden="1">#REF!</definedName>
    <definedName name="BExTVOSUIF74AWLLP1Y2PW2T8R4L" hidden="1">#REF!</definedName>
    <definedName name="BExTVYE49EIPTW7ZG5F30RHCYXWI" localSheetId="19" hidden="1">#REF!</definedName>
    <definedName name="BExTVYE49EIPTW7ZG5F30RHCYXWI" hidden="1">#REF!</definedName>
    <definedName name="BExTVZQLP9VFLEYQ9280W13X7E8K" localSheetId="19" hidden="1">#REF!</definedName>
    <definedName name="BExTVZQLP9VFLEYQ9280W13X7E8K" hidden="1">#REF!</definedName>
    <definedName name="BExTW4U1EFP1ZS3Q099D6OFYZ4PO" localSheetId="19" hidden="1">#REF!</definedName>
    <definedName name="BExTW4U1EFP1ZS3Q099D6OFYZ4PO" hidden="1">#REF!</definedName>
    <definedName name="BExTWB4LA1PODQOH4LDTHQKBN16K" localSheetId="19" hidden="1">#REF!</definedName>
    <definedName name="BExTWB4LA1PODQOH4LDTHQKBN16K" hidden="1">#REF!</definedName>
    <definedName name="BExTWEQ3PHIFDCWHG4QVX0626J8L" localSheetId="19" hidden="1">#REF!</definedName>
    <definedName name="BExTWEQ3PHIFDCWHG4QVX0626J8L" hidden="1">#REF!</definedName>
    <definedName name="BExTWFMEUL2NCM0LIAELE18IZ3TQ" localSheetId="19" hidden="1">#REF!</definedName>
    <definedName name="BExTWFMEUL2NCM0LIAELE18IZ3TQ" hidden="1">#REF!</definedName>
    <definedName name="BExTWH9QHMKXVF1R0QG6TJ2154QV" localSheetId="19" hidden="1">#REF!</definedName>
    <definedName name="BExTWH9QHMKXVF1R0QG6TJ2154QV" hidden="1">#REF!</definedName>
    <definedName name="BExTWHVADLJCCNEWMD928MM0SUBX" localSheetId="19" hidden="1">#REF!</definedName>
    <definedName name="BExTWHVADLJCCNEWMD928MM0SUBX" hidden="1">#REF!</definedName>
    <definedName name="BExTWI0Q8AWXUA3ZN7I5V3QK2KM1" localSheetId="19" hidden="1">#REF!</definedName>
    <definedName name="BExTWI0Q8AWXUA3ZN7I5V3QK2KM1" hidden="1">#REF!</definedName>
    <definedName name="BExTWJTIA3WUW1PUWXAOP9O8NKLZ" localSheetId="19" hidden="1">#REF!</definedName>
    <definedName name="BExTWJTIA3WUW1PUWXAOP9O8NKLZ" hidden="1">#REF!</definedName>
    <definedName name="BExTWP7ODVVVOXUAS0T4KNY9E7XN" localSheetId="19" hidden="1">#REF!</definedName>
    <definedName name="BExTWP7ODVVVOXUAS0T4KNY9E7XN" hidden="1">#REF!</definedName>
    <definedName name="BExTWTEREH1W943SZJSXS6AZCXLO" localSheetId="19" hidden="1">#REF!</definedName>
    <definedName name="BExTWTEREH1W943SZJSXS6AZCXLO" hidden="1">#REF!</definedName>
    <definedName name="BExTWW95OX07FNA01WF5MSSSFQLX" localSheetId="19" hidden="1">#REF!</definedName>
    <definedName name="BExTWW95OX07FNA01WF5MSSSFQLX" hidden="1">#REF!</definedName>
    <definedName name="BExTX476KI0RNB71XI5TYMANSGBG" localSheetId="19" hidden="1">#REF!</definedName>
    <definedName name="BExTX476KI0RNB71XI5TYMANSGBG" hidden="1">#REF!</definedName>
    <definedName name="BExTXFQI2GZRV54ZHPCYUHMPUDGG" localSheetId="19" hidden="1">#REF!</definedName>
    <definedName name="BExTXFQI2GZRV54ZHPCYUHMPUDGG" hidden="1">#REF!</definedName>
    <definedName name="BExTXJ6HBAIXMMWKZTJNFDYVZCAY" localSheetId="19" hidden="1">#REF!</definedName>
    <definedName name="BExTXJ6HBAIXMMWKZTJNFDYVZCAY" hidden="1">#REF!</definedName>
    <definedName name="BExTXT812NQT8GAEGH738U29BI0D" localSheetId="19" hidden="1">#REF!</definedName>
    <definedName name="BExTXT812NQT8GAEGH738U29BI0D" hidden="1">#REF!</definedName>
    <definedName name="BExTXWIP2TFPTQ76NHFOB72NICRZ" localSheetId="19" hidden="1">#REF!</definedName>
    <definedName name="BExTXWIP2TFPTQ76NHFOB72NICRZ" hidden="1">#REF!</definedName>
    <definedName name="BExTXZ7U13BQKYC9T78TWXRCE6L6" localSheetId="19" hidden="1">#REF!</definedName>
    <definedName name="BExTXZ7U13BQKYC9T78TWXRCE6L6" hidden="1">#REF!</definedName>
    <definedName name="BExTY5T62H651VC86QM4X7E28JVA" localSheetId="19" hidden="1">#REF!</definedName>
    <definedName name="BExTY5T62H651VC86QM4X7E28JVA" hidden="1">#REF!</definedName>
    <definedName name="BExTYHCJJ2NWRM1RV59FYR41534U" localSheetId="19" hidden="1">#REF!</definedName>
    <definedName name="BExTYHCJJ2NWRM1RV59FYR41534U" hidden="1">#REF!</definedName>
    <definedName name="BExTYKCEFJ83LZM95M1V7CSFQVEA" localSheetId="19" hidden="1">#REF!</definedName>
    <definedName name="BExTYKCEFJ83LZM95M1V7CSFQVEA" hidden="1">#REF!</definedName>
    <definedName name="BExTYL3GR8LX1FWLOOBTAZQOOO7D" localSheetId="19" hidden="1">'[38]10.08.4 -2008 Capital'!#REF!</definedName>
    <definedName name="BExTYL3GR8LX1FWLOOBTAZQOOO7D" hidden="1">'[38]10.08.4 -2008 Capital'!#REF!</definedName>
    <definedName name="BExTYLUCLWGGQOEPH6W91DIYL3RQ" localSheetId="14" hidden="1">#REF!</definedName>
    <definedName name="BExTYLUCLWGGQOEPH6W91DIYL3RQ" localSheetId="15" hidden="1">#REF!</definedName>
    <definedName name="BExTYLUCLWGGQOEPH6W91DIYL3RQ" localSheetId="16" hidden="1">#REF!</definedName>
    <definedName name="BExTYLUCLWGGQOEPH6W91DIYL3RQ" localSheetId="19" hidden="1">#REF!</definedName>
    <definedName name="BExTYLUCLWGGQOEPH6W91DIYL3RQ" hidden="1">#REF!</definedName>
    <definedName name="BExTYOZQGNRDMMFZOG8515WQDGU3" localSheetId="14" hidden="1">'[38]10.08.5 - 2008 Capital - TDBU'!#REF!</definedName>
    <definedName name="BExTYOZQGNRDMMFZOG8515WQDGU3" localSheetId="15" hidden="1">'[38]10.08.5 - 2008 Capital - TDBU'!#REF!</definedName>
    <definedName name="BExTYOZQGNRDMMFZOG8515WQDGU3" localSheetId="19" hidden="1">'[38]10.08.5 - 2008 Capital - TDBU'!#REF!</definedName>
    <definedName name="BExTYOZQGNRDMMFZOG8515WQDGU3" hidden="1">'[38]10.08.5 - 2008 Capital - TDBU'!#REF!</definedName>
    <definedName name="BExTYPLA9N640MFRJJQPKXT7P88M" localSheetId="14" hidden="1">#REF!</definedName>
    <definedName name="BExTYPLA9N640MFRJJQPKXT7P88M" localSheetId="15" hidden="1">#REF!</definedName>
    <definedName name="BExTYPLA9N640MFRJJQPKXT7P88M" localSheetId="16" hidden="1">#REF!</definedName>
    <definedName name="BExTYPLA9N640MFRJJQPKXT7P88M" localSheetId="19" hidden="1">#REF!</definedName>
    <definedName name="BExTYPLA9N640MFRJJQPKXT7P88M" hidden="1">#REF!</definedName>
    <definedName name="BExTYQMZFH06S0SMRP98OBQF34G8" localSheetId="16" hidden="1">#REF!</definedName>
    <definedName name="BExTYQMZFH06S0SMRP98OBQF34G8" localSheetId="19" hidden="1">#REF!</definedName>
    <definedName name="BExTYQMZFH06S0SMRP98OBQF34G8" hidden="1">#REF!</definedName>
    <definedName name="BExTZ7F71SNTOX4LLZCK5R9VUMIJ" localSheetId="16" hidden="1">#REF!</definedName>
    <definedName name="BExTZ7F71SNTOX4LLZCK5R9VUMIJ" localSheetId="19" hidden="1">#REF!</definedName>
    <definedName name="BExTZ7F71SNTOX4LLZCK5R9VUMIJ" hidden="1">#REF!</definedName>
    <definedName name="BExTZ8GX3F0K1UBDQ5Y9BYXK1Z6F" localSheetId="19" hidden="1">#REF!</definedName>
    <definedName name="BExTZ8GX3F0K1UBDQ5Y9BYXK1Z6F" hidden="1">#REF!</definedName>
    <definedName name="BExTZ8X5G9S3PA4FPSNK7T69W7QT" localSheetId="19" hidden="1">#REF!</definedName>
    <definedName name="BExTZ8X5G9S3PA4FPSNK7T69W7QT" hidden="1">#REF!</definedName>
    <definedName name="BExTZ97Y0RMR8V5BI9F2H4MFB77O" localSheetId="19" hidden="1">#REF!</definedName>
    <definedName name="BExTZ97Y0RMR8V5BI9F2H4MFB77O" hidden="1">#REF!</definedName>
    <definedName name="BExTZ97YR84DZ8QVX5145UPYSRH1" localSheetId="19" hidden="1">#REF!</definedName>
    <definedName name="BExTZ97YR84DZ8QVX5145UPYSRH1" hidden="1">#REF!</definedName>
    <definedName name="BExTZK5PMCAXJL4DUIGL6H9Y8U4C" localSheetId="19" hidden="1">#REF!</definedName>
    <definedName name="BExTZK5PMCAXJL4DUIGL6H9Y8U4C" hidden="1">#REF!</definedName>
    <definedName name="BExTZKB6L5SXV5UN71YVTCBEIGWY" localSheetId="19" hidden="1">#REF!</definedName>
    <definedName name="BExTZKB6L5SXV5UN71YVTCBEIGWY" hidden="1">#REF!</definedName>
    <definedName name="BExTZLICVKK4NBJFEGL270GJ2VQO" localSheetId="19" hidden="1">#REF!</definedName>
    <definedName name="BExTZLICVKK4NBJFEGL270GJ2VQO" hidden="1">#REF!</definedName>
    <definedName name="BExTZO2596CBZKPI7YNA1QQNPAIJ" localSheetId="19" hidden="1">#REF!</definedName>
    <definedName name="BExTZO2596CBZKPI7YNA1QQNPAIJ" hidden="1">#REF!</definedName>
    <definedName name="BExTZY8TDV4U7FQL7O10G6VKWKPJ" localSheetId="19" hidden="1">#REF!</definedName>
    <definedName name="BExTZY8TDV4U7FQL7O10G6VKWKPJ" hidden="1">#REF!</definedName>
    <definedName name="BExU02QNT4LT7H9JPUC4FXTLVGZT" localSheetId="19" hidden="1">#REF!</definedName>
    <definedName name="BExU02QNT4LT7H9JPUC4FXTLVGZT" hidden="1">#REF!</definedName>
    <definedName name="BExU0BFJJQO1HJZKI14QGOQ6JROO" localSheetId="19" hidden="1">#REF!</definedName>
    <definedName name="BExU0BFJJQO1HJZKI14QGOQ6JROO" hidden="1">#REF!</definedName>
    <definedName name="BExU0BFKP4UL0TQC5B09T8C2BO3W" localSheetId="19" hidden="1">#REF!</definedName>
    <definedName name="BExU0BFKP4UL0TQC5B09T8C2BO3W" hidden="1">#REF!</definedName>
    <definedName name="BExU0CXIZZF3DKCNKF3AHXAPONZC" localSheetId="19" hidden="1">#REF!</definedName>
    <definedName name="BExU0CXIZZF3DKCNKF3AHXAPONZC" hidden="1">#REF!</definedName>
    <definedName name="BExU0FH5WTGW8MRFUFMDDSMJ6YQ5" localSheetId="19" hidden="1">#REF!</definedName>
    <definedName name="BExU0FH5WTGW8MRFUFMDDSMJ6YQ5" hidden="1">#REF!</definedName>
    <definedName name="BExU0GDOIL9U33QGU9ZU3YX3V1I4" localSheetId="19" hidden="1">#REF!</definedName>
    <definedName name="BExU0GDOIL9U33QGU9ZU3YX3V1I4" hidden="1">#REF!</definedName>
    <definedName name="BExU0HKTO8WJDQDWRTUK5TETM3HS" localSheetId="19" hidden="1">#REF!</definedName>
    <definedName name="BExU0HKTO8WJDQDWRTUK5TETM3HS" hidden="1">#REF!</definedName>
    <definedName name="BExU0MTJQPE041ZN7H8UKGV6MZT7" localSheetId="19" hidden="1">#REF!</definedName>
    <definedName name="BExU0MTJQPE041ZN7H8UKGV6MZT7" hidden="1">#REF!</definedName>
    <definedName name="BExU0XB6XCXI4SZ92YEUFMW4TAXF" localSheetId="19" hidden="1">#REF!</definedName>
    <definedName name="BExU0XB6XCXI4SZ92YEUFMW4TAXF" hidden="1">#REF!</definedName>
    <definedName name="BExU0ZUUFYHLUK4M4E8GLGIBBNT0" localSheetId="19" hidden="1">#REF!</definedName>
    <definedName name="BExU0ZUUFYHLUK4M4E8GLGIBBNT0" hidden="1">#REF!</definedName>
    <definedName name="BExU147D6RPG6ZVTSXRKFSVRHSBG" localSheetId="19" hidden="1">#REF!</definedName>
    <definedName name="BExU147D6RPG6ZVTSXRKFSVRHSBG" hidden="1">#REF!</definedName>
    <definedName name="BExU16R10W1SOAPNG4CDJ01T7JRE" localSheetId="19" hidden="1">#REF!</definedName>
    <definedName name="BExU16R10W1SOAPNG4CDJ01T7JRE" hidden="1">#REF!</definedName>
    <definedName name="BExU17CKOR3GNIHDNVLH9L1IOJS9" localSheetId="19" hidden="1">#REF!</definedName>
    <definedName name="BExU17CKOR3GNIHDNVLH9L1IOJS9" hidden="1">#REF!</definedName>
    <definedName name="BExU1DHV15JIOYOXDDJLCPQWUF8Y" localSheetId="19" hidden="1">#REF!</definedName>
    <definedName name="BExU1DHV15JIOYOXDDJLCPQWUF8Y" hidden="1">#REF!</definedName>
    <definedName name="BExU1GXUTLRPJN4MRINLAPHSZQFG" localSheetId="19" hidden="1">#REF!</definedName>
    <definedName name="BExU1GXUTLRPJN4MRINLAPHSZQFG" hidden="1">#REF!</definedName>
    <definedName name="BExU1IL9AOHFO85BZB6S60DK3N8H" localSheetId="19" hidden="1">#REF!</definedName>
    <definedName name="BExU1IL9AOHFO85BZB6S60DK3N8H" hidden="1">#REF!</definedName>
    <definedName name="BExU1NOPS09CLFZL1O31RAF9BQNQ" localSheetId="19" hidden="1">#REF!</definedName>
    <definedName name="BExU1NOPS09CLFZL1O31RAF9BQNQ" hidden="1">#REF!</definedName>
    <definedName name="BExU1P6H60U4RWZFX1HYXV8Z6KI7" localSheetId="19" hidden="1">#REF!</definedName>
    <definedName name="BExU1P6H60U4RWZFX1HYXV8Z6KI7" hidden="1">#REF!</definedName>
    <definedName name="BExU1PH9MOEX1JZVZ3D5M9DXB191" localSheetId="19" hidden="1">#REF!</definedName>
    <definedName name="BExU1PH9MOEX1JZVZ3D5M9DXB191" hidden="1">#REF!</definedName>
    <definedName name="BExU1QZEEKJA35IMEOLOJ3ODX0ZA" localSheetId="19" hidden="1">#REF!</definedName>
    <definedName name="BExU1QZEEKJA35IMEOLOJ3ODX0ZA" hidden="1">#REF!</definedName>
    <definedName name="BExU1VRURIWWVJ95O40WA23LMTJD" localSheetId="19" hidden="1">#REF!</definedName>
    <definedName name="BExU1VRURIWWVJ95O40WA23LMTJD" hidden="1">#REF!</definedName>
    <definedName name="BExU24M8MKBQNO1RXU0IQ2PBN3F1" localSheetId="19" hidden="1">#REF!</definedName>
    <definedName name="BExU24M8MKBQNO1RXU0IQ2PBN3F1" hidden="1">#REF!</definedName>
    <definedName name="BExU2M5CK6XK55UIHDVYRXJJJRI4" localSheetId="19" hidden="1">#REF!</definedName>
    <definedName name="BExU2M5CK6XK55UIHDVYRXJJJRI4" hidden="1">#REF!</definedName>
    <definedName name="BExU2T1JA8VA37QX2DVLJLQAUW7W" localSheetId="19" hidden="1">#REF!</definedName>
    <definedName name="BExU2T1JA8VA37QX2DVLJLQAUW7W" hidden="1">#REF!</definedName>
    <definedName name="BExU2TXVT25ZTOFQAF6CM53Z1RLF" localSheetId="19" hidden="1">#REF!</definedName>
    <definedName name="BExU2TXVT25ZTOFQAF6CM53Z1RLF" hidden="1">#REF!</definedName>
    <definedName name="BExU2XZLYIU19G7358W5T9E87AFR" localSheetId="19" hidden="1">#REF!</definedName>
    <definedName name="BExU2XZLYIU19G7358W5T9E87AFR" hidden="1">#REF!</definedName>
    <definedName name="BExU33OMH5JZ904ICANETZ08X20J" localSheetId="19" hidden="1">#REF!</definedName>
    <definedName name="BExU33OMH5JZ904ICANETZ08X20J" hidden="1">#REF!</definedName>
    <definedName name="BExU3B66MCKJFSKT3HL8B5EJGVX0" localSheetId="19" hidden="1">#REF!</definedName>
    <definedName name="BExU3B66MCKJFSKT3HL8B5EJGVX0" hidden="1">#REF!</definedName>
    <definedName name="BExU3FIQME8CY7AIZPHINOQE8U4S" localSheetId="19" hidden="1">#REF!</definedName>
    <definedName name="BExU3FIQME8CY7AIZPHINOQE8U4S" hidden="1">#REF!</definedName>
    <definedName name="BExU3UNI9NR1RNZR07NSLSZMDOQQ" localSheetId="19" hidden="1">#REF!</definedName>
    <definedName name="BExU3UNI9NR1RNZR07NSLSZMDOQQ" hidden="1">#REF!</definedName>
    <definedName name="BExU401R18N6XKZKL7CNFOZQCM14" localSheetId="19" hidden="1">#REF!</definedName>
    <definedName name="BExU401R18N6XKZKL7CNFOZQCM14" hidden="1">#REF!</definedName>
    <definedName name="BExU42QVGY7TK39W1BIN6CDRG2OE" localSheetId="19" hidden="1">#REF!</definedName>
    <definedName name="BExU42QVGY7TK39W1BIN6CDRG2OE" hidden="1">#REF!</definedName>
    <definedName name="BExU44P2AEX6PD8VC4ISCROUCQSP" localSheetId="19" hidden="1">#REF!</definedName>
    <definedName name="BExU44P2AEX6PD8VC4ISCROUCQSP" hidden="1">#REF!</definedName>
    <definedName name="BExU47OZMS6TCWMEHHF0UCSFLLPI" localSheetId="19" hidden="1">#REF!</definedName>
    <definedName name="BExU47OZMS6TCWMEHHF0UCSFLLPI" hidden="1">#REF!</definedName>
    <definedName name="BExU4D36E8TXN0M8KSNGEAFYP4DQ" localSheetId="19" hidden="1">#REF!</definedName>
    <definedName name="BExU4D36E8TXN0M8KSNGEAFYP4DQ" hidden="1">#REF!</definedName>
    <definedName name="BExU4G31RRVLJ3AC6E1FNEFMXM3O" localSheetId="19" hidden="1">#REF!</definedName>
    <definedName name="BExU4G31RRVLJ3AC6E1FNEFMXM3O" hidden="1">#REF!</definedName>
    <definedName name="BExU4GDVLPUEWBA4MRYRTQAUNO7B" localSheetId="19" hidden="1">#REF!</definedName>
    <definedName name="BExU4GDVLPUEWBA4MRYRTQAUNO7B" hidden="1">#REF!</definedName>
    <definedName name="BExU4H4QVOMTUDXRKDNWMMIRSYHD" localSheetId="19" hidden="1">'[38]10.08.2 - 2008 Expense'!#REF!</definedName>
    <definedName name="BExU4H4QVOMTUDXRKDNWMMIRSYHD" hidden="1">'[38]10.08.2 - 2008 Expense'!#REF!</definedName>
    <definedName name="BExU4I148DA7PRCCISLWQ6ABXFK6" localSheetId="14" hidden="1">#REF!</definedName>
    <definedName name="BExU4I148DA7PRCCISLWQ6ABXFK6" localSheetId="15" hidden="1">#REF!</definedName>
    <definedName name="BExU4I148DA7PRCCISLWQ6ABXFK6" localSheetId="16" hidden="1">#REF!</definedName>
    <definedName name="BExU4I148DA7PRCCISLWQ6ABXFK6" localSheetId="19" hidden="1">#REF!</definedName>
    <definedName name="BExU4I148DA7PRCCISLWQ6ABXFK6" hidden="1">#REF!</definedName>
    <definedName name="BExU4L101H2KQHVKCKQ4PBAWZV6K" localSheetId="16" hidden="1">#REF!</definedName>
    <definedName name="BExU4L101H2KQHVKCKQ4PBAWZV6K" localSheetId="19" hidden="1">#REF!</definedName>
    <definedName name="BExU4L101H2KQHVKCKQ4PBAWZV6K" hidden="1">#REF!</definedName>
    <definedName name="BExU4NA00RRRBGRT6TOB0MXZRCRZ" localSheetId="16" hidden="1">#REF!</definedName>
    <definedName name="BExU4NA00RRRBGRT6TOB0MXZRCRZ" localSheetId="19" hidden="1">#REF!</definedName>
    <definedName name="BExU4NA00RRRBGRT6TOB0MXZRCRZ" hidden="1">#REF!</definedName>
    <definedName name="BExU51IFNZXPBDES28457LR8X60M" localSheetId="19" hidden="1">#REF!</definedName>
    <definedName name="BExU51IFNZXPBDES28457LR8X60M" hidden="1">#REF!</definedName>
    <definedName name="BExU529I6YHVOG83TJHWSILIQU1S" localSheetId="19" hidden="1">#REF!</definedName>
    <definedName name="BExU529I6YHVOG83TJHWSILIQU1S" hidden="1">#REF!</definedName>
    <definedName name="BExU57YCIKPRD8QWL6EU0YR3NG3J" localSheetId="19" hidden="1">#REF!</definedName>
    <definedName name="BExU57YCIKPRD8QWL6EU0YR3NG3J" hidden="1">#REF!</definedName>
    <definedName name="BExU5DSTBWXLN6E59B757KRWRI6E" localSheetId="19" hidden="1">#REF!</definedName>
    <definedName name="BExU5DSTBWXLN6E59B757KRWRI6E" hidden="1">#REF!</definedName>
    <definedName name="BExU5TDWM8NNDHYPQ7OQODTQ368A" localSheetId="19" hidden="1">#REF!</definedName>
    <definedName name="BExU5TDWM8NNDHYPQ7OQODTQ368A" hidden="1">#REF!</definedName>
    <definedName name="BExU5UQD0ZEWKNYDL4KL8VFIMNVH" localSheetId="19" hidden="1">#REF!</definedName>
    <definedName name="BExU5UQD0ZEWKNYDL4KL8VFIMNVH" hidden="1">#REF!</definedName>
    <definedName name="BExU5X4OX1V1XHS6WSSORVQPP6Z3" localSheetId="19" hidden="1">#REF!</definedName>
    <definedName name="BExU5X4OX1V1XHS6WSSORVQPP6Z3" hidden="1">#REF!</definedName>
    <definedName name="BExU5XVPARTFMRYHNUTBKDIL4UJN" localSheetId="19" hidden="1">#REF!</definedName>
    <definedName name="BExU5XVPARTFMRYHNUTBKDIL4UJN" hidden="1">#REF!</definedName>
    <definedName name="BExU66KMFBAP8JCVG9VM1RD1TNFF" localSheetId="19" hidden="1">#REF!</definedName>
    <definedName name="BExU66KMFBAP8JCVG9VM1RD1TNFF" hidden="1">#REF!</definedName>
    <definedName name="BExU68IOM3CB3TACNAE9565TW7SH" localSheetId="19" hidden="1">#REF!</definedName>
    <definedName name="BExU68IOM3CB3TACNAE9565TW7SH" hidden="1">#REF!</definedName>
    <definedName name="BExU6AM82KN21E82HMWVP3LWP9IL" localSheetId="19" hidden="1">#REF!</definedName>
    <definedName name="BExU6AM82KN21E82HMWVP3LWP9IL" hidden="1">#REF!</definedName>
    <definedName name="BExU6FEU1MRHU98R9YOJC5OKUJ6L" localSheetId="19" hidden="1">#REF!</definedName>
    <definedName name="BExU6FEU1MRHU98R9YOJC5OKUJ6L" hidden="1">#REF!</definedName>
    <definedName name="BExU6KIAJ663Y8W8QMU4HCF183DF" localSheetId="19" hidden="1">#REF!</definedName>
    <definedName name="BExU6KIAJ663Y8W8QMU4HCF183DF" hidden="1">#REF!</definedName>
    <definedName name="BExU6KT19B4PG6SHXFBGBPLM66KT" localSheetId="19" hidden="1">#REF!</definedName>
    <definedName name="BExU6KT19B4PG6SHXFBGBPLM66KT" hidden="1">#REF!</definedName>
    <definedName name="BExU6PAVKIOAIMQ9XQIHHF1SUAGO" localSheetId="19" hidden="1">#REF!</definedName>
    <definedName name="BExU6PAVKIOAIMQ9XQIHHF1SUAGO" hidden="1">#REF!</definedName>
    <definedName name="BExU6WXXC7SSQDMHSLUN5C2V4IYX" localSheetId="19" hidden="1">#REF!</definedName>
    <definedName name="BExU6WXXC7SSQDMHSLUN5C2V4IYX" hidden="1">#REF!</definedName>
    <definedName name="BExU73387E74XE8A9UKZLZNJYY65" localSheetId="19" hidden="1">#REF!</definedName>
    <definedName name="BExU73387E74XE8A9UKZLZNJYY65" hidden="1">#REF!</definedName>
    <definedName name="BExU76ZHCJM8I7VSICCMSTC33O6U" localSheetId="19" hidden="1">#REF!</definedName>
    <definedName name="BExU76ZHCJM8I7VSICCMSTC33O6U" hidden="1">#REF!</definedName>
    <definedName name="BExU7BBTUF8BQ42DSGM94X5TG5GF" localSheetId="19" hidden="1">#REF!</definedName>
    <definedName name="BExU7BBTUF8BQ42DSGM94X5TG5GF" hidden="1">#REF!</definedName>
    <definedName name="BExU7HH4EAHFQHT4AXKGWAWZP3I0" localSheetId="19" hidden="1">#REF!</definedName>
    <definedName name="BExU7HH4EAHFQHT4AXKGWAWZP3I0" hidden="1">#REF!</definedName>
    <definedName name="BExU7MF1ZVPDHOSMCAXOSYICHZ4I" localSheetId="19" hidden="1">#REF!</definedName>
    <definedName name="BExU7MF1ZVPDHOSMCAXOSYICHZ4I" hidden="1">#REF!</definedName>
    <definedName name="BExU7O2BJ6D5YCKEL6FD2EFCWYRX" localSheetId="19" hidden="1">#REF!</definedName>
    <definedName name="BExU7O2BJ6D5YCKEL6FD2EFCWYRX" hidden="1">#REF!</definedName>
    <definedName name="BExU7PKGGTU90XX4CKU6M5W0HTLN" localSheetId="19" hidden="1">#REF!</definedName>
    <definedName name="BExU7PKGGTU90XX4CKU6M5W0HTLN" hidden="1">#REF!</definedName>
    <definedName name="BExU7Q0JS9YIUKUPNSSAIDK2KJAV" localSheetId="19" hidden="1">#REF!</definedName>
    <definedName name="BExU7Q0JS9YIUKUPNSSAIDK2KJAV" hidden="1">#REF!</definedName>
    <definedName name="BExU7XNR6I6O94DKRLHQ1FWJ64S0" localSheetId="19" hidden="1">#REF!</definedName>
    <definedName name="BExU7XNR6I6O94DKRLHQ1FWJ64S0" hidden="1">#REF!</definedName>
    <definedName name="BExU80I6AE5OU7P7F5V7HWIZBJ4P" localSheetId="19" hidden="1">#REF!</definedName>
    <definedName name="BExU80I6AE5OU7P7F5V7HWIZBJ4P" hidden="1">#REF!</definedName>
    <definedName name="BExU86NB26MCPYIISZ36HADONGT2" localSheetId="19" hidden="1">#REF!</definedName>
    <definedName name="BExU86NB26MCPYIISZ36HADONGT2" hidden="1">#REF!</definedName>
    <definedName name="BExU885EZZNSZV3GP298UJ8LB7OL" localSheetId="19" hidden="1">#REF!</definedName>
    <definedName name="BExU885EZZNSZV3GP298UJ8LB7OL" hidden="1">#REF!</definedName>
    <definedName name="BExU8DZPVHN9IPBJG5ASDBCHVV6F" localSheetId="19" hidden="1">#REF!</definedName>
    <definedName name="BExU8DZPVHN9IPBJG5ASDBCHVV6F" hidden="1">#REF!</definedName>
    <definedName name="BExU8FSAUP9TUZ1NO9WXK80QPHWV" localSheetId="19" hidden="1">#REF!</definedName>
    <definedName name="BExU8FSAUP9TUZ1NO9WXK80QPHWV" hidden="1">#REF!</definedName>
    <definedName name="BExU8GOTU4Q7I3BF5S1PKOPIPIP8" localSheetId="19" hidden="1">#REF!</definedName>
    <definedName name="BExU8GOTU4Q7I3BF5S1PKOPIPIP8" hidden="1">#REF!</definedName>
    <definedName name="BExU8KFLAN778MBN93NYZB0FV30G" localSheetId="19" hidden="1">#REF!</definedName>
    <definedName name="BExU8KFLAN778MBN93NYZB0FV30G" hidden="1">#REF!</definedName>
    <definedName name="BExU8MDV8JYF9JHWAW4N09DMLGH5" localSheetId="19" hidden="1">#REF!</definedName>
    <definedName name="BExU8MDV8JYF9JHWAW4N09DMLGH5" hidden="1">#REF!</definedName>
    <definedName name="BExU8R0Z2JP4BSAIMCN5VNQZSAQV" localSheetId="19" hidden="1">#REF!</definedName>
    <definedName name="BExU8R0Z2JP4BSAIMCN5VNQZSAQV" hidden="1">#REF!</definedName>
    <definedName name="BExU8SO8VG1NKAASDL1AWU8VYF7J" localSheetId="19" hidden="1">#REF!</definedName>
    <definedName name="BExU8SO8VG1NKAASDL1AWU8VYF7J" hidden="1">#REF!</definedName>
    <definedName name="BExU8UX9JX3XLB47YZ8GFXE0V7R2" localSheetId="19" hidden="1">#REF!</definedName>
    <definedName name="BExU8UX9JX3XLB47YZ8GFXE0V7R2" hidden="1">#REF!</definedName>
    <definedName name="BExU91DC3DGKPZD6LTER2IRTF89C" localSheetId="19" hidden="1">#REF!</definedName>
    <definedName name="BExU91DC3DGKPZD6LTER2IRTF89C" hidden="1">#REF!</definedName>
    <definedName name="BExU91TEHJ9BOPW2I0PGCMVB2LIN" localSheetId="19" hidden="1">#REF!</definedName>
    <definedName name="BExU91TEHJ9BOPW2I0PGCMVB2LIN" hidden="1">#REF!</definedName>
    <definedName name="BExU935WUOV28D64L2EAFTLHA8XK" localSheetId="19" hidden="1">'[38]10.08.5 - 2008 Capital - TDBU'!#REF!</definedName>
    <definedName name="BExU935WUOV28D64L2EAFTLHA8XK" hidden="1">'[38]10.08.5 - 2008 Capital - TDBU'!#REF!</definedName>
    <definedName name="BExU96M1J7P9DZQ3S9H0C12KGYTW" localSheetId="14" hidden="1">#REF!</definedName>
    <definedName name="BExU96M1J7P9DZQ3S9H0C12KGYTW" localSheetId="15" hidden="1">#REF!</definedName>
    <definedName name="BExU96M1J7P9DZQ3S9H0C12KGYTW" localSheetId="16" hidden="1">#REF!</definedName>
    <definedName name="BExU96M1J7P9DZQ3S9H0C12KGYTW" localSheetId="19" hidden="1">#REF!</definedName>
    <definedName name="BExU96M1J7P9DZQ3S9H0C12KGYTW" hidden="1">#REF!</definedName>
    <definedName name="BExU9F05OR1GZ3057R6UL3WPEIYI" localSheetId="16" hidden="1">#REF!</definedName>
    <definedName name="BExU9F05OR1GZ3057R6UL3WPEIYI" localSheetId="19" hidden="1">#REF!</definedName>
    <definedName name="BExU9F05OR1GZ3057R6UL3WPEIYI" hidden="1">#REF!</definedName>
    <definedName name="BExU9GCSO5YILIKG6VAHN13DL75K" localSheetId="16" hidden="1">#REF!</definedName>
    <definedName name="BExU9GCSO5YILIKG6VAHN13DL75K" localSheetId="19" hidden="1">#REF!</definedName>
    <definedName name="BExU9GCSO5YILIKG6VAHN13DL75K" hidden="1">#REF!</definedName>
    <definedName name="BExU9KJOZLO15N11MJVN782NFGJ0" localSheetId="19" hidden="1">#REF!</definedName>
    <definedName name="BExU9KJOZLO15N11MJVN782NFGJ0" hidden="1">#REF!</definedName>
    <definedName name="BExU9KUGSKLYR8ZI3DN6F833CK8A" localSheetId="19" hidden="1">#REF!</definedName>
    <definedName name="BExU9KUGSKLYR8ZI3DN6F833CK8A" hidden="1">#REF!</definedName>
    <definedName name="BExU9LG29XU2K1GNKRO4438JYQZE" localSheetId="19" hidden="1">#REF!</definedName>
    <definedName name="BExU9LG29XU2K1GNKRO4438JYQZE" hidden="1">#REF!</definedName>
    <definedName name="BExU9MHVU4RJY03HU20S53C4BQTJ" localSheetId="19" hidden="1">#REF!</definedName>
    <definedName name="BExU9MHVU4RJY03HU20S53C4BQTJ" hidden="1">#REF!</definedName>
    <definedName name="BExU9RW36I5Z6JIXUIUB3PJH86LT" localSheetId="19" hidden="1">#REF!</definedName>
    <definedName name="BExU9RW36I5Z6JIXUIUB3PJH86LT" hidden="1">#REF!</definedName>
    <definedName name="BExUA28AO7OWDG3H23Q0CL4B7BHW" localSheetId="19" hidden="1">#REF!</definedName>
    <definedName name="BExUA28AO7OWDG3H23Q0CL4B7BHW" hidden="1">#REF!</definedName>
    <definedName name="BExUA5O923FFNEBY8BPO1TU3QGBM" localSheetId="19" hidden="1">#REF!</definedName>
    <definedName name="BExUA5O923FFNEBY8BPO1TU3QGBM" hidden="1">#REF!</definedName>
    <definedName name="BExUA6Q4K25VH452AQ3ZIRBCMS61" localSheetId="19" hidden="1">#REF!</definedName>
    <definedName name="BExUA6Q4K25VH452AQ3ZIRBCMS61" hidden="1">#REF!</definedName>
    <definedName name="BExUA7MHC1RAILNC8XURIB3WHXK3" localSheetId="19" hidden="1">#REF!</definedName>
    <definedName name="BExUA7MHC1RAILNC8XURIB3WHXK3" hidden="1">#REF!</definedName>
    <definedName name="BExUAABKIIVOK3JUILTKGJVUPEQK" localSheetId="19" hidden="1">#REF!</definedName>
    <definedName name="BExUAABKIIVOK3JUILTKGJVUPEQK" hidden="1">#REF!</definedName>
    <definedName name="BExUAAH2D4VGVRIQGPJB00O9MFGA" localSheetId="19" hidden="1">#REF!</definedName>
    <definedName name="BExUAAH2D4VGVRIQGPJB00O9MFGA" hidden="1">#REF!</definedName>
    <definedName name="BExUABTJG7CHXQDBVDEEMHSVE1YY" localSheetId="19" hidden="1">'[38]10.08.5 - 2008 Capital - TDBU'!#REF!</definedName>
    <definedName name="BExUABTJG7CHXQDBVDEEMHSVE1YY" hidden="1">'[38]10.08.5 - 2008 Capital - TDBU'!#REF!</definedName>
    <definedName name="BExUAE7VUMCVDFX37BD0AFOQDTE3" localSheetId="14" hidden="1">#REF!</definedName>
    <definedName name="BExUAE7VUMCVDFX37BD0AFOQDTE3" localSheetId="15" hidden="1">#REF!</definedName>
    <definedName name="BExUAE7VUMCVDFX37BD0AFOQDTE3" localSheetId="16" hidden="1">#REF!</definedName>
    <definedName name="BExUAE7VUMCVDFX37BD0AFOQDTE3" localSheetId="19" hidden="1">#REF!</definedName>
    <definedName name="BExUAE7VUMCVDFX37BD0AFOQDTE3" hidden="1">#REF!</definedName>
    <definedName name="BExUAFV4JMBSM2SKBQL9NHL0NIBS" localSheetId="16" hidden="1">#REF!</definedName>
    <definedName name="BExUAFV4JMBSM2SKBQL9NHL0NIBS" localSheetId="19" hidden="1">#REF!</definedName>
    <definedName name="BExUAFV4JMBSM2SKBQL9NHL0NIBS" hidden="1">#REF!</definedName>
    <definedName name="BExUAMWQODKBXMRH1QCMJLJBF8M7" localSheetId="16" hidden="1">#REF!</definedName>
    <definedName name="BExUAMWQODKBXMRH1QCMJLJBF8M7" localSheetId="19" hidden="1">#REF!</definedName>
    <definedName name="BExUAMWQODKBXMRH1QCMJLJBF8M7" hidden="1">#REF!</definedName>
    <definedName name="BExUAQYCACRL8UX675MZ2A0135PW" localSheetId="19" hidden="1">#REF!</definedName>
    <definedName name="BExUAQYCACRL8UX675MZ2A0135PW" hidden="1">#REF!</definedName>
    <definedName name="BExUAT7C2EA99VHS9U7OALH9YLZN" localSheetId="19" hidden="1">#REF!</definedName>
    <definedName name="BExUAT7C2EA99VHS9U7OALH9YLZN" hidden="1">#REF!</definedName>
    <definedName name="BExUAVAV8UKWKQ0K62SFQWUFUOTU" localSheetId="19" hidden="1">#REF!</definedName>
    <definedName name="BExUAVAV8UKWKQ0K62SFQWUFUOTU" hidden="1">#REF!</definedName>
    <definedName name="BExUAX8WS5OPVLCDXRGKTU2QMTFO" localSheetId="19" hidden="1">#REF!</definedName>
    <definedName name="BExUAX8WS5OPVLCDXRGKTU2QMTFO" hidden="1">#REF!</definedName>
    <definedName name="BExUB8HLEXSBVPZ5AXNQEK96F1N4" localSheetId="19" hidden="1">#REF!</definedName>
    <definedName name="BExUB8HLEXSBVPZ5AXNQEK96F1N4" hidden="1">#REF!</definedName>
    <definedName name="BExUB9U3LH9RE0L0C9VDXHG4Z0CT" localSheetId="19" hidden="1">#REF!</definedName>
    <definedName name="BExUB9U3LH9RE0L0C9VDXHG4Z0CT" hidden="1">#REF!</definedName>
    <definedName name="BExUBCDVZIEA7YT0LPSMHL5ZSERQ" localSheetId="19" hidden="1">#REF!</definedName>
    <definedName name="BExUBCDVZIEA7YT0LPSMHL5ZSERQ" hidden="1">#REF!</definedName>
    <definedName name="BExUBKXBUCN760QYU7Q8GESBWOQH" localSheetId="19" hidden="1">#REF!</definedName>
    <definedName name="BExUBKXBUCN760QYU7Q8GESBWOQH" hidden="1">#REF!</definedName>
    <definedName name="BExUBL83ED0P076RN9RJ8P1MZ299" localSheetId="19" hidden="1">#REF!</definedName>
    <definedName name="BExUBL83ED0P076RN9RJ8P1MZ299" hidden="1">#REF!</definedName>
    <definedName name="BExUBS9LHCDLBL7S3ZNT91B3T5I9" localSheetId="19" hidden="1">#REF!</definedName>
    <definedName name="BExUBS9LHCDLBL7S3ZNT91B3T5I9" hidden="1">#REF!</definedName>
    <definedName name="BExUBZB72GX583YHAMJJC3QGV1EZ" localSheetId="19" hidden="1">#REF!</definedName>
    <definedName name="BExUBZB72GX583YHAMJJC3QGV1EZ" hidden="1">#REF!</definedName>
    <definedName name="BExUC4EMUM9S63KSY0LLQUAGWJ1A" localSheetId="19" hidden="1">#REF!</definedName>
    <definedName name="BExUC4EMUM9S63KSY0LLQUAGWJ1A" hidden="1">#REF!</definedName>
    <definedName name="BExUC623BDYEODBN0N4DO6PJQ7NU" localSheetId="19" hidden="1">#REF!</definedName>
    <definedName name="BExUC623BDYEODBN0N4DO6PJQ7NU" hidden="1">#REF!</definedName>
    <definedName name="BExUC8WH8TCKBB5313JGYYQ1WFLT" localSheetId="19" hidden="1">#REF!</definedName>
    <definedName name="BExUC8WH8TCKBB5313JGYYQ1WFLT" hidden="1">#REF!</definedName>
    <definedName name="BExUCFCDK6SPH86I6STXX8X3WMC4" localSheetId="19" hidden="1">#REF!</definedName>
    <definedName name="BExUCFCDK6SPH86I6STXX8X3WMC4" hidden="1">#REF!</definedName>
    <definedName name="BExUCI1NZNPIHC2T0GUIENNZVCNG" localSheetId="19" hidden="1">#REF!</definedName>
    <definedName name="BExUCI1NZNPIHC2T0GUIENNZVCNG" hidden="1">#REF!</definedName>
    <definedName name="BExUCLC6AQ5KR6LXSAXV4QQ8ASVG" localSheetId="19" hidden="1">#REF!</definedName>
    <definedName name="BExUCLC6AQ5KR6LXSAXV4QQ8ASVG" hidden="1">#REF!</definedName>
    <definedName name="BExUCPOPUZEN1BYI6PPSAUKQPXP4" localSheetId="19" hidden="1">#REF!</definedName>
    <definedName name="BExUCPOPUZEN1BYI6PPSAUKQPXP4" hidden="1">#REF!</definedName>
    <definedName name="BExUCQL36TCLIPO8DEYYYFQLM20S" localSheetId="19" hidden="1">#REF!</definedName>
    <definedName name="BExUCQL36TCLIPO8DEYYYFQLM20S" hidden="1">#REF!</definedName>
    <definedName name="BExUD4IOJ12X3PJG5WXNNGDRCKAP" localSheetId="19" hidden="1">#REF!</definedName>
    <definedName name="BExUD4IOJ12X3PJG5WXNNGDRCKAP" hidden="1">#REF!</definedName>
    <definedName name="BExUD77TM7LZ8CRP774MLVLQMHJF" localSheetId="19" hidden="1">#REF!</definedName>
    <definedName name="BExUD77TM7LZ8CRP774MLVLQMHJF" hidden="1">#REF!</definedName>
    <definedName name="BExUD9WX9BWK72UWVSLYZJLAY5VY" localSheetId="19" hidden="1">#REF!</definedName>
    <definedName name="BExUD9WX9BWK72UWVSLYZJLAY5VY" hidden="1">#REF!</definedName>
    <definedName name="BExUDBEUJH9IACZDBL1VAUWPG0QW" localSheetId="19" hidden="1">#REF!</definedName>
    <definedName name="BExUDBEUJH9IACZDBL1VAUWPG0QW" hidden="1">#REF!</definedName>
    <definedName name="BExUDEV0CYVO7Y5IQQBEJ6FUY9S6" localSheetId="19" hidden="1">#REF!</definedName>
    <definedName name="BExUDEV0CYVO7Y5IQQBEJ6FUY9S6" hidden="1">#REF!</definedName>
    <definedName name="BExUDWOXQGIZW0EAIIYLQUPXF8YV" localSheetId="19" hidden="1">#REF!</definedName>
    <definedName name="BExUDWOXQGIZW0EAIIYLQUPXF8YV" hidden="1">#REF!</definedName>
    <definedName name="BExUDXAIC17W1FUU8Z10XUAVB7CS" localSheetId="19" hidden="1">#REF!</definedName>
    <definedName name="BExUDXAIC17W1FUU8Z10XUAVB7CS" hidden="1">#REF!</definedName>
    <definedName name="BExUE5OMY7OAJQ9WR8C8HG311ORP" localSheetId="19" hidden="1">#REF!</definedName>
    <definedName name="BExUE5OMY7OAJQ9WR8C8HG311ORP" hidden="1">#REF!</definedName>
    <definedName name="BExUEBZ76MLA94L1R8NG6162LJJC" localSheetId="19" hidden="1">#REF!</definedName>
    <definedName name="BExUEBZ76MLA94L1R8NG6162LJJC" hidden="1">#REF!</definedName>
    <definedName name="BExUEFKOQWXXGRNLAOJV2BJ66UB8" localSheetId="19" hidden="1">#REF!</definedName>
    <definedName name="BExUEFKOQWXXGRNLAOJV2BJ66UB8" hidden="1">#REF!</definedName>
    <definedName name="BExUEJGX3OQQP5KFRJSRCZ70EI9V" localSheetId="19" hidden="1">#REF!</definedName>
    <definedName name="BExUEJGX3OQQP5KFRJSRCZ70EI9V" hidden="1">#REF!</definedName>
    <definedName name="BExUEYR71COFS2X8PDNU21IPMQEU" localSheetId="19" hidden="1">#REF!</definedName>
    <definedName name="BExUEYR71COFS2X8PDNU21IPMQEU" hidden="1">#REF!</definedName>
    <definedName name="BExVPRLJ9I6RX45EDVFSQGCPJSOK" localSheetId="19" hidden="1">#REF!</definedName>
    <definedName name="BExVPRLJ9I6RX45EDVFSQGCPJSOK" hidden="1">#REF!</definedName>
    <definedName name="BExVRQXGAYDXW65J1WQ66FUBU3MG" localSheetId="19" hidden="1">#REF!</definedName>
    <definedName name="BExVRQXGAYDXW65J1WQ66FUBU3MG" hidden="1">#REF!</definedName>
    <definedName name="BExVRT0Z04GVD2DWPCG83NW0VCB8" localSheetId="19" hidden="1">#REF!</definedName>
    <definedName name="BExVRT0Z04GVD2DWPCG83NW0VCB8" hidden="1">#REF!</definedName>
    <definedName name="BExVS6TC2D1M7WMNFJPY1Q5XO46F" localSheetId="19" hidden="1">#REF!</definedName>
    <definedName name="BExVS6TC2D1M7WMNFJPY1Q5XO46F" hidden="1">#REF!</definedName>
    <definedName name="BExVSL787C8E4HFQZ2NVLT35I2XV" localSheetId="19" hidden="1">#REF!</definedName>
    <definedName name="BExVSL787C8E4HFQZ2NVLT35I2XV" hidden="1">#REF!</definedName>
    <definedName name="BExVSP8QTS4AC4LXZ1NVOUOFOBPH" localSheetId="19" hidden="1">#REF!</definedName>
    <definedName name="BExVSP8QTS4AC4LXZ1NVOUOFOBPH" hidden="1">#REF!</definedName>
    <definedName name="BExVSTFTVV14SFGHQUOJL5SQ5TX9" localSheetId="19" hidden="1">#REF!</definedName>
    <definedName name="BExVSTFTVV14SFGHQUOJL5SQ5TX9" hidden="1">#REF!</definedName>
    <definedName name="BExVT3MPE8LQ5JFN3HQIFKSQ80U4" localSheetId="19" hidden="1">#REF!</definedName>
    <definedName name="BExVT3MPE8LQ5JFN3HQIFKSQ80U4" hidden="1">#REF!</definedName>
    <definedName name="BExVT7TRK3NZHPME2TFBXOF1WBR9" localSheetId="19" hidden="1">#REF!</definedName>
    <definedName name="BExVT7TRK3NZHPME2TFBXOF1WBR9" hidden="1">#REF!</definedName>
    <definedName name="BExVT9H0R0T7WGQAAC0HABMG54YM" localSheetId="19" hidden="1">#REF!</definedName>
    <definedName name="BExVT9H0R0T7WGQAAC0HABMG54YM" hidden="1">#REF!</definedName>
    <definedName name="BExVTCMDDEDGLUIMUU6BSFHEWTOP" localSheetId="19" hidden="1">#REF!</definedName>
    <definedName name="BExVTCMDDEDGLUIMUU6BSFHEWTOP" hidden="1">#REF!</definedName>
    <definedName name="BExVTCMDQMLKRA2NQR72XU6Y54IK" localSheetId="19" hidden="1">#REF!</definedName>
    <definedName name="BExVTCMDQMLKRA2NQR72XU6Y54IK" hidden="1">#REF!</definedName>
    <definedName name="BExVTCRV8FQ5U9OYWWL44N6KFNHU" localSheetId="19" hidden="1">#REF!</definedName>
    <definedName name="BExVTCRV8FQ5U9OYWWL44N6KFNHU" hidden="1">#REF!</definedName>
    <definedName name="BExVTNESHPVG0A0KZ7BRX26MS0PF" localSheetId="19" hidden="1">#REF!</definedName>
    <definedName name="BExVTNESHPVG0A0KZ7BRX26MS0PF" hidden="1">#REF!</definedName>
    <definedName name="BExVTTJVTNRSBHBTUZ78WG2JM5MK" localSheetId="19" hidden="1">#REF!</definedName>
    <definedName name="BExVTTJVTNRSBHBTUZ78WG2JM5MK" hidden="1">#REF!</definedName>
    <definedName name="BExVTXLMYR87BC04D1ERALPUFVPG" localSheetId="19" hidden="1">#REF!</definedName>
    <definedName name="BExVTXLMYR87BC04D1ERALPUFVPG" hidden="1">#REF!</definedName>
    <definedName name="BExVUEJ63CBM9VJMNW3RSE919GDN" localSheetId="19" hidden="1">#REF!</definedName>
    <definedName name="BExVUEJ63CBM9VJMNW3RSE919GDN" hidden="1">#REF!</definedName>
    <definedName name="BExVUKZ8B9WB4BOZ2U77BLN0FQMO" localSheetId="19" hidden="1">#REF!</definedName>
    <definedName name="BExVUKZ8B9WB4BOZ2U77BLN0FQMO" hidden="1">#REF!</definedName>
    <definedName name="BExVUL9V3H8ZF6Y72LQBBN639YAA" localSheetId="19" hidden="1">#REF!</definedName>
    <definedName name="BExVUL9V3H8ZF6Y72LQBBN639YAA" hidden="1">#REF!</definedName>
    <definedName name="BExVULFDJFCNRI6ITVSJ20MEQ4RF" localSheetId="19" hidden="1">#REF!</definedName>
    <definedName name="BExVULFDJFCNRI6ITVSJ20MEQ4RF" hidden="1">#REF!</definedName>
    <definedName name="BExVV5T14N2HZIK7HQ4P2KG09U0J" localSheetId="19" hidden="1">#REF!</definedName>
    <definedName name="BExVV5T14N2HZIK7HQ4P2KG09U0J" hidden="1">#REF!</definedName>
    <definedName name="BExVV7R410VYLADLX9LNG63ID6H1" localSheetId="19" hidden="1">#REF!</definedName>
    <definedName name="BExVV7R410VYLADLX9LNG63ID6H1" hidden="1">#REF!</definedName>
    <definedName name="BExVV7WJSYFYP74SNAXSODTGHMLZ" localSheetId="19" hidden="1">#REF!</definedName>
    <definedName name="BExVV7WJSYFYP74SNAXSODTGHMLZ" hidden="1">#REF!</definedName>
    <definedName name="BExVVCEED4JEKF59OV0G3T4XFMFO" localSheetId="19" hidden="1">#REF!</definedName>
    <definedName name="BExVVCEED4JEKF59OV0G3T4XFMFO" hidden="1">#REF!</definedName>
    <definedName name="BExVVNMYEAFCCP9QT0J8H252JWD9" localSheetId="19" hidden="1">'[38]10.08.5 - 2008 Capital - TDBU'!#REF!</definedName>
    <definedName name="BExVVNMYEAFCCP9QT0J8H252JWD9" hidden="1">'[38]10.08.5 - 2008 Capital - TDBU'!#REF!</definedName>
    <definedName name="BExVVPFO2J7FMSRPD36909HN4BZJ" localSheetId="14" hidden="1">#REF!</definedName>
    <definedName name="BExVVPFO2J7FMSRPD36909HN4BZJ" localSheetId="15" hidden="1">#REF!</definedName>
    <definedName name="BExVVPFO2J7FMSRPD36909HN4BZJ" localSheetId="16" hidden="1">#REF!</definedName>
    <definedName name="BExVVPFO2J7FMSRPD36909HN4BZJ" localSheetId="19" hidden="1">#REF!</definedName>
    <definedName name="BExVVPFO2J7FMSRPD36909HN4BZJ" hidden="1">#REF!</definedName>
    <definedName name="BExVVQ19AQ3VCARJOC38SF7OYE9Y" localSheetId="16" hidden="1">#REF!</definedName>
    <definedName name="BExVVQ19AQ3VCARJOC38SF7OYE9Y" localSheetId="19" hidden="1">#REF!</definedName>
    <definedName name="BExVVQ19AQ3VCARJOC38SF7OYE9Y" hidden="1">#REF!</definedName>
    <definedName name="BExVVQ19TAECID45CS4HXT1RD3AQ" localSheetId="16" hidden="1">#REF!</definedName>
    <definedName name="BExVVQ19TAECID45CS4HXT1RD3AQ" localSheetId="19" hidden="1">#REF!</definedName>
    <definedName name="BExVVQ19TAECID45CS4HXT1RD3AQ" hidden="1">#REF!</definedName>
    <definedName name="BExVW0Z6US3NTJHJDYWIZB98DPUY" localSheetId="16" hidden="1">'[38]10.08.3 - 2008 Expense - TDBU'!#REF!</definedName>
    <definedName name="BExVW0Z6US3NTJHJDYWIZB98DPUY" localSheetId="19" hidden="1">'[38]10.08.3 - 2008 Expense - TDBU'!#REF!</definedName>
    <definedName name="BExVW0Z6US3NTJHJDYWIZB98DPUY" hidden="1">'[38]10.08.3 - 2008 Expense - TDBU'!#REF!</definedName>
    <definedName name="BExVW1Q2P0JOW0VUQZZGZKEGMFKS" localSheetId="14" hidden="1">#REF!</definedName>
    <definedName name="BExVW1Q2P0JOW0VUQZZGZKEGMFKS" localSheetId="15" hidden="1">#REF!</definedName>
    <definedName name="BExVW1Q2P0JOW0VUQZZGZKEGMFKS" localSheetId="16" hidden="1">#REF!</definedName>
    <definedName name="BExVW1Q2P0JOW0VUQZZGZKEGMFKS" localSheetId="19" hidden="1">#REF!</definedName>
    <definedName name="BExVW1Q2P0JOW0VUQZZGZKEGMFKS" hidden="1">#REF!</definedName>
    <definedName name="BExVW3YV5XGIVJ97UUPDJGJ2P15B" localSheetId="16" hidden="1">#REF!</definedName>
    <definedName name="BExVW3YV5XGIVJ97UUPDJGJ2P15B" localSheetId="19" hidden="1">#REF!</definedName>
    <definedName name="BExVW3YV5XGIVJ97UUPDJGJ2P15B" hidden="1">#REF!</definedName>
    <definedName name="BExVW5X571GEYR5SCU1Z2DHKWM79" localSheetId="16" hidden="1">#REF!</definedName>
    <definedName name="BExVW5X571GEYR5SCU1Z2DHKWM79" localSheetId="19" hidden="1">#REF!</definedName>
    <definedName name="BExVW5X571GEYR5SCU1Z2DHKWM79" hidden="1">#REF!</definedName>
    <definedName name="BExVW6YTKA098AF57M4PHNQ54XMH" localSheetId="19" hidden="1">#REF!</definedName>
    <definedName name="BExVW6YTKA098AF57M4PHNQ54XMH" hidden="1">#REF!</definedName>
    <definedName name="BExVWINKCH0V0NUWH363SMXAZE62" localSheetId="19" hidden="1">#REF!</definedName>
    <definedName name="BExVWINKCH0V0NUWH363SMXAZE62" hidden="1">#REF!</definedName>
    <definedName name="BExVWTG1XJY59HT2TMMJM4S3G1YT" localSheetId="19" hidden="1">#REF!</definedName>
    <definedName name="BExVWTG1XJY59HT2TMMJM4S3G1YT" hidden="1">#REF!</definedName>
    <definedName name="BExVWYU8EK669NP172GEIGCTVPPA" localSheetId="19" hidden="1">#REF!</definedName>
    <definedName name="BExVWYU8EK669NP172GEIGCTVPPA" hidden="1">#REF!</definedName>
    <definedName name="BExVX3MVJ0GHWPP1EL59ZQNKMX0B" localSheetId="19" hidden="1">#REF!</definedName>
    <definedName name="BExVX3MVJ0GHWPP1EL59ZQNKMX0B" hidden="1">#REF!</definedName>
    <definedName name="BExVX3XN2DRJKL8EDBIG58RYQ36R" localSheetId="19" hidden="1">#REF!</definedName>
    <definedName name="BExVX3XN2DRJKL8EDBIG58RYQ36R" hidden="1">#REF!</definedName>
    <definedName name="BExVXDZ63PUART77BBR5SI63TPC6" localSheetId="19" hidden="1">#REF!</definedName>
    <definedName name="BExVXDZ63PUART77BBR5SI63TPC6" hidden="1">#REF!</definedName>
    <definedName name="BExVXHKI6LFYMGWISMPACMO247HL" localSheetId="19" hidden="1">#REF!</definedName>
    <definedName name="BExVXHKI6LFYMGWISMPACMO247HL" hidden="1">#REF!</definedName>
    <definedName name="BExVXL0O69U12CDKBFJOPW4R1P2N" localSheetId="19" hidden="1">#REF!</definedName>
    <definedName name="BExVXL0O69U12CDKBFJOPW4R1P2N" hidden="1">#REF!</definedName>
    <definedName name="BExVXLX2BZ5EF2X6R41BTKRJR1NM" localSheetId="19" hidden="1">#REF!</definedName>
    <definedName name="BExVXLX2BZ5EF2X6R41BTKRJR1NM" hidden="1">#REF!</definedName>
    <definedName name="BExVXTK9AEYZ4I2G1G36EB5LBSYN" localSheetId="19" hidden="1">#REF!</definedName>
    <definedName name="BExVXTK9AEYZ4I2G1G36EB5LBSYN" hidden="1">#REF!</definedName>
    <definedName name="BExVY11V7U1SAY4QKYE0PBSPD7LW" localSheetId="19" hidden="1">#REF!</definedName>
    <definedName name="BExVY11V7U1SAY4QKYE0PBSPD7LW" hidden="1">#REF!</definedName>
    <definedName name="BExVY1SV37DL5YU59HS4IG3VBCP4" localSheetId="19" hidden="1">#REF!</definedName>
    <definedName name="BExVY1SV37DL5YU59HS4IG3VBCP4" hidden="1">#REF!</definedName>
    <definedName name="BExVY3WFGJKSQA08UF9NCMST928Y" localSheetId="19" hidden="1">#REF!</definedName>
    <definedName name="BExVY3WFGJKSQA08UF9NCMST928Y" hidden="1">#REF!</definedName>
    <definedName name="BExVY954UOEVQEIC5OFO4NEWVKAQ" localSheetId="19" hidden="1">#REF!</definedName>
    <definedName name="BExVY954UOEVQEIC5OFO4NEWVKAQ" hidden="1">#REF!</definedName>
    <definedName name="BExVYDC7HTM8F61S3XN21YNDDND2" localSheetId="19" hidden="1">#REF!</definedName>
    <definedName name="BExVYDC7HTM8F61S3XN21YNDDND2" hidden="1">#REF!</definedName>
    <definedName name="BExVYFFR4A093PVY6PMSQTBJDM7M" localSheetId="19" hidden="1">#REF!</definedName>
    <definedName name="BExVYFFR4A093PVY6PMSQTBJDM7M" hidden="1">#REF!</definedName>
    <definedName name="BExVYFL875EZ1Y283MJDADGHT55S" localSheetId="19" hidden="1">'[38]10.08.2 - 2008 Expense'!#REF!</definedName>
    <definedName name="BExVYFL875EZ1Y283MJDADGHT55S" hidden="1">'[38]10.08.2 - 2008 Expense'!#REF!</definedName>
    <definedName name="BExVYHDYIV5397LC02V4FEP8VD6W" localSheetId="14" hidden="1">#REF!</definedName>
    <definedName name="BExVYHDYIV5397LC02V4FEP8VD6W" localSheetId="15" hidden="1">#REF!</definedName>
    <definedName name="BExVYHDYIV5397LC02V4FEP8VD6W" localSheetId="16" hidden="1">#REF!</definedName>
    <definedName name="BExVYHDYIV5397LC02V4FEP8VD6W" localSheetId="19" hidden="1">#REF!</definedName>
    <definedName name="BExVYHDYIV5397LC02V4FEP8VD6W" hidden="1">#REF!</definedName>
    <definedName name="BExVYJXKYUCSEU1BZ19KSB39VXMD" localSheetId="16" hidden="1">#REF!</definedName>
    <definedName name="BExVYJXKYUCSEU1BZ19KSB39VXMD" localSheetId="19" hidden="1">#REF!</definedName>
    <definedName name="BExVYJXKYUCSEU1BZ19KSB39VXMD" hidden="1">#REF!</definedName>
    <definedName name="BExVYOVIZDA18YIQ0A30Q052PCAK" localSheetId="16" hidden="1">#REF!</definedName>
    <definedName name="BExVYOVIZDA18YIQ0A30Q052PCAK" localSheetId="19" hidden="1">#REF!</definedName>
    <definedName name="BExVYOVIZDA18YIQ0A30Q052PCAK" hidden="1">#REF!</definedName>
    <definedName name="BExVYQIXPEM6J4JVP78BRHIC05PV" localSheetId="19" hidden="1">#REF!</definedName>
    <definedName name="BExVYQIXPEM6J4JVP78BRHIC05PV" hidden="1">#REF!</definedName>
    <definedName name="BExVYR9UQJ26G3DMTP1TIAG98DRS" localSheetId="19" hidden="1">#REF!</definedName>
    <definedName name="BExVYR9UQJ26G3DMTP1TIAG98DRS" hidden="1">#REF!</definedName>
    <definedName name="BExVYVGWN7SONLVDH9WJ2F1JS264" localSheetId="19" hidden="1">#REF!</definedName>
    <definedName name="BExVYVGWN7SONLVDH9WJ2F1JS264" hidden="1">#REF!</definedName>
    <definedName name="BExVZ9EO732IK6MNMG17Y1EFTJQC" localSheetId="19" hidden="1">#REF!</definedName>
    <definedName name="BExVZ9EO732IK6MNMG17Y1EFTJQC" hidden="1">#REF!</definedName>
    <definedName name="BExVZB1Y5J4UL2LKK0363EU7GIJ1" localSheetId="19" hidden="1">#REF!</definedName>
    <definedName name="BExVZB1Y5J4UL2LKK0363EU7GIJ1" hidden="1">#REF!</definedName>
    <definedName name="BExVZJQVO5LQ0BJH5JEN5NOBIAF6" localSheetId="19" hidden="1">#REF!</definedName>
    <definedName name="BExVZJQVO5LQ0BJH5JEN5NOBIAF6" hidden="1">#REF!</definedName>
    <definedName name="BExVZNXWS91RD7NXV5NE2R3C8WW7" localSheetId="19" hidden="1">#REF!</definedName>
    <definedName name="BExVZNXWS91RD7NXV5NE2R3C8WW7" hidden="1">#REF!</definedName>
    <definedName name="BExW0386REQRCQCVT9BCX80UPTRY" localSheetId="19" hidden="1">#REF!</definedName>
    <definedName name="BExW0386REQRCQCVT9BCX80UPTRY" hidden="1">#REF!</definedName>
    <definedName name="BExW05XB61VWY09SYF60QOK8TPYX" localSheetId="19" hidden="1">#REF!</definedName>
    <definedName name="BExW05XB61VWY09SYF60QOK8TPYX" hidden="1">#REF!</definedName>
    <definedName name="BExW06IWPRMJLGPZWY6KNMR28VMQ" localSheetId="19" hidden="1">'[38]10.08.5 - 2008 Capital - TDBU'!#REF!</definedName>
    <definedName name="BExW06IWPRMJLGPZWY6KNMR28VMQ" hidden="1">'[38]10.08.5 - 2008 Capital - TDBU'!#REF!</definedName>
    <definedName name="BExW08MEDLGNM5Z5KYW1HQXCBUR6" localSheetId="14" hidden="1">#REF!</definedName>
    <definedName name="BExW08MEDLGNM5Z5KYW1HQXCBUR6" localSheetId="15" hidden="1">#REF!</definedName>
    <definedName name="BExW08MEDLGNM5Z5KYW1HQXCBUR6" localSheetId="16" hidden="1">#REF!</definedName>
    <definedName name="BExW08MEDLGNM5Z5KYW1HQXCBUR6" localSheetId="19" hidden="1">#REF!</definedName>
    <definedName name="BExW08MEDLGNM5Z5KYW1HQXCBUR6" hidden="1">#REF!</definedName>
    <definedName name="BExW0CIO5SH0TQLZQ1VMKX3JZ7NW" localSheetId="16" hidden="1">#REF!</definedName>
    <definedName name="BExW0CIO5SH0TQLZQ1VMKX3JZ7NW" localSheetId="19" hidden="1">#REF!</definedName>
    <definedName name="BExW0CIO5SH0TQLZQ1VMKX3JZ7NW" hidden="1">#REF!</definedName>
    <definedName name="BExW0FYP4WXY71CYUG40SUBG9UWU" localSheetId="16" hidden="1">#REF!</definedName>
    <definedName name="BExW0FYP4WXY71CYUG40SUBG9UWU" localSheetId="19" hidden="1">#REF!</definedName>
    <definedName name="BExW0FYP4WXY71CYUG40SUBG9UWU" hidden="1">#REF!</definedName>
    <definedName name="BExW0RI61B4VV0ARXTFVBAWRA1C5" localSheetId="19" hidden="1">#REF!</definedName>
    <definedName name="BExW0RI61B4VV0ARXTFVBAWRA1C5" hidden="1">#REF!</definedName>
    <definedName name="BExW0VZZ6WSKCTPUWLYP7VEYJM10" localSheetId="19" hidden="1">#REF!</definedName>
    <definedName name="BExW0VZZ6WSKCTPUWLYP7VEYJM10" hidden="1">#REF!</definedName>
    <definedName name="BExW0ZFYUNZUIMD4ETNZWCS9T0CT" localSheetId="19" hidden="1">#REF!</definedName>
    <definedName name="BExW0ZFYUNZUIMD4ETNZWCS9T0CT" hidden="1">#REF!</definedName>
    <definedName name="BExW1BVUYQTKMOR56MW7RVRX4L1L" localSheetId="19" hidden="1">#REF!</definedName>
    <definedName name="BExW1BVUYQTKMOR56MW7RVRX4L1L" hidden="1">#REF!</definedName>
    <definedName name="BExW1F1220628FOMTW5UAATHRJHK" localSheetId="19" hidden="1">#REF!</definedName>
    <definedName name="BExW1F1220628FOMTW5UAATHRJHK" hidden="1">#REF!</definedName>
    <definedName name="BExW1K4I0JZH96X4HFQY6YAMIG60" localSheetId="19" hidden="1">#REF!</definedName>
    <definedName name="BExW1K4I0JZH96X4HFQY6YAMIG60" hidden="1">#REF!</definedName>
    <definedName name="BExW1TKA0Z9OP2DTG50GZR5EG8C7" localSheetId="19" hidden="1">#REF!</definedName>
    <definedName name="BExW1TKA0Z9OP2DTG50GZR5EG8C7" hidden="1">#REF!</definedName>
    <definedName name="BExW1U0JLKQ094DW5MMOI8UHO09V" localSheetId="19" hidden="1">#REF!</definedName>
    <definedName name="BExW1U0JLKQ094DW5MMOI8UHO09V" hidden="1">#REF!</definedName>
    <definedName name="BExW1WUZ349YPJVAKCEJO07L4NFW" localSheetId="19" hidden="1">#REF!</definedName>
    <definedName name="BExW1WUZ349YPJVAKCEJO07L4NFW" hidden="1">#REF!</definedName>
    <definedName name="BExW21T2WD1YDR47I9BWVRGJZMKW" localSheetId="19" hidden="1">'[38]10.08.3 - 2008 Expense - TDBU'!#REF!</definedName>
    <definedName name="BExW21T2WD1YDR47I9BWVRGJZMKW" hidden="1">'[38]10.08.3 - 2008 Expense - TDBU'!#REF!</definedName>
    <definedName name="BExW24NI0GQA13RVEGFK7ISS512B" localSheetId="14" hidden="1">#REF!</definedName>
    <definedName name="BExW24NI0GQA13RVEGFK7ISS512B" localSheetId="15" hidden="1">#REF!</definedName>
    <definedName name="BExW24NI0GQA13RVEGFK7ISS512B" localSheetId="16" hidden="1">#REF!</definedName>
    <definedName name="BExW24NI0GQA13RVEGFK7ISS512B" localSheetId="19" hidden="1">#REF!</definedName>
    <definedName name="BExW24NI0GQA13RVEGFK7ISS512B" hidden="1">#REF!</definedName>
    <definedName name="BExW283NP9D366XFPXLGSCI5UB0L" localSheetId="16" hidden="1">#REF!</definedName>
    <definedName name="BExW283NP9D366XFPXLGSCI5UB0L" localSheetId="19" hidden="1">#REF!</definedName>
    <definedName name="BExW283NP9D366XFPXLGSCI5UB0L" hidden="1">#REF!</definedName>
    <definedName name="BExW2F54PEPPIGMV5I4XLXMKJOTG" localSheetId="16" hidden="1">#REF!</definedName>
    <definedName name="BExW2F54PEPPIGMV5I4XLXMKJOTG" localSheetId="19" hidden="1">#REF!</definedName>
    <definedName name="BExW2F54PEPPIGMV5I4XLXMKJOTG" hidden="1">#REF!</definedName>
    <definedName name="BExW2H3C8WJSBW5FGTFKVDVJC4CL" localSheetId="19" hidden="1">#REF!</definedName>
    <definedName name="BExW2H3C8WJSBW5FGTFKVDVJC4CL" hidden="1">#REF!</definedName>
    <definedName name="BExW2MSCKPGF5K3I7TL4KF5ISUOL" localSheetId="19" hidden="1">#REF!</definedName>
    <definedName name="BExW2MSCKPGF5K3I7TL4KF5ISUOL" hidden="1">#REF!</definedName>
    <definedName name="BExW2SMO90FU9W8DVVES6Q4E6BZR" localSheetId="19" hidden="1">#REF!</definedName>
    <definedName name="BExW2SMO90FU9W8DVVES6Q4E6BZR" hidden="1">#REF!</definedName>
    <definedName name="BExW2V0ZEMESP2BVDJGZFBJOIOIQ" localSheetId="19" hidden="1">'[38]10.08.5 - 2008 Capital - TDBU'!#REF!</definedName>
    <definedName name="BExW2V0ZEMESP2BVDJGZFBJOIOIQ" hidden="1">'[38]10.08.5 - 2008 Capital - TDBU'!#REF!</definedName>
    <definedName name="BExW36V9N91OHCUMGWJQL3I5P4JK" localSheetId="14" hidden="1">#REF!</definedName>
    <definedName name="BExW36V9N91OHCUMGWJQL3I5P4JK" localSheetId="15" hidden="1">#REF!</definedName>
    <definedName name="BExW36V9N91OHCUMGWJQL3I5P4JK" localSheetId="16" hidden="1">#REF!</definedName>
    <definedName name="BExW36V9N91OHCUMGWJQL3I5P4JK" localSheetId="19" hidden="1">#REF!</definedName>
    <definedName name="BExW36V9N91OHCUMGWJQL3I5P4JK" hidden="1">#REF!</definedName>
    <definedName name="BExW3EIBA1J9Q9NA9VCGZGRS8WV7" localSheetId="16" hidden="1">#REF!</definedName>
    <definedName name="BExW3EIBA1J9Q9NA9VCGZGRS8WV7" localSheetId="19" hidden="1">#REF!</definedName>
    <definedName name="BExW3EIBA1J9Q9NA9VCGZGRS8WV7" hidden="1">#REF!</definedName>
    <definedName name="BExW3FEO8FI8N6AGQKYEG4SQVJWB" localSheetId="16" hidden="1">#REF!</definedName>
    <definedName name="BExW3FEO8FI8N6AGQKYEG4SQVJWB" localSheetId="19" hidden="1">#REF!</definedName>
    <definedName name="BExW3FEO8FI8N6AGQKYEG4SQVJWB" hidden="1">#REF!</definedName>
    <definedName name="BExW3GB28STOMJUSZEIA7YKYNS4Y" localSheetId="19" hidden="1">#REF!</definedName>
    <definedName name="BExW3GB28STOMJUSZEIA7YKYNS4Y" hidden="1">#REF!</definedName>
    <definedName name="BExW3T1K638HT5E0Y8MMK108P5JT" localSheetId="19" hidden="1">#REF!</definedName>
    <definedName name="BExW3T1K638HT5E0Y8MMK108P5JT" hidden="1">#REF!</definedName>
    <definedName name="BExW4217ZHL9VO39POSTJOD090WU" localSheetId="19" hidden="1">#REF!</definedName>
    <definedName name="BExW4217ZHL9VO39POSTJOD090WU" hidden="1">#REF!</definedName>
    <definedName name="BExW4GPW71EBF8XPS2QGVQHBCDX3" localSheetId="19" hidden="1">#REF!</definedName>
    <definedName name="BExW4GPW71EBF8XPS2QGVQHBCDX3" hidden="1">#REF!</definedName>
    <definedName name="BExW4JKC5837JBPCOJV337ZVYYY3" localSheetId="19" hidden="1">#REF!</definedName>
    <definedName name="BExW4JKC5837JBPCOJV337ZVYYY3" hidden="1">#REF!</definedName>
    <definedName name="BExW4MPQ2JLA196HW39IPT3Q6JVK" localSheetId="19" hidden="1">#REF!</definedName>
    <definedName name="BExW4MPQ2JLA196HW39IPT3Q6JVK" hidden="1">#REF!</definedName>
    <definedName name="BExW4MV5UH4OKNB95Q2AO7LFASBP" localSheetId="19" hidden="1">#REF!</definedName>
    <definedName name="BExW4MV5UH4OKNB95Q2AO7LFASBP" hidden="1">#REF!</definedName>
    <definedName name="BExW4QR9FV9MP5K610THBSM51RYO" localSheetId="19" hidden="1">#REF!</definedName>
    <definedName name="BExW4QR9FV9MP5K610THBSM51RYO" hidden="1">#REF!</definedName>
    <definedName name="BExW4T5M43NPIJS54VL6SZAENBOE" localSheetId="19" hidden="1">#REF!</definedName>
    <definedName name="BExW4T5M43NPIJS54VL6SZAENBOE" hidden="1">#REF!</definedName>
    <definedName name="BExW4Z029R9E19ZENN3WEA3VDAD1" localSheetId="19" hidden="1">#REF!</definedName>
    <definedName name="BExW4Z029R9E19ZENN3WEA3VDAD1" hidden="1">#REF!</definedName>
    <definedName name="BExW51EDOYXJBXR5AFJCYTA7JI06" localSheetId="19" hidden="1">#REF!</definedName>
    <definedName name="BExW51EDOYXJBXR5AFJCYTA7JI06" hidden="1">#REF!</definedName>
    <definedName name="BExW5AZNT6IAZGNF2C879ODHY1B8" localSheetId="19" hidden="1">#REF!</definedName>
    <definedName name="BExW5AZNT6IAZGNF2C879ODHY1B8" hidden="1">#REF!</definedName>
    <definedName name="BExW5VTHC5GDYD5M9B4Q0FUY7OBA" localSheetId="19" hidden="1">#REF!</definedName>
    <definedName name="BExW5VTHC5GDYD5M9B4Q0FUY7OBA" hidden="1">#REF!</definedName>
    <definedName name="BExW5W48S3UI5UJMSXULAD20EMCG" localSheetId="19" hidden="1">#REF!</definedName>
    <definedName name="BExW5W48S3UI5UJMSXULAD20EMCG" hidden="1">#REF!</definedName>
    <definedName name="BExW5WPU27WD4NWZOT0ZEJIDLX5J" localSheetId="19" hidden="1">#REF!</definedName>
    <definedName name="BExW5WPU27WD4NWZOT0ZEJIDLX5J" hidden="1">#REF!</definedName>
    <definedName name="BExW5YYNT0AJF2AFS43IFCHR7WQQ" localSheetId="19" hidden="1">'[38]10.08.2 - 2008 Expense'!#REF!</definedName>
    <definedName name="BExW5YYNT0AJF2AFS43IFCHR7WQQ" hidden="1">'[38]10.08.2 - 2008 Expense'!#REF!</definedName>
    <definedName name="BExW660AV1TUV2XNUPD65RZR3QOO" localSheetId="14" hidden="1">#REF!</definedName>
    <definedName name="BExW660AV1TUV2XNUPD65RZR3QOO" localSheetId="15" hidden="1">#REF!</definedName>
    <definedName name="BExW660AV1TUV2XNUPD65RZR3QOO" localSheetId="16" hidden="1">#REF!</definedName>
    <definedName name="BExW660AV1TUV2XNUPD65RZR3QOO" localSheetId="19" hidden="1">#REF!</definedName>
    <definedName name="BExW660AV1TUV2XNUPD65RZR3QOO" hidden="1">#REF!</definedName>
    <definedName name="BExW66LVVZK656PQY1257QMHP2AY" localSheetId="16" hidden="1">#REF!</definedName>
    <definedName name="BExW66LVVZK656PQY1257QMHP2AY" localSheetId="19" hidden="1">#REF!</definedName>
    <definedName name="BExW66LVVZK656PQY1257QMHP2AY" hidden="1">#REF!</definedName>
    <definedName name="BExW6EJPHAP1TWT380AZLXNHR22P" localSheetId="16" hidden="1">#REF!</definedName>
    <definedName name="BExW6EJPHAP1TWT380AZLXNHR22P" localSheetId="19" hidden="1">#REF!</definedName>
    <definedName name="BExW6EJPHAP1TWT380AZLXNHR22P" hidden="1">#REF!</definedName>
    <definedName name="BExW6G1PJ38H10DVLL8WPQ736OEB" localSheetId="19" hidden="1">#REF!</definedName>
    <definedName name="BExW6G1PJ38H10DVLL8WPQ736OEB" hidden="1">#REF!</definedName>
    <definedName name="BExW6TU0OMFLMCB6EWBOQSGHUMX5" localSheetId="19" hidden="1">#REF!</definedName>
    <definedName name="BExW6TU0OMFLMCB6EWBOQSGHUMX5" hidden="1">#REF!</definedName>
    <definedName name="BExW6VBYODJKTS0FMZ47EQS9FUF2" localSheetId="19" hidden="1">#REF!</definedName>
    <definedName name="BExW6VBYODJKTS0FMZ47EQS9FUF2" hidden="1">#REF!</definedName>
    <definedName name="BExW6WZDUEZS3JDTHC8X310LL1OU" localSheetId="19" hidden="1">#REF!</definedName>
    <definedName name="BExW6WZDUEZS3JDTHC8X310LL1OU" hidden="1">#REF!</definedName>
    <definedName name="BExW76F60TD8OIAVEJQE3MX4PLDY" localSheetId="19" hidden="1">#REF!</definedName>
    <definedName name="BExW76F60TD8OIAVEJQE3MX4PLDY" hidden="1">#REF!</definedName>
    <definedName name="BExW782GMQD1F9JJSPQU5QT2TWON" localSheetId="19" hidden="1">#REF!</definedName>
    <definedName name="BExW782GMQD1F9JJSPQU5QT2TWON" hidden="1">#REF!</definedName>
    <definedName name="BExW794A74Z5F2K8LVQLD6VSKXUE" localSheetId="19" hidden="1">#REF!</definedName>
    <definedName name="BExW794A74Z5F2K8LVQLD6VSKXUE" hidden="1">#REF!</definedName>
    <definedName name="BExW7DBCHP0SWYSW2RKLS8IBPCVS" localSheetId="19" hidden="1">#REF!</definedName>
    <definedName name="BExW7DBCHP0SWYSW2RKLS8IBPCVS" hidden="1">#REF!</definedName>
    <definedName name="BExW7S00X50K2O0H0GL7P3JROGG6" localSheetId="19" hidden="1">#REF!</definedName>
    <definedName name="BExW7S00X50K2O0H0GL7P3JROGG6" hidden="1">#REF!</definedName>
    <definedName name="BExW81FSTXQA1A81CD1MVDX6257O" localSheetId="19" hidden="1">#REF!</definedName>
    <definedName name="BExW81FSTXQA1A81CD1MVDX6257O" hidden="1">#REF!</definedName>
    <definedName name="BExW82C756R4HC5DTN5Z29F0D3QO" localSheetId="19" hidden="1">'[38]10.08.3 - 2008 Expense - TDBU'!#REF!</definedName>
    <definedName name="BExW82C756R4HC5DTN5Z29F0D3QO" hidden="1">'[38]10.08.3 - 2008 Expense - TDBU'!#REF!</definedName>
    <definedName name="BExW87VVJSJLAJQQHUHH974N4MAO" localSheetId="14" hidden="1">#REF!</definedName>
    <definedName name="BExW87VVJSJLAJQQHUHH974N4MAO" localSheetId="15" hidden="1">#REF!</definedName>
    <definedName name="BExW87VVJSJLAJQQHUHH974N4MAO" localSheetId="16" hidden="1">#REF!</definedName>
    <definedName name="BExW87VVJSJLAJQQHUHH974N4MAO" localSheetId="19" hidden="1">#REF!</definedName>
    <definedName name="BExW87VVJSJLAJQQHUHH974N4MAO" hidden="1">#REF!</definedName>
    <definedName name="BExW8COJI4803WMVPHGL8240OBIU" localSheetId="16" hidden="1">#REF!</definedName>
    <definedName name="BExW8COJI4803WMVPHGL8240OBIU" localSheetId="19" hidden="1">#REF!</definedName>
    <definedName name="BExW8COJI4803WMVPHGL8240OBIU" hidden="1">#REF!</definedName>
    <definedName name="BExW8K0SSIPSKBVP06IJ71600HJZ" localSheetId="16" hidden="1">#REF!</definedName>
    <definedName name="BExW8K0SSIPSKBVP06IJ71600HJZ" localSheetId="19" hidden="1">#REF!</definedName>
    <definedName name="BExW8K0SSIPSKBVP06IJ71600HJZ" hidden="1">#REF!</definedName>
    <definedName name="BExW8NM8DJJESE7GF7VGTO2XO6P1" localSheetId="19" hidden="1">#REF!</definedName>
    <definedName name="BExW8NM8DJJESE7GF7VGTO2XO6P1" hidden="1">#REF!</definedName>
    <definedName name="BExW8P9O4HQC1Y372I0HCCBVKNTO" localSheetId="19" hidden="1">#REF!</definedName>
    <definedName name="BExW8P9O4HQC1Y372I0HCCBVKNTO" hidden="1">#REF!</definedName>
    <definedName name="BExW8T0GVY3ZYO4ACSBLHS8SH895" localSheetId="19" hidden="1">#REF!</definedName>
    <definedName name="BExW8T0GVY3ZYO4ACSBLHS8SH895" hidden="1">#REF!</definedName>
    <definedName name="BExW8YEP73JMMU9HZ08PM4WHJQZ4" localSheetId="19" hidden="1">#REF!</definedName>
    <definedName name="BExW8YEP73JMMU9HZ08PM4WHJQZ4" hidden="1">#REF!</definedName>
    <definedName name="BExW937AT53OZQRHNWQZ5BVH24IE" localSheetId="19" hidden="1">#REF!</definedName>
    <definedName name="BExW937AT53OZQRHNWQZ5BVH24IE" hidden="1">#REF!</definedName>
    <definedName name="BExW95LN5N0LYFFVP7GJEGDVDLF0" localSheetId="19" hidden="1">#REF!</definedName>
    <definedName name="BExW95LN5N0LYFFVP7GJEGDVDLF0" hidden="1">#REF!</definedName>
    <definedName name="BExW967733Q8RAJOHR2GJ3HO8JIW" localSheetId="19" hidden="1">#REF!</definedName>
    <definedName name="BExW967733Q8RAJOHR2GJ3HO8JIW" hidden="1">#REF!</definedName>
    <definedName name="BExW9OHD0PA2FFDEECR0C4SFBRVS" localSheetId="19" hidden="1">#REF!</definedName>
    <definedName name="BExW9OHD0PA2FFDEECR0C4SFBRVS" hidden="1">#REF!</definedName>
    <definedName name="BExW9POK1KIOI0ALS5MZIKTDIYMA" localSheetId="19" hidden="1">#REF!</definedName>
    <definedName name="BExW9POK1KIOI0ALS5MZIKTDIYMA" hidden="1">#REF!</definedName>
    <definedName name="BExW9TVLB7OIHTG98I7I4EXBL61S" localSheetId="19" hidden="1">#REF!</definedName>
    <definedName name="BExW9TVLB7OIHTG98I7I4EXBL61S" hidden="1">#REF!</definedName>
    <definedName name="BExXL0I7INHGEJWJ97OQTEJKJUBR" localSheetId="19" hidden="1">#REF!</definedName>
    <definedName name="BExXL0I7INHGEJWJ97OQTEJKJUBR" hidden="1">#REF!</definedName>
    <definedName name="BExXLDE6PN4ESWT3LXJNQCY94NE4" localSheetId="19" hidden="1">#REF!</definedName>
    <definedName name="BExXLDE6PN4ESWT3LXJNQCY94NE4" hidden="1">#REF!</definedName>
    <definedName name="BExXLQVPK2H3IF0NDDA5CT612EUK" localSheetId="19" hidden="1">#REF!</definedName>
    <definedName name="BExXLQVPK2H3IF0NDDA5CT612EUK" hidden="1">#REF!</definedName>
    <definedName name="BExXLR6IO70TYTACKQH9M5PGV24J" localSheetId="19" hidden="1">#REF!</definedName>
    <definedName name="BExXLR6IO70TYTACKQH9M5PGV24J" hidden="1">#REF!</definedName>
    <definedName name="BExXM065WOLYRYHGHOJE0OOFXA4M" localSheetId="19" hidden="1">#REF!</definedName>
    <definedName name="BExXM065WOLYRYHGHOJE0OOFXA4M" hidden="1">#REF!</definedName>
    <definedName name="BExXM3GUNXVDM82KUR17NNUMQCNI" localSheetId="19" hidden="1">#REF!</definedName>
    <definedName name="BExXM3GUNXVDM82KUR17NNUMQCNI" hidden="1">#REF!</definedName>
    <definedName name="BExXMA28M8SH7MKIGETSDA72WUIZ" localSheetId="19" hidden="1">#REF!</definedName>
    <definedName name="BExXMA28M8SH7MKIGETSDA72WUIZ" hidden="1">#REF!</definedName>
    <definedName name="BExXMOLHIAHDLFSA31PUB36SC3I9" localSheetId="19" hidden="1">#REF!</definedName>
    <definedName name="BExXMOLHIAHDLFSA31PUB36SC3I9" hidden="1">#REF!</definedName>
    <definedName name="BExXMT8T5Z3M2JBQN65X2LKH0YQI" localSheetId="19" hidden="1">#REF!</definedName>
    <definedName name="BExXMT8T5Z3M2JBQN65X2LKH0YQI" hidden="1">#REF!</definedName>
    <definedName name="BExXN1XNO7H60M9X1E7EVWFJDM5N" localSheetId="19" hidden="1">#REF!</definedName>
    <definedName name="BExXN1XNO7H60M9X1E7EVWFJDM5N" hidden="1">#REF!</definedName>
    <definedName name="BExXN22ZOTIW49GPLWFYKVM90FNZ" localSheetId="19" hidden="1">#REF!</definedName>
    <definedName name="BExXN22ZOTIW49GPLWFYKVM90FNZ" hidden="1">#REF!</definedName>
    <definedName name="BExXN4C031W9DK73MJHKL8YT1QA8" localSheetId="19" hidden="1">#REF!</definedName>
    <definedName name="BExXN4C031W9DK73MJHKL8YT1QA8" hidden="1">#REF!</definedName>
    <definedName name="BExXN6QAP8UJQVN4R4BQKPP4QK35" localSheetId="19" hidden="1">#REF!</definedName>
    <definedName name="BExXN6QAP8UJQVN4R4BQKPP4QK35" hidden="1">#REF!</definedName>
    <definedName name="BExXNBOA39T2X6Y5Y5GZ5DDNA1AX" localSheetId="19" hidden="1">#REF!</definedName>
    <definedName name="BExXNBOA39T2X6Y5Y5GZ5DDNA1AX" hidden="1">#REF!</definedName>
    <definedName name="BExXNCVFNFROM6X4XZABZ1M55JVL" localSheetId="19" hidden="1">#REF!</definedName>
    <definedName name="BExXNCVFNFROM6X4XZABZ1M55JVL" hidden="1">#REF!</definedName>
    <definedName name="BExXND6872VJ3M2PGT056WQMWBHD" localSheetId="19" hidden="1">#REF!</definedName>
    <definedName name="BExXND6872VJ3M2PGT056WQMWBHD" hidden="1">#REF!</definedName>
    <definedName name="BExXNPM24UN2PGVL9D1TUBFRIKR4" localSheetId="19" hidden="1">#REF!</definedName>
    <definedName name="BExXNPM24UN2PGVL9D1TUBFRIKR4" hidden="1">#REF!</definedName>
    <definedName name="BExXNWYB165VO9MHARCL5WLCHWS0" localSheetId="19" hidden="1">#REF!</definedName>
    <definedName name="BExXNWYB165VO9MHARCL5WLCHWS0" hidden="1">#REF!</definedName>
    <definedName name="BExXNYLR0NNRQQBQ09OAWL5SFA2P" localSheetId="19" hidden="1">#REF!</definedName>
    <definedName name="BExXNYLR0NNRQQBQ09OAWL5SFA2P" hidden="1">#REF!</definedName>
    <definedName name="BExXO278QHQN8JDK5425EJ615ECC" localSheetId="19" hidden="1">#REF!</definedName>
    <definedName name="BExXO278QHQN8JDK5425EJ615ECC" hidden="1">#REF!</definedName>
    <definedName name="BExXO574BHMI9HN803IPJ8B00ZQ1" localSheetId="19" hidden="1">#REF!</definedName>
    <definedName name="BExXO574BHMI9HN803IPJ8B00ZQ1" hidden="1">#REF!</definedName>
    <definedName name="BExXO81JZ0ARONLA93VY8VLBDM3Z" localSheetId="19" hidden="1">#REF!</definedName>
    <definedName name="BExXO81JZ0ARONLA93VY8VLBDM3Z" hidden="1">#REF!</definedName>
    <definedName name="BExXOBHOP0WGFHI2Y9AO4L440UVQ" localSheetId="19" hidden="1">#REF!</definedName>
    <definedName name="BExXOBHOP0WGFHI2Y9AO4L440UVQ" hidden="1">#REF!</definedName>
    <definedName name="BExXOHSAD2NSHOLLMZ2JWA4I3I1R" localSheetId="19" hidden="1">#REF!</definedName>
    <definedName name="BExXOHSAD2NSHOLLMZ2JWA4I3I1R" hidden="1">#REF!</definedName>
    <definedName name="BExXOIDP4V2QCBHG5KQQO9VT0HDH" localSheetId="19" hidden="1">#REF!</definedName>
    <definedName name="BExXOIDP4V2QCBHG5KQQO9VT0HDH" hidden="1">#REF!</definedName>
    <definedName name="BExXOMQ7TBU2AJ03HNGNVCK9S4VM" localSheetId="19" hidden="1">#REF!</definedName>
    <definedName name="BExXOMQ7TBU2AJ03HNGNVCK9S4VM" hidden="1">#REF!</definedName>
    <definedName name="BExXP49C9Y3U7LWFBFCQSE4WPWHA" localSheetId="19" hidden="1">#REF!</definedName>
    <definedName name="BExXP49C9Y3U7LWFBFCQSE4WPWHA" hidden="1">#REF!</definedName>
    <definedName name="BExXP80B5FGA00JCM7UXKPI3PB7Y" localSheetId="19" hidden="1">#REF!</definedName>
    <definedName name="BExXP80B5FGA00JCM7UXKPI3PB7Y" hidden="1">#REF!</definedName>
    <definedName name="BExXP85M4WXYVN1UVHUTOEKEG5XS" localSheetId="19" hidden="1">#REF!</definedName>
    <definedName name="BExXP85M4WXYVN1UVHUTOEKEG5XS" hidden="1">#REF!</definedName>
    <definedName name="BExXPELOTHOAG0OWILLAH94OZV5J" localSheetId="19" hidden="1">#REF!</definedName>
    <definedName name="BExXPELOTHOAG0OWILLAH94OZV5J" hidden="1">#REF!</definedName>
    <definedName name="BExXPEWH9AJE234H90KL5ICZZ0IS" localSheetId="19" hidden="1">#REF!</definedName>
    <definedName name="BExXPEWH9AJE234H90KL5ICZZ0IS" hidden="1">#REF!</definedName>
    <definedName name="BExXPS31W1VD2NMIE4E37LHVDF0L" localSheetId="19" hidden="1">#REF!</definedName>
    <definedName name="BExXPS31W1VD2NMIE4E37LHVDF0L" hidden="1">#REF!</definedName>
    <definedName name="BExXPZKYEMVF5JOC14HYOOYQK6JK" localSheetId="19" hidden="1">#REF!</definedName>
    <definedName name="BExXPZKYEMVF5JOC14HYOOYQK6JK" hidden="1">#REF!</definedName>
    <definedName name="BExXQ12Q21G0KAAP7BK68KNBBDMH" localSheetId="19" hidden="1">#REF!</definedName>
    <definedName name="BExXQ12Q21G0KAAP7BK68KNBBDMH" hidden="1">#REF!</definedName>
    <definedName name="BExXQ72J3O85VF3MRWYM7RCY6B7A" localSheetId="19" hidden="1">#REF!</definedName>
    <definedName name="BExXQ72J3O85VF3MRWYM7RCY6B7A" hidden="1">#REF!</definedName>
    <definedName name="BExXQ89PA10X79WBWOEP1AJX1OQM" localSheetId="19" hidden="1">#REF!</definedName>
    <definedName name="BExXQ89PA10X79WBWOEP1AJX1OQM" hidden="1">#REF!</definedName>
    <definedName name="BExXQCGQGGYSI0LTRVR73MUO50AW" localSheetId="19" hidden="1">#REF!</definedName>
    <definedName name="BExXQCGQGGYSI0LTRVR73MUO50AW" hidden="1">#REF!</definedName>
    <definedName name="BExXQD2B3434GXJT0U2OVW30R5K6" localSheetId="19" hidden="1">#REF!</definedName>
    <definedName name="BExXQD2B3434GXJT0U2OVW30R5K6" hidden="1">#REF!</definedName>
    <definedName name="BExXQEEXFHDQ8DSRAJSB5ET6J004" localSheetId="19" hidden="1">#REF!</definedName>
    <definedName name="BExXQEEXFHDQ8DSRAJSB5ET6J004" hidden="1">#REF!</definedName>
    <definedName name="BExXQH41O5HZAH8BO6HCFY8YC3TU" localSheetId="19" hidden="1">#REF!</definedName>
    <definedName name="BExXQH41O5HZAH8BO6HCFY8YC3TU" hidden="1">#REF!</definedName>
    <definedName name="BExXQIRBLQSLAJTFL7224FCFUTKH" localSheetId="19" hidden="1">#REF!</definedName>
    <definedName name="BExXQIRBLQSLAJTFL7224FCFUTKH" hidden="1">#REF!</definedName>
    <definedName name="BExXQJIEF5R3QQ6D8HO3NGPU0IQC" localSheetId="19" hidden="1">#REF!</definedName>
    <definedName name="BExXQJIEF5R3QQ6D8HO3NGPU0IQC" hidden="1">#REF!</definedName>
    <definedName name="BExXQU00K9ER4I1WM7T9J0W1E7ZC" localSheetId="19" hidden="1">#REF!</definedName>
    <definedName name="BExXQU00K9ER4I1WM7T9J0W1E7ZC" hidden="1">#REF!</definedName>
    <definedName name="BExXQU00KOR7XLM8B13DGJ1MIQDY" localSheetId="19" hidden="1">#REF!</definedName>
    <definedName name="BExXQU00KOR7XLM8B13DGJ1MIQDY" hidden="1">#REF!</definedName>
    <definedName name="BExXQXG18PS8HGBOS03OSTQ0KEYC" localSheetId="19" hidden="1">#REF!</definedName>
    <definedName name="BExXQXG18PS8HGBOS03OSTQ0KEYC" hidden="1">#REF!</definedName>
    <definedName name="BExXQXQT4OAFQT5B0YB3USDJOJOB" localSheetId="19" hidden="1">#REF!</definedName>
    <definedName name="BExXQXQT4OAFQT5B0YB3USDJOJOB" hidden="1">#REF!</definedName>
    <definedName name="BExXR3FSEXAHSXEQNJORWFCPX86N" localSheetId="19" hidden="1">#REF!</definedName>
    <definedName name="BExXR3FSEXAHSXEQNJORWFCPX86N" hidden="1">#REF!</definedName>
    <definedName name="BExXR3W3FKYQBLR299HO9RZ70C43" localSheetId="19" hidden="1">#REF!</definedName>
    <definedName name="BExXR3W3FKYQBLR299HO9RZ70C43" hidden="1">#REF!</definedName>
    <definedName name="BExXR46U23CRRBV6IZT982MAEQKI" localSheetId="19" hidden="1">#REF!</definedName>
    <definedName name="BExXR46U23CRRBV6IZT982MAEQKI" hidden="1">#REF!</definedName>
    <definedName name="BExXR8OKAVX7O70V5IYG2PRKXSTI" localSheetId="19" hidden="1">#REF!</definedName>
    <definedName name="BExXR8OKAVX7O70V5IYG2PRKXSTI" hidden="1">#REF!</definedName>
    <definedName name="BExXRA6N6XCLQM6XDV724ZIH6G93" localSheetId="19" hidden="1">#REF!</definedName>
    <definedName name="BExXRA6N6XCLQM6XDV724ZIH6G93" hidden="1">#REF!</definedName>
    <definedName name="BExXRABZ1CNKCG6K1MR6OUFHF7J9" localSheetId="19" hidden="1">#REF!</definedName>
    <definedName name="BExXRABZ1CNKCG6K1MR6OUFHF7J9" hidden="1">#REF!</definedName>
    <definedName name="BExXRBOFETC0OTJ6WY3VPMFH03VB" localSheetId="19" hidden="1">#REF!</definedName>
    <definedName name="BExXRBOFETC0OTJ6WY3VPMFH03VB" hidden="1">#REF!</definedName>
    <definedName name="BExXRD13K1S9Y3JGR7CXSONT7RJZ" localSheetId="19" hidden="1">#REF!</definedName>
    <definedName name="BExXRD13K1S9Y3JGR7CXSONT7RJZ" hidden="1">#REF!</definedName>
    <definedName name="BExXRIFB4QQ87QIGA9AG0NXP577K" localSheetId="19" hidden="1">#REF!</definedName>
    <definedName name="BExXRIFB4QQ87QIGA9AG0NXP577K" hidden="1">#REF!</definedName>
    <definedName name="BExXRIQ2JF2CVTRDQX2D9SPH7FTN" localSheetId="19" hidden="1">#REF!</definedName>
    <definedName name="BExXRIQ2JF2CVTRDQX2D9SPH7FTN" hidden="1">#REF!</definedName>
    <definedName name="BExXRL4ETKGR5B08IWLV5UKWS07Z" localSheetId="19" hidden="1">#REF!</definedName>
    <definedName name="BExXRL4ETKGR5B08IWLV5UKWS07Z" hidden="1">#REF!</definedName>
    <definedName name="BExXRO4A6VUH1F4XV8N1BRJ4896W" localSheetId="19" hidden="1">#REF!</definedName>
    <definedName name="BExXRO4A6VUH1F4XV8N1BRJ4896W" hidden="1">#REF!</definedName>
    <definedName name="BExXRO9N1SNJZGKD90P4K7FU1J0P" localSheetId="19" hidden="1">#REF!</definedName>
    <definedName name="BExXRO9N1SNJZGKD90P4K7FU1J0P" hidden="1">#REF!</definedName>
    <definedName name="BExXRR9I9RZJSO66K1CB8R2H3ACH" localSheetId="19" hidden="1">#REF!</definedName>
    <definedName name="BExXRR9I9RZJSO66K1CB8R2H3ACH" hidden="1">#REF!</definedName>
    <definedName name="BExXRV5QP3Z0KAQ1EQT9JYT2FV0L" localSheetId="19" hidden="1">#REF!</definedName>
    <definedName name="BExXRV5QP3Z0KAQ1EQT9JYT2FV0L" hidden="1">#REF!</definedName>
    <definedName name="BExXRZ20LZZCW8LVGDK0XETOTSAI" localSheetId="19" hidden="1">#REF!</definedName>
    <definedName name="BExXRZ20LZZCW8LVGDK0XETOTSAI" hidden="1">#REF!</definedName>
    <definedName name="BExXRZNM651EJ5HJPGKGTVYLAZQ1" localSheetId="19" hidden="1">#REF!</definedName>
    <definedName name="BExXRZNM651EJ5HJPGKGTVYLAZQ1" hidden="1">#REF!</definedName>
    <definedName name="BExXS63O4OMWMNXXAODZQFSDG33N" localSheetId="19" hidden="1">#REF!</definedName>
    <definedName name="BExXS63O4OMWMNXXAODZQFSDG33N" hidden="1">#REF!</definedName>
    <definedName name="BExXS8HZ90IK9RD5CZ6M2XT64C3R" localSheetId="19" hidden="1">#REF!</definedName>
    <definedName name="BExXS8HZ90IK9RD5CZ6M2XT64C3R" hidden="1">#REF!</definedName>
    <definedName name="BExXSBSP1TOY051HSPEPM0AEIO2M" localSheetId="19" hidden="1">#REF!</definedName>
    <definedName name="BExXSBSP1TOY051HSPEPM0AEIO2M" hidden="1">#REF!</definedName>
    <definedName name="BExXSC8RFK5D68FJD2HI4K66SA6I" localSheetId="19" hidden="1">#REF!</definedName>
    <definedName name="BExXSC8RFK5D68FJD2HI4K66SA6I" hidden="1">#REF!</definedName>
    <definedName name="BExXSGW487JM8X45CILCD3ELADND" localSheetId="19" hidden="1">#REF!</definedName>
    <definedName name="BExXSGW487JM8X45CILCD3ELADND" hidden="1">#REF!</definedName>
    <definedName name="BExXSJA8FX6FL775LX7EDM4LQ4ZF" localSheetId="19" hidden="1">#REF!</definedName>
    <definedName name="BExXSJA8FX6FL775LX7EDM4LQ4ZF" hidden="1">#REF!</definedName>
    <definedName name="BExXSNHC88W4UMXEOIOOATJAIKZO" localSheetId="19" hidden="1">#REF!</definedName>
    <definedName name="BExXSNHC88W4UMXEOIOOATJAIKZO" hidden="1">#REF!</definedName>
    <definedName name="BExXSTBS08WIA9TLALV3UQ2Z3MRG" localSheetId="19" hidden="1">#REF!</definedName>
    <definedName name="BExXSTBS08WIA9TLALV3UQ2Z3MRG" hidden="1">#REF!</definedName>
    <definedName name="BExXSVQ2WOJJ73YEO8Q2FK60V4G8" localSheetId="19" hidden="1">#REF!</definedName>
    <definedName name="BExXSVQ2WOJJ73YEO8Q2FK60V4G8" hidden="1">#REF!</definedName>
    <definedName name="BExXTHLRNL82GN7KZY3TOLO508N7" localSheetId="19" hidden="1">#REF!</definedName>
    <definedName name="BExXTHLRNL82GN7KZY3TOLO508N7" hidden="1">#REF!</definedName>
    <definedName name="BExXTL72MKEQSQH9L2OTFLU8DM2B" localSheetId="19" hidden="1">#REF!</definedName>
    <definedName name="BExXTL72MKEQSQH9L2OTFLU8DM2B" hidden="1">#REF!</definedName>
    <definedName name="BExXTM3M4RTCRSX7VGAXGQNPP668" localSheetId="19" hidden="1">#REF!</definedName>
    <definedName name="BExXTM3M4RTCRSX7VGAXGQNPP668" hidden="1">#REF!</definedName>
    <definedName name="BExXTOCF78J7WY6FOVBRY1N2RBBR" localSheetId="19" hidden="1">#REF!</definedName>
    <definedName name="BExXTOCF78J7WY6FOVBRY1N2RBBR" hidden="1">#REF!</definedName>
    <definedName name="BExXTP3GYO6Z9RTKKT10XA0UTV3T" localSheetId="19" hidden="1">#REF!</definedName>
    <definedName name="BExXTP3GYO6Z9RTKKT10XA0UTV3T" hidden="1">#REF!</definedName>
    <definedName name="BExXTRXWS5WKEYMU65AGIWPW8XMY" localSheetId="19" hidden="1">#REF!</definedName>
    <definedName name="BExXTRXWS5WKEYMU65AGIWPW8XMY" hidden="1">#REF!</definedName>
    <definedName name="BExXTYU24I49X78RIN9EOO9PMHSV" localSheetId="19" hidden="1">#REF!</definedName>
    <definedName name="BExXTYU24I49X78RIN9EOO9PMHSV" hidden="1">#REF!</definedName>
    <definedName name="BExXTZKZ4CG92ZQLIRKEXXH9BFIR" localSheetId="19" hidden="1">#REF!</definedName>
    <definedName name="BExXTZKZ4CG92ZQLIRKEXXH9BFIR" hidden="1">#REF!</definedName>
    <definedName name="BExXU4J2BM2964GD5UZHM752Q4NS" localSheetId="19" hidden="1">#REF!</definedName>
    <definedName name="BExXU4J2BM2964GD5UZHM752Q4NS" hidden="1">#REF!</definedName>
    <definedName name="BExXU6XDTT7RM93KILIDEYPA9XKF" localSheetId="19" hidden="1">#REF!</definedName>
    <definedName name="BExXU6XDTT7RM93KILIDEYPA9XKF" hidden="1">#REF!</definedName>
    <definedName name="BExXU8VLZA7WLPZ3RAQZGNERUD26" localSheetId="19" hidden="1">#REF!</definedName>
    <definedName name="BExXU8VLZA7WLPZ3RAQZGNERUD26" hidden="1">#REF!</definedName>
    <definedName name="BExXUB9RSLSCNN5ETLXY72DAPZZM" localSheetId="19" hidden="1">#REF!</definedName>
    <definedName name="BExXUB9RSLSCNN5ETLXY72DAPZZM" hidden="1">#REF!</definedName>
    <definedName name="BExXUFRM82XQIN2T8KGLDQL1IBQW" localSheetId="19" hidden="1">#REF!</definedName>
    <definedName name="BExXUFRM82XQIN2T8KGLDQL1IBQW" hidden="1">#REF!</definedName>
    <definedName name="BExXUQEQBF6FI240ZGIF9YXZSRAU" localSheetId="19" hidden="1">#REF!</definedName>
    <definedName name="BExXUQEQBF6FI240ZGIF9YXZSRAU" hidden="1">#REF!</definedName>
    <definedName name="BExXUVSXSP8ESN178IHNRRMIMOMT" localSheetId="19" hidden="1">#REF!</definedName>
    <definedName name="BExXUVSXSP8ESN178IHNRRMIMOMT" hidden="1">#REF!</definedName>
    <definedName name="BExXUYND6EJO7CJ5KRICV4O1JNWK" localSheetId="19" hidden="1">#REF!</definedName>
    <definedName name="BExXUYND6EJO7CJ5KRICV4O1JNWK" hidden="1">#REF!</definedName>
    <definedName name="BExXV1HYM7PSRL7FDSBCIW13Z2U3" localSheetId="19" hidden="1">#REF!</definedName>
    <definedName name="BExXV1HYM7PSRL7FDSBCIW13Z2U3" hidden="1">#REF!</definedName>
    <definedName name="BExXV6FWG4H3S2QEUJZYIXILNGJ7" localSheetId="19" hidden="1">#REF!</definedName>
    <definedName name="BExXV6FWG4H3S2QEUJZYIXILNGJ7" hidden="1">#REF!</definedName>
    <definedName name="BExXVCVYROMZMHARVU6MD514BMTF" localSheetId="19" hidden="1">#REF!</definedName>
    <definedName name="BExXVCVYROMZMHARVU6MD514BMTF" hidden="1">#REF!</definedName>
    <definedName name="BExXVGS1T0RO7HBN75IPQXATHZ23" localSheetId="19" hidden="1">#REF!</definedName>
    <definedName name="BExXVGS1T0RO7HBN75IPQXATHZ23" hidden="1">#REF!</definedName>
    <definedName name="BExXVK87BMMO6LHKV0CFDNIQVIBS" localSheetId="19" hidden="1">#REF!</definedName>
    <definedName name="BExXVK87BMMO6LHKV0CFDNIQVIBS" hidden="1">#REF!</definedName>
    <definedName name="BExXVKZ9WXPGL6IVY6T61IDD771I" localSheetId="19" hidden="1">#REF!</definedName>
    <definedName name="BExXVKZ9WXPGL6IVY6T61IDD771I" hidden="1">#REF!</definedName>
    <definedName name="BExXVUPU1FDA3CCHMAFE3SPCNSO2" localSheetId="19" hidden="1">#REF!</definedName>
    <definedName name="BExXVUPU1FDA3CCHMAFE3SPCNSO2" hidden="1">#REF!</definedName>
    <definedName name="BExXW0K72T1Y8K1I4VZT87UY9S2G" localSheetId="19" hidden="1">#REF!</definedName>
    <definedName name="BExXW0K72T1Y8K1I4VZT87UY9S2G" hidden="1">#REF!</definedName>
    <definedName name="BExXW27MMXHXUXX78SDTBE1JYTHT" localSheetId="19" hidden="1">#REF!</definedName>
    <definedName name="BExXW27MMXHXUXX78SDTBE1JYTHT" hidden="1">#REF!</definedName>
    <definedName name="BExXW2YIM2MYBSHRIX0RP9D4PRMN" localSheetId="19" hidden="1">#REF!</definedName>
    <definedName name="BExXW2YIM2MYBSHRIX0RP9D4PRMN" hidden="1">#REF!</definedName>
    <definedName name="BExXWBNE4KTFSXKVSRF6WX039WPB" localSheetId="19" hidden="1">#REF!</definedName>
    <definedName name="BExXWBNE4KTFSXKVSRF6WX039WPB" hidden="1">#REF!</definedName>
    <definedName name="BExXWFP5AYE7EHYTJWBZSQ8PQ0YX" localSheetId="19" hidden="1">#REF!</definedName>
    <definedName name="BExXWFP5AYE7EHYTJWBZSQ8PQ0YX" hidden="1">#REF!</definedName>
    <definedName name="BExXWSAAQ4VSVQZI0D2A8NTQ53VH" localSheetId="19" hidden="1">#REF!</definedName>
    <definedName name="BExXWSAAQ4VSVQZI0D2A8NTQ53VH" hidden="1">#REF!</definedName>
    <definedName name="BExXWVFIBQT8OY1O41FRFPFGXQHK" localSheetId="19" hidden="1">#REF!</definedName>
    <definedName name="BExXWVFIBQT8OY1O41FRFPFGXQHK" hidden="1">#REF!</definedName>
    <definedName name="BExXWWXHBZHA9J3N8K47F84X0M0L" localSheetId="19" hidden="1">#REF!</definedName>
    <definedName name="BExXWWXHBZHA9J3N8K47F84X0M0L" hidden="1">#REF!</definedName>
    <definedName name="BExXX7V6XV8D71NMUTIG4TUF6DF3" localSheetId="19" hidden="1">'[38]10.08.5 - 2008 Capital - TDBU'!#REF!</definedName>
    <definedName name="BExXX7V6XV8D71NMUTIG4TUF6DF3" hidden="1">'[38]10.08.5 - 2008 Capital - TDBU'!#REF!</definedName>
    <definedName name="BExXX9D3XK7CEZ9SI9UOA6F79ZPL" localSheetId="14" hidden="1">#REF!</definedName>
    <definedName name="BExXX9D3XK7CEZ9SI9UOA6F79ZPL" localSheetId="15" hidden="1">#REF!</definedName>
    <definedName name="BExXX9D3XK7CEZ9SI9UOA6F79ZPL" localSheetId="16" hidden="1">#REF!</definedName>
    <definedName name="BExXX9D3XK7CEZ9SI9UOA6F79ZPL" localSheetId="19" hidden="1">#REF!</definedName>
    <definedName name="BExXX9D3XK7CEZ9SI9UOA6F79ZPL" hidden="1">#REF!</definedName>
    <definedName name="BExXXBBCLDS7K2HB4LLGA6TTTXO3" localSheetId="16" hidden="1">#REF!</definedName>
    <definedName name="BExXXBBCLDS7K2HB4LLGA6TTTXO3" localSheetId="19" hidden="1">#REF!</definedName>
    <definedName name="BExXXBBCLDS7K2HB4LLGA6TTTXO3" hidden="1">#REF!</definedName>
    <definedName name="BExXXBGNQF0HXLZNUFVN9AGYLRGU" localSheetId="16" hidden="1">#REF!</definedName>
    <definedName name="BExXXBGNQF0HXLZNUFVN9AGYLRGU" localSheetId="19" hidden="1">#REF!</definedName>
    <definedName name="BExXXBGNQF0HXLZNUFVN9AGYLRGU" hidden="1">#REF!</definedName>
    <definedName name="BExXXBM521DL8R4ZX7NZ3DBCUOR5" localSheetId="19" hidden="1">#REF!</definedName>
    <definedName name="BExXXBM521DL8R4ZX7NZ3DBCUOR5" hidden="1">#REF!</definedName>
    <definedName name="BExXXC7OZI33XZ03NRMEP7VRLQK4" localSheetId="19" hidden="1">#REF!</definedName>
    <definedName name="BExXXC7OZI33XZ03NRMEP7VRLQK4" hidden="1">#REF!</definedName>
    <definedName name="BExXXH5N3NKBQ7BCJPJTBF8CYM2Q" localSheetId="19" hidden="1">#REF!</definedName>
    <definedName name="BExXXH5N3NKBQ7BCJPJTBF8CYM2Q" hidden="1">#REF!</definedName>
    <definedName name="BExXXKWLM4D541BH6O8GOJMHFHMW" localSheetId="19" hidden="1">#REF!</definedName>
    <definedName name="BExXXKWLM4D541BH6O8GOJMHFHMW" hidden="1">#REF!</definedName>
    <definedName name="BExXXPPA1Q87XPI97X0OXCPBPDON" localSheetId="19" hidden="1">#REF!</definedName>
    <definedName name="BExXXPPA1Q87XPI97X0OXCPBPDON" hidden="1">#REF!</definedName>
    <definedName name="BExXXVUDA98IZTQ6MANKU4MTTDVR" localSheetId="19" hidden="1">#REF!</definedName>
    <definedName name="BExXXVUDA98IZTQ6MANKU4MTTDVR" hidden="1">#REF!</definedName>
    <definedName name="BExXXZQNZY6IZI45DJXJK0MQZWA7" localSheetId="19" hidden="1">#REF!</definedName>
    <definedName name="BExXXZQNZY6IZI45DJXJK0MQZWA7" hidden="1">#REF!</definedName>
    <definedName name="BExXY5QFG6QP94SFT3935OBM8Y4K" localSheetId="19" hidden="1">#REF!</definedName>
    <definedName name="BExXY5QFG6QP94SFT3935OBM8Y4K" hidden="1">#REF!</definedName>
    <definedName name="BExXY7TYEBFXRYUYIFHTN65RJ8EW" localSheetId="19" hidden="1">#REF!</definedName>
    <definedName name="BExXY7TYEBFXRYUYIFHTN65RJ8EW" hidden="1">#REF!</definedName>
    <definedName name="BExXYD85DGL2MUZ4DB0JR3L1UVLF" localSheetId="19" hidden="1">#REF!</definedName>
    <definedName name="BExXYD85DGL2MUZ4DB0JR3L1UVLF" hidden="1">#REF!</definedName>
    <definedName name="BExXYLBHANUXC5FCTDDTGOVD3GQS" localSheetId="19" hidden="1">#REF!</definedName>
    <definedName name="BExXYLBHANUXC5FCTDDTGOVD3GQS" hidden="1">#REF!</definedName>
    <definedName name="BExXYMNYAYH3WA2ZCFAYKZID9ZCI" localSheetId="19" hidden="1">#REF!</definedName>
    <definedName name="BExXYMNYAYH3WA2ZCFAYKZID9ZCI" hidden="1">#REF!</definedName>
    <definedName name="BExXYWEQL36MHLNSDGU1FOTX7M20" localSheetId="19" hidden="1">#REF!</definedName>
    <definedName name="BExXYWEQL36MHLNSDGU1FOTX7M20" hidden="1">#REF!</definedName>
    <definedName name="BExXYWK1Q4ED490YK6LD13PRAMS4" localSheetId="19" hidden="1">#REF!</definedName>
    <definedName name="BExXYWK1Q4ED490YK6LD13PRAMS4" hidden="1">#REF!</definedName>
    <definedName name="BExXYYT12SVN2VDMLVNV4P3ISD8T" localSheetId="19" hidden="1">#REF!</definedName>
    <definedName name="BExXYYT12SVN2VDMLVNV4P3ISD8T" hidden="1">#REF!</definedName>
    <definedName name="BExXZEDWUYH25UZMW2QU2RXFILJE" localSheetId="19" hidden="1">#REF!</definedName>
    <definedName name="BExXZEDWUYH25UZMW2QU2RXFILJE" hidden="1">#REF!</definedName>
    <definedName name="BExXZFVV4YB42AZ3H1I40YG3JAPU" localSheetId="19" hidden="1">#REF!</definedName>
    <definedName name="BExXZFVV4YB42AZ3H1I40YG3JAPU" hidden="1">#REF!</definedName>
    <definedName name="BExXZH30Y2VXGXW705XP20HU2G86" localSheetId="19" hidden="1">#REF!</definedName>
    <definedName name="BExXZH30Y2VXGXW705XP20HU2G86" hidden="1">#REF!</definedName>
    <definedName name="BExXZHJ9T2JELF12CHHGD54J1B0C" localSheetId="19" hidden="1">#REF!</definedName>
    <definedName name="BExXZHJ9T2JELF12CHHGD54J1B0C" hidden="1">#REF!</definedName>
    <definedName name="BExXZNJ2X1TK2LRK5ZY3MX49H5T7" localSheetId="19" hidden="1">#REF!</definedName>
    <definedName name="BExXZNJ2X1TK2LRK5ZY3MX49H5T7" hidden="1">#REF!</definedName>
    <definedName name="BExXZOVPCEP495TQSON6PSRQ8XCY" localSheetId="19" hidden="1">#REF!</definedName>
    <definedName name="BExXZOVPCEP495TQSON6PSRQ8XCY" hidden="1">#REF!</definedName>
    <definedName name="BExXZXKH7NBARQQAZM69Z57IH1MM" localSheetId="19" hidden="1">#REF!</definedName>
    <definedName name="BExXZXKH7NBARQQAZM69Z57IH1MM" hidden="1">#REF!</definedName>
    <definedName name="BExY07WSDH5QEVM7BJXJK2ZRAI1O" localSheetId="19" hidden="1">#REF!</definedName>
    <definedName name="BExY07WSDH5QEVM7BJXJK2ZRAI1O" hidden="1">#REF!</definedName>
    <definedName name="BExY0C3UBVC4M59JIRXVQ8OWAJC1" localSheetId="19" hidden="1">#REF!</definedName>
    <definedName name="BExY0C3UBVC4M59JIRXVQ8OWAJC1" hidden="1">#REF!</definedName>
    <definedName name="BExY0G03T6MD304WV4PCS8A8UZOU" localSheetId="19" hidden="1">#REF!</definedName>
    <definedName name="BExY0G03T6MD304WV4PCS8A8UZOU" hidden="1">#REF!</definedName>
    <definedName name="BExY0JAM6LIEX03Y3CDOQG13XO98" localSheetId="19" hidden="1">#REF!</definedName>
    <definedName name="BExY0JAM6LIEX03Y3CDOQG13XO98" hidden="1">#REF!</definedName>
    <definedName name="BExY0MLAPBIUHZHF3MNQUBZEOPGA" localSheetId="19" hidden="1">#REF!</definedName>
    <definedName name="BExY0MLAPBIUHZHF3MNQUBZEOPGA" hidden="1">#REF!</definedName>
    <definedName name="BExY0OE8GFHMLLTEAFIOQTOPEVPB" localSheetId="19" hidden="1">#REF!</definedName>
    <definedName name="BExY0OE8GFHMLLTEAFIOQTOPEVPB" hidden="1">#REF!</definedName>
    <definedName name="BExY0OJHW85S0VKBA8T4HTYPYBOS" localSheetId="19" hidden="1">#REF!</definedName>
    <definedName name="BExY0OJHW85S0VKBA8T4HTYPYBOS" hidden="1">#REF!</definedName>
    <definedName name="BExY0T1E034D7XAXNC6F7540LLIE" localSheetId="19" hidden="1">#REF!</definedName>
    <definedName name="BExY0T1E034D7XAXNC6F7540LLIE" hidden="1">#REF!</definedName>
    <definedName name="BExY0XTZLHN49J2JH94BYTKBJLT3" localSheetId="19" hidden="1">#REF!</definedName>
    <definedName name="BExY0XTZLHN49J2JH94BYTKBJLT3" hidden="1">#REF!</definedName>
    <definedName name="BExY11FH9TXHERUYGG8FE50U7H7J" localSheetId="19" hidden="1">#REF!</definedName>
    <definedName name="BExY11FH9TXHERUYGG8FE50U7H7J" hidden="1">#REF!</definedName>
    <definedName name="BExY14VIIZDQ07OMY7WD69P6ZBUX" localSheetId="19" hidden="1">#REF!</definedName>
    <definedName name="BExY14VIIZDQ07OMY7WD69P6ZBUX" hidden="1">#REF!</definedName>
    <definedName name="BExY16O8FRFU2AKAB73SDMHTLF36" localSheetId="19" hidden="1">#REF!</definedName>
    <definedName name="BExY16O8FRFU2AKAB73SDMHTLF36" hidden="1">#REF!</definedName>
    <definedName name="BExY180UKNW5NIAWD6ZUYTFEH8QS" localSheetId="19" hidden="1">#REF!</definedName>
    <definedName name="BExY180UKNW5NIAWD6ZUYTFEH8QS" hidden="1">#REF!</definedName>
    <definedName name="BExY1DPTV4LSY9MEOUGXF8X052NA" localSheetId="19" hidden="1">#REF!</definedName>
    <definedName name="BExY1DPTV4LSY9MEOUGXF8X052NA" hidden="1">#REF!</definedName>
    <definedName name="BExY1GK9ELBEKDD7O6HR6DUO8YGO" localSheetId="19" hidden="1">#REF!</definedName>
    <definedName name="BExY1GK9ELBEKDD7O6HR6DUO8YGO" hidden="1">#REF!</definedName>
    <definedName name="BExY1JK5FLBIKGF4D7K1BMSTT2W7" localSheetId="19" hidden="1">'[38]10.08.5 - 2008 Capital - TDBU'!#REF!</definedName>
    <definedName name="BExY1JK5FLBIKGF4D7K1BMSTT2W7" hidden="1">'[38]10.08.5 - 2008 Capital - TDBU'!#REF!</definedName>
    <definedName name="BExY1JUYIFR0O90W747XIO278VF6" localSheetId="14" hidden="1">#REF!</definedName>
    <definedName name="BExY1JUYIFR0O90W747XIO278VF6" localSheetId="15" hidden="1">#REF!</definedName>
    <definedName name="BExY1JUYIFR0O90W747XIO278VF6" localSheetId="16" hidden="1">#REF!</definedName>
    <definedName name="BExY1JUYIFR0O90W747XIO278VF6" localSheetId="19" hidden="1">#REF!</definedName>
    <definedName name="BExY1JUYIFR0O90W747XIO278VF6" hidden="1">#REF!</definedName>
    <definedName name="BExY1NWOXXFV9GGZ3PX444LZ8TVX" localSheetId="16" hidden="1">#REF!</definedName>
    <definedName name="BExY1NWOXXFV9GGZ3PX444LZ8TVX" localSheetId="19" hidden="1">#REF!</definedName>
    <definedName name="BExY1NWOXXFV9GGZ3PX444LZ8TVX" hidden="1">#REF!</definedName>
    <definedName name="BExY1R7F5GLGAYZT2TMJYZVT5X8X" localSheetId="16" hidden="1">#REF!</definedName>
    <definedName name="BExY1R7F5GLGAYZT2TMJYZVT5X8X" localSheetId="19" hidden="1">#REF!</definedName>
    <definedName name="BExY1R7F5GLGAYZT2TMJYZVT5X8X" hidden="1">#REF!</definedName>
    <definedName name="BExY1TR13AYI0HGDYRVNRSR1VPOV" localSheetId="19" hidden="1">#REF!</definedName>
    <definedName name="BExY1TR13AYI0HGDYRVNRSR1VPOV" hidden="1">#REF!</definedName>
    <definedName name="BExY1UCL0RND63LLSM9X5SFRG117" localSheetId="19" hidden="1">#REF!</definedName>
    <definedName name="BExY1UCL0RND63LLSM9X5SFRG117" hidden="1">#REF!</definedName>
    <definedName name="BExY1WAT3937L08HLHIRQHMP2A3H" localSheetId="19" hidden="1">#REF!</definedName>
    <definedName name="BExY1WAT3937L08HLHIRQHMP2A3H" hidden="1">#REF!</definedName>
    <definedName name="BExY1YEBOSLMID7LURP8QB46AI91" localSheetId="19" hidden="1">#REF!</definedName>
    <definedName name="BExY1YEBOSLMID7LURP8QB46AI91" hidden="1">#REF!</definedName>
    <definedName name="BExY29MW53U9H65R6IEGDFI64XHB" localSheetId="19" hidden="1">#REF!</definedName>
    <definedName name="BExY29MW53U9H65R6IEGDFI64XHB" hidden="1">#REF!</definedName>
    <definedName name="BExY2FS4LFX9OHOTQT7SJ2PXAC25" localSheetId="19" hidden="1">#REF!</definedName>
    <definedName name="BExY2FS4LFX9OHOTQT7SJ2PXAC25" hidden="1">#REF!</definedName>
    <definedName name="BExY2GDPCZPVU0IQ6IJIB1YQQRQ6" localSheetId="19" hidden="1">#REF!</definedName>
    <definedName name="BExY2GDPCZPVU0IQ6IJIB1YQQRQ6" hidden="1">#REF!</definedName>
    <definedName name="BExY2GTSZ3VA9TXLY7KW1LIAKJ61" localSheetId="19" hidden="1">#REF!</definedName>
    <definedName name="BExY2GTSZ3VA9TXLY7KW1LIAKJ61" hidden="1">#REF!</definedName>
    <definedName name="BExY2H4LV4INLFET24XNE1FUGSXP" localSheetId="19" hidden="1">#REF!</definedName>
    <definedName name="BExY2H4LV4INLFET24XNE1FUGSXP" hidden="1">#REF!</definedName>
    <definedName name="BExY2IXBR1SGYZH08T7QHKEFS8HA" localSheetId="19" hidden="1">#REF!</definedName>
    <definedName name="BExY2IXBR1SGYZH08T7QHKEFS8HA" hidden="1">#REF!</definedName>
    <definedName name="BExY2P7Y7WK5R8PQWMWRW9V4TL58" localSheetId="19" hidden="1">#REF!</definedName>
    <definedName name="BExY2P7Y7WK5R8PQWMWRW9V4TL58" hidden="1">#REF!</definedName>
    <definedName name="BExY2Q4B5FUDA5VU4VRUHX327QN0" localSheetId="19" hidden="1">#REF!</definedName>
    <definedName name="BExY2Q4B5FUDA5VU4VRUHX327QN0" hidden="1">#REF!</definedName>
    <definedName name="BExY2UWXID9H1ZZT216IJ2W3T4R5" localSheetId="19" hidden="1">#REF!</definedName>
    <definedName name="BExY2UWXID9H1ZZT216IJ2W3T4R5" hidden="1">#REF!</definedName>
    <definedName name="BExY3BEDJM4RQA202MJY8RJM0FGU" localSheetId="19" hidden="1">#REF!</definedName>
    <definedName name="BExY3BEDJM4RQA202MJY8RJM0FGU" hidden="1">#REF!</definedName>
    <definedName name="BExY3HOSK7YI364K15OX70AVR6F1" localSheetId="19" hidden="1">#REF!</definedName>
    <definedName name="BExY3HOSK7YI364K15OX70AVR6F1" hidden="1">#REF!</definedName>
    <definedName name="BExY3T89AUR83SOAZZ3OMDEJDQ39" localSheetId="19" hidden="1">#REF!</definedName>
    <definedName name="BExY3T89AUR83SOAZZ3OMDEJDQ39" hidden="1">#REF!</definedName>
    <definedName name="BExY40KOAK8UPA3XIKC6WE4OLQAL" localSheetId="19" hidden="1">#REF!</definedName>
    <definedName name="BExY40KOAK8UPA3XIKC6WE4OLQAL" hidden="1">#REF!</definedName>
    <definedName name="BExY4MG771JQ84EMIVB6HQGGHZY7" localSheetId="19" hidden="1">#REF!</definedName>
    <definedName name="BExY4MG771JQ84EMIVB6HQGGHZY7" hidden="1">#REF!</definedName>
    <definedName name="BExY4PWCSFB8P3J3TBQB2MD67263" localSheetId="19" hidden="1">#REF!</definedName>
    <definedName name="BExY4PWCSFB8P3J3TBQB2MD67263" hidden="1">#REF!</definedName>
    <definedName name="BExY4RZVZXZ35OZVEXTSWVVGE8XF" localSheetId="19" hidden="1">#REF!</definedName>
    <definedName name="BExY4RZVZXZ35OZVEXTSWVVGE8XF" hidden="1">#REF!</definedName>
    <definedName name="BExY4RZW3KK11JLYBA4DWZ92M6LQ" localSheetId="19" hidden="1">#REF!</definedName>
    <definedName name="BExY4RZW3KK11JLYBA4DWZ92M6LQ" hidden="1">#REF!</definedName>
    <definedName name="BExY4XOVTTNVZ577RLIEC7NZQFIX" localSheetId="19" hidden="1">#REF!</definedName>
    <definedName name="BExY4XOVTTNVZ577RLIEC7NZQFIX" hidden="1">#REF!</definedName>
    <definedName name="BExY50JAF5CG01GTHAUS7I4ZLUDC" localSheetId="19" hidden="1">#REF!</definedName>
    <definedName name="BExY50JAF5CG01GTHAUS7I4ZLUDC" hidden="1">#REF!</definedName>
    <definedName name="BExY53J6XUX9MQ87V5K1PHGLA5OZ" localSheetId="19" hidden="1">#REF!</definedName>
    <definedName name="BExY53J6XUX9MQ87V5K1PHGLA5OZ" hidden="1">#REF!</definedName>
    <definedName name="BExY53J7EXFEOFTRNAHLK7IH3ACB" localSheetId="19" hidden="1">#REF!</definedName>
    <definedName name="BExY53J7EXFEOFTRNAHLK7IH3ACB" hidden="1">#REF!</definedName>
    <definedName name="BExY5515SJTJS3VM80M3YYR0WF37" localSheetId="19" hidden="1">#REF!</definedName>
    <definedName name="BExY5515SJTJS3VM80M3YYR0WF37" hidden="1">#REF!</definedName>
    <definedName name="BExY5515WE39FQ3EG5QHG67V9C0O" localSheetId="19" hidden="1">#REF!</definedName>
    <definedName name="BExY5515WE39FQ3EG5QHG67V9C0O" hidden="1">#REF!</definedName>
    <definedName name="BExY5986WNAD8NFCPXC9TVLBU4FG" localSheetId="19" hidden="1">#REF!</definedName>
    <definedName name="BExY5986WNAD8NFCPXC9TVLBU4FG" hidden="1">#REF!</definedName>
    <definedName name="BExY5DF9MS25IFNWGJ1YAS5MDN8R" localSheetId="19" hidden="1">#REF!</definedName>
    <definedName name="BExY5DF9MS25IFNWGJ1YAS5MDN8R" hidden="1">#REF!</definedName>
    <definedName name="BExY5ERVGL3UM2MGT8LJ0XPKTZEK" localSheetId="19" hidden="1">#REF!</definedName>
    <definedName name="BExY5ERVGL3UM2MGT8LJ0XPKTZEK" hidden="1">#REF!</definedName>
    <definedName name="BExY5EX6NJFK8W754ZVZDN5DS04K" localSheetId="19" hidden="1">#REF!</definedName>
    <definedName name="BExY5EX6NJFK8W754ZVZDN5DS04K" hidden="1">#REF!</definedName>
    <definedName name="BExY5S3XD1NJT109CV54IFOHVLQ6" localSheetId="19" hidden="1">#REF!</definedName>
    <definedName name="BExY5S3XD1NJT109CV54IFOHVLQ6" hidden="1">#REF!</definedName>
    <definedName name="BExY5TB2VAI3GHKCPXMCVIOM8B8W" localSheetId="19" hidden="1">#REF!</definedName>
    <definedName name="BExY5TB2VAI3GHKCPXMCVIOM8B8W" hidden="1">#REF!</definedName>
    <definedName name="BExY6KVS1MMZ2R34PGEFR2BMTU9W" localSheetId="19" hidden="1">#REF!</definedName>
    <definedName name="BExY6KVS1MMZ2R34PGEFR2BMTU9W" hidden="1">#REF!</definedName>
    <definedName name="BExY6Q9YY7LW745GP7CYOGGSPHGE" localSheetId="19" hidden="1">#REF!</definedName>
    <definedName name="BExY6Q9YY7LW745GP7CYOGGSPHGE" hidden="1">#REF!</definedName>
    <definedName name="BExZIA3C8LKJTEH3MKQ57KJH5TA2" localSheetId="19" hidden="1">#REF!</definedName>
    <definedName name="BExZIA3C8LKJTEH3MKQ57KJH5TA2" hidden="1">#REF!</definedName>
    <definedName name="BExZIIHH3QNQE3GFMHEE4UMHY6WQ" localSheetId="19" hidden="1">#REF!</definedName>
    <definedName name="BExZIIHH3QNQE3GFMHEE4UMHY6WQ" hidden="1">#REF!</definedName>
    <definedName name="BExZIRH59XWU9D7KAUQ3N5FQ6ZQU" localSheetId="19" hidden="1">#REF!</definedName>
    <definedName name="BExZIRH59XWU9D7KAUQ3N5FQ6ZQU" hidden="1">#REF!</definedName>
    <definedName name="BExZIYO22G5UXOB42GDLYGVRJ6U7" localSheetId="19" hidden="1">#REF!</definedName>
    <definedName name="BExZIYO22G5UXOB42GDLYGVRJ6U7" hidden="1">#REF!</definedName>
    <definedName name="BExZJ7I9T8XU4MZRKJ1VVU76V2LZ" localSheetId="19" hidden="1">#REF!</definedName>
    <definedName name="BExZJ7I9T8XU4MZRKJ1VVU76V2LZ" hidden="1">#REF!</definedName>
    <definedName name="BExZJCWI93DAGB0LYD3D3RXA5T1X" localSheetId="19" hidden="1">#REF!</definedName>
    <definedName name="BExZJCWI93DAGB0LYD3D3RXA5T1X" hidden="1">#REF!</definedName>
    <definedName name="BExZJG77BNPTTXPHBDO6JVBP267V" localSheetId="19" hidden="1">#REF!</definedName>
    <definedName name="BExZJG77BNPTTXPHBDO6JVBP267V" hidden="1">#REF!</definedName>
    <definedName name="BExZJMY170JCUU1RWASNZ1HJPRTA" localSheetId="19" hidden="1">#REF!</definedName>
    <definedName name="BExZJMY170JCUU1RWASNZ1HJPRTA" hidden="1">#REF!</definedName>
    <definedName name="BExZJOQR77H0P4SUKVYACDCFBBXO" localSheetId="19" hidden="1">#REF!</definedName>
    <definedName name="BExZJOQR77H0P4SUKVYACDCFBBXO" hidden="1">#REF!</definedName>
    <definedName name="BExZJS6RG34ODDY9HMZ0O34MEMSB" localSheetId="19" hidden="1">#REF!</definedName>
    <definedName name="BExZJS6RG34ODDY9HMZ0O34MEMSB" hidden="1">#REF!</definedName>
    <definedName name="BExZJTOQ0YP3Z6MU1Z3EQPWCQJAV" localSheetId="19" hidden="1">#REF!</definedName>
    <definedName name="BExZJTOQ0YP3Z6MU1Z3EQPWCQJAV" hidden="1">#REF!</definedName>
    <definedName name="BExZJXA66GVI2J3KFTXHYHM2MLFQ" localSheetId="19" hidden="1">#REF!</definedName>
    <definedName name="BExZJXA66GVI2J3KFTXHYHM2MLFQ" hidden="1">#REF!</definedName>
    <definedName name="BExZK0FLA198EJ94QHWX96XGLB95" localSheetId="19" hidden="1">#REF!</definedName>
    <definedName name="BExZK0FLA198EJ94QHWX96XGLB95" hidden="1">#REF!</definedName>
    <definedName name="BExZK28BCCZCJGD4172FUNAGUC1I" localSheetId="19" hidden="1">#REF!</definedName>
    <definedName name="BExZK28BCCZCJGD4172FUNAGUC1I" hidden="1">#REF!</definedName>
    <definedName name="BExZK34NR4BAD7HJAP7SQ926UQP3" localSheetId="19" hidden="1">#REF!</definedName>
    <definedName name="BExZK34NR4BAD7HJAP7SQ926UQP3" hidden="1">#REF!</definedName>
    <definedName name="BExZK3FGPHH5H771U7D5XY7XBS6E" localSheetId="19" hidden="1">#REF!</definedName>
    <definedName name="BExZK3FGPHH5H771U7D5XY7XBS6E" hidden="1">#REF!</definedName>
    <definedName name="BExZKG5XNKFLT5VIJGTGN1KRY9M1" localSheetId="19" hidden="1">#REF!</definedName>
    <definedName name="BExZKG5XNKFLT5VIJGTGN1KRY9M1" hidden="1">#REF!</definedName>
    <definedName name="BExZKHYORG3O8C772XPFHM1N8T80" localSheetId="19" hidden="1">#REF!</definedName>
    <definedName name="BExZKHYORG3O8C772XPFHM1N8T80" hidden="1">#REF!</definedName>
    <definedName name="BExZKJRF2IRR57DG9CLC7MSHWNNN" localSheetId="19" hidden="1">#REF!</definedName>
    <definedName name="BExZKJRF2IRR57DG9CLC7MSHWNNN" hidden="1">#REF!</definedName>
    <definedName name="BExZKV5GYXO0X760SBD9TWTIQHGI" localSheetId="19" hidden="1">#REF!</definedName>
    <definedName name="BExZKV5GYXO0X760SBD9TWTIQHGI" hidden="1">#REF!</definedName>
    <definedName name="BExZKXUJFT2AT6IX3VNR84WD8J6O" localSheetId="19" hidden="1">#REF!</definedName>
    <definedName name="BExZKXUJFT2AT6IX3VNR84WD8J6O" hidden="1">#REF!</definedName>
    <definedName name="BExZL6E4YVXRUN7ZGF2BIGIXFR8K" localSheetId="19" hidden="1">#REF!</definedName>
    <definedName name="BExZL6E4YVXRUN7ZGF2BIGIXFR8K" hidden="1">#REF!</definedName>
    <definedName name="BExZLE6HTP4MI0C7JZBPGDRFSQHY" localSheetId="19" hidden="1">#REF!</definedName>
    <definedName name="BExZLE6HTP4MI0C7JZBPGDRFSQHY" hidden="1">#REF!</definedName>
    <definedName name="BExZLGVLMKTPFXG42QYT0PO81G7F" localSheetId="19" hidden="1">#REF!</definedName>
    <definedName name="BExZLGVLMKTPFXG42QYT0PO81G7F" hidden="1">#REF!</definedName>
    <definedName name="BExZLKMK7LRK14S09WLMH7MXSQXM" localSheetId="19" hidden="1">#REF!</definedName>
    <definedName name="BExZLKMK7LRK14S09WLMH7MXSQXM" hidden="1">#REF!</definedName>
    <definedName name="BExZM7JVLG0W8EG5RBU915U3SKBY" localSheetId="19" hidden="1">#REF!</definedName>
    <definedName name="BExZM7JVLG0W8EG5RBU915U3SKBY" hidden="1">#REF!</definedName>
    <definedName name="BExZM85FOVUFF110XMQ9O2ODSJUK" localSheetId="19" hidden="1">#REF!</definedName>
    <definedName name="BExZM85FOVUFF110XMQ9O2ODSJUK" hidden="1">#REF!</definedName>
    <definedName name="BExZMF1MMTZ1TA14PZ8ASSU2CBSP" localSheetId="19" hidden="1">#REF!</definedName>
    <definedName name="BExZMF1MMTZ1TA14PZ8ASSU2CBSP" hidden="1">#REF!</definedName>
    <definedName name="BExZMKL5YQZD7F0FUCSVFGLPFK52" localSheetId="19" hidden="1">#REF!</definedName>
    <definedName name="BExZMKL5YQZD7F0FUCSVFGLPFK52" hidden="1">#REF!</definedName>
    <definedName name="BExZMOC3VNZALJM71X2T6FV91GTB" localSheetId="19" hidden="1">#REF!</definedName>
    <definedName name="BExZMOC3VNZALJM71X2T6FV91GTB" hidden="1">#REF!</definedName>
    <definedName name="BExZMRC0GXPSO9JOPK8FEZBDS80M" localSheetId="19" hidden="1">#REF!</definedName>
    <definedName name="BExZMRC0GXPSO9JOPK8FEZBDS80M" hidden="1">#REF!</definedName>
    <definedName name="BExZMVJ0ODX05Q2E8C4IZVAY7RGU" localSheetId="19" hidden="1">#REF!</definedName>
    <definedName name="BExZMVJ0ODX05Q2E8C4IZVAY7RGU" hidden="1">#REF!</definedName>
    <definedName name="BExZMXH39OB0I43XEL3K11U3G9PM" localSheetId="19" hidden="1">#REF!</definedName>
    <definedName name="BExZMXH39OB0I43XEL3K11U3G9PM" hidden="1">#REF!</definedName>
    <definedName name="BExZMZQ3RBKDHT5GLFNLS52OSJA0" localSheetId="19" hidden="1">#REF!</definedName>
    <definedName name="BExZMZQ3RBKDHT5GLFNLS52OSJA0" hidden="1">#REF!</definedName>
    <definedName name="BExZN0MHIAUPB6G7US083VNAPOUO" localSheetId="19" hidden="1">#REF!</definedName>
    <definedName name="BExZN0MHIAUPB6G7US083VNAPOUO" hidden="1">#REF!</definedName>
    <definedName name="BExZN2F7Y2J2L2LN5WZRG949MS4A" localSheetId="19" hidden="1">#REF!</definedName>
    <definedName name="BExZN2F7Y2J2L2LN5WZRG949MS4A" hidden="1">#REF!</definedName>
    <definedName name="BExZN4TJVUGCFWL2CS28R36HN7S6" localSheetId="19" hidden="1">#REF!</definedName>
    <definedName name="BExZN4TJVUGCFWL2CS28R36HN7S6" hidden="1">#REF!</definedName>
    <definedName name="BExZN6BHBBUIDVNQ8LMA86ZJ8SBU" localSheetId="19" hidden="1">#REF!</definedName>
    <definedName name="BExZN6BHBBUIDVNQ8LMA86ZJ8SBU" hidden="1">#REF!</definedName>
    <definedName name="BExZN847WUWKRYTZWG9TCQZJS3OL" localSheetId="19" hidden="1">#REF!</definedName>
    <definedName name="BExZN847WUWKRYTZWG9TCQZJS3OL" hidden="1">#REF!</definedName>
    <definedName name="BExZNEUW1MNCUTLJ4LWIW18J6TXS" localSheetId="19" hidden="1">#REF!</definedName>
    <definedName name="BExZNEUW1MNCUTLJ4LWIW18J6TXS" hidden="1">#REF!</definedName>
    <definedName name="BExZNH3VISFF4NQI11BZDP5IQ7VG" localSheetId="19" hidden="1">#REF!</definedName>
    <definedName name="BExZNH3VISFF4NQI11BZDP5IQ7VG" hidden="1">#REF!</definedName>
    <definedName name="BExZNILV5N9PBKDZLALQEXXPJ2GZ" localSheetId="19" hidden="1">#REF!</definedName>
    <definedName name="BExZNILV5N9PBKDZLALQEXXPJ2GZ" hidden="1">#REF!</definedName>
    <definedName name="BExZNJYCFYVMAOI62GB2BABK1ELE" localSheetId="19" hidden="1">#REF!</definedName>
    <definedName name="BExZNJYCFYVMAOI62GB2BABK1ELE" hidden="1">#REF!</definedName>
    <definedName name="BExZNSCGGDV6CW77IZLFGQGTQJ5Q" localSheetId="19" hidden="1">#REF!</definedName>
    <definedName name="BExZNSCGGDV6CW77IZLFGQGTQJ5Q" hidden="1">#REF!</definedName>
    <definedName name="BExZNV707LIU6Z5H6QI6H67LHTI1" localSheetId="19" hidden="1">#REF!</definedName>
    <definedName name="BExZNV707LIU6Z5H6QI6H67LHTI1" hidden="1">#REF!</definedName>
    <definedName name="BExZNVCBKB930QQ9QW7KSGOZ0V1M" localSheetId="19" hidden="1">#REF!</definedName>
    <definedName name="BExZNVCBKB930QQ9QW7KSGOZ0V1M" hidden="1">#REF!</definedName>
    <definedName name="BExZNW8QJ18X0RSGFDWAE9ZSDX39" localSheetId="19" hidden="1">#REF!</definedName>
    <definedName name="BExZNW8QJ18X0RSGFDWAE9ZSDX39" hidden="1">#REF!</definedName>
    <definedName name="BExZNZDWRS6Q40L8OCWFEIVI0A1O" localSheetId="19" hidden="1">#REF!</definedName>
    <definedName name="BExZNZDWRS6Q40L8OCWFEIVI0A1O" hidden="1">#REF!</definedName>
    <definedName name="BExZOBO9NYLGVJQ31LVQ9XS2ZT4N" localSheetId="19" hidden="1">#REF!</definedName>
    <definedName name="BExZOBO9NYLGVJQ31LVQ9XS2ZT4N" hidden="1">#REF!</definedName>
    <definedName name="BExZOETNB1CJ3Y2RKLI1ZK0S8Z6H" localSheetId="19" hidden="1">#REF!</definedName>
    <definedName name="BExZOETNB1CJ3Y2RKLI1ZK0S8Z6H" hidden="1">#REF!</definedName>
    <definedName name="BExZOF9R1MU69L6PO5PC7TBTE9G9" localSheetId="19" hidden="1">#REF!</definedName>
    <definedName name="BExZOF9R1MU69L6PO5PC7TBTE9G9" hidden="1">#REF!</definedName>
    <definedName name="BExZOL9K1RUXBTLZ6FJ65BIE9G5R" localSheetId="19" hidden="1">#REF!</definedName>
    <definedName name="BExZOL9K1RUXBTLZ6FJ65BIE9G5R" hidden="1">#REF!</definedName>
    <definedName name="BExZOREMVSK4E5VSWM838KHUB8AI" localSheetId="19" hidden="1">#REF!</definedName>
    <definedName name="BExZOREMVSK4E5VSWM838KHUB8AI" hidden="1">#REF!</definedName>
    <definedName name="BExZOVR745T5P1KS9NV2PXZPZVRG" localSheetId="19" hidden="1">#REF!</definedName>
    <definedName name="BExZOVR745T5P1KS9NV2PXZPZVRG" hidden="1">#REF!</definedName>
    <definedName name="BExZOZSWGLSY2XYVRIS6VSNJDSGD" localSheetId="19" hidden="1">#REF!</definedName>
    <definedName name="BExZOZSWGLSY2XYVRIS6VSNJDSGD" hidden="1">#REF!</definedName>
    <definedName name="BExZP7AIJKLM6C6CSUIIFAHFBNX2" localSheetId="19" hidden="1">#REF!</definedName>
    <definedName name="BExZP7AIJKLM6C6CSUIIFAHFBNX2" hidden="1">#REF!</definedName>
    <definedName name="BExZPQ0XY507N8FJMVPKCTK8HC9H" localSheetId="19" hidden="1">#REF!</definedName>
    <definedName name="BExZPQ0XY507N8FJMVPKCTK8HC9H" hidden="1">#REF!</definedName>
    <definedName name="BExZPT0UWFAUYM11ETBX54NBI1PD" localSheetId="19" hidden="1">#REF!</definedName>
    <definedName name="BExZPT0UWFAUYM11ETBX54NBI1PD" hidden="1">#REF!</definedName>
    <definedName name="BExZQ37OVBR25U32CO2YYVPZOMR5" localSheetId="19" hidden="1">#REF!</definedName>
    <definedName name="BExZQ37OVBR25U32CO2YYVPZOMR5" hidden="1">#REF!</definedName>
    <definedName name="BExZQ3IHNAFF2HI20IH754T349LH" localSheetId="19" hidden="1">#REF!</definedName>
    <definedName name="BExZQ3IHNAFF2HI20IH754T349LH" hidden="1">#REF!</definedName>
    <definedName name="BExZQ3NT7H06VO0AR48WHZULZB93" localSheetId="19" hidden="1">#REF!</definedName>
    <definedName name="BExZQ3NT7H06VO0AR48WHZULZB93" hidden="1">#REF!</definedName>
    <definedName name="BExZQ7PJU07SEJMDX18U9YVDC2GU" localSheetId="19" hidden="1">#REF!</definedName>
    <definedName name="BExZQ7PJU07SEJMDX18U9YVDC2GU" hidden="1">#REF!</definedName>
    <definedName name="BExZQIHTGHK7OOI2Y2PN3JYBY82I" localSheetId="19" hidden="1">#REF!</definedName>
    <definedName name="BExZQIHTGHK7OOI2Y2PN3JYBY82I" hidden="1">#REF!</definedName>
    <definedName name="BExZQJJMGU5MHQOILGXGJPAQI5XI" localSheetId="19" hidden="1">#REF!</definedName>
    <definedName name="BExZQJJMGU5MHQOILGXGJPAQI5XI" hidden="1">#REF!</definedName>
    <definedName name="BExZQNQOI080YO1ADHPJGCG9R63F" localSheetId="19" hidden="1">#REF!</definedName>
    <definedName name="BExZQNQOI080YO1ADHPJGCG9R63F" hidden="1">#REF!</definedName>
    <definedName name="BExZQXBYEBN28QUH1KOVW6KKA5UM" localSheetId="19" hidden="1">#REF!</definedName>
    <definedName name="BExZQXBYEBN28QUH1KOVW6KKA5UM" hidden="1">#REF!</definedName>
    <definedName name="BExZQZKT146WEN8FTVZ7Y5TSB8L5" localSheetId="19" hidden="1">#REF!</definedName>
    <definedName name="BExZQZKT146WEN8FTVZ7Y5TSB8L5" hidden="1">#REF!</definedName>
    <definedName name="BExZR12Y982N9EKLLP7Z52WQHXXF" localSheetId="19" hidden="1">#REF!</definedName>
    <definedName name="BExZR12Y982N9EKLLP7Z52WQHXXF" hidden="1">#REF!</definedName>
    <definedName name="BExZR485AKBH93YZ08CMUC3WROED" localSheetId="19" hidden="1">#REF!</definedName>
    <definedName name="BExZR485AKBH93YZ08CMUC3WROED" hidden="1">#REF!</definedName>
    <definedName name="BExZR7TL98P2PPUVGIZYR5873DWW" localSheetId="19" hidden="1">#REF!</definedName>
    <definedName name="BExZR7TL98P2PPUVGIZYR5873DWW" hidden="1">#REF!</definedName>
    <definedName name="BExZRB9M8SJHCJ3R6G6N2FSC8JDL" localSheetId="19" hidden="1">#REF!</definedName>
    <definedName name="BExZRB9M8SJHCJ3R6G6N2FSC8JDL" hidden="1">#REF!</definedName>
    <definedName name="BExZRGD1603X5ACFALUUDKCD7X48" localSheetId="19" hidden="1">#REF!</definedName>
    <definedName name="BExZRGD1603X5ACFALUUDKCD7X48" hidden="1">#REF!</definedName>
    <definedName name="BExZRP1X6UVLN1UOLHH5VF4STP1O" localSheetId="19" hidden="1">#REF!</definedName>
    <definedName name="BExZRP1X6UVLN1UOLHH5VF4STP1O" hidden="1">#REF!</definedName>
    <definedName name="BExZRQ930U6OCYNV00CH5I0Q4LPE" localSheetId="19" hidden="1">#REF!</definedName>
    <definedName name="BExZRQ930U6OCYNV00CH5I0Q4LPE" hidden="1">#REF!</definedName>
    <definedName name="BExZRVSS7LVKUWW3VM61WKHK4M49" localSheetId="19" hidden="1">#REF!</definedName>
    <definedName name="BExZRVSS7LVKUWW3VM61WKHK4M49" hidden="1">#REF!</definedName>
    <definedName name="BExZRW8W514W8OZ72YBONYJ64GXF" localSheetId="19" hidden="1">#REF!</definedName>
    <definedName name="BExZRW8W514W8OZ72YBONYJ64GXF" hidden="1">#REF!</definedName>
    <definedName name="BExZRWJP2BUVFJPO8U8ATQEP0LZU" localSheetId="19" hidden="1">#REF!</definedName>
    <definedName name="BExZRWJP2BUVFJPO8U8ATQEP0LZU" hidden="1">#REF!</definedName>
    <definedName name="BExZRXAKDKQ1K9GZ7R5F89HTIP5Y" localSheetId="19" hidden="1">'[38]10.08.5 - 2008 Capital - TDBU'!#REF!</definedName>
    <definedName name="BExZRXAKDKQ1K9GZ7R5F89HTIP5Y" hidden="1">'[38]10.08.5 - 2008 Capital - TDBU'!#REF!</definedName>
    <definedName name="BExZS2OY9JTSSP01ZQ6V2T2LO5R9" localSheetId="14" hidden="1">#REF!</definedName>
    <definedName name="BExZS2OY9JTSSP01ZQ6V2T2LO5R9" localSheetId="15" hidden="1">#REF!</definedName>
    <definedName name="BExZS2OY9JTSSP01ZQ6V2T2LO5R9" localSheetId="16" hidden="1">#REF!</definedName>
    <definedName name="BExZS2OY9JTSSP01ZQ6V2T2LO5R9" localSheetId="19" hidden="1">#REF!</definedName>
    <definedName name="BExZS2OY9JTSSP01ZQ6V2T2LO5R9" hidden="1">#REF!</definedName>
    <definedName name="BExZSI9USDLZAN8LI8M4YYQL24GZ" localSheetId="16" hidden="1">#REF!</definedName>
    <definedName name="BExZSI9USDLZAN8LI8M4YYQL24GZ" localSheetId="19" hidden="1">#REF!</definedName>
    <definedName name="BExZSI9USDLZAN8LI8M4YYQL24GZ" hidden="1">#REF!</definedName>
    <definedName name="BExZSM0TL3458X254CZLZZ3GBCNQ" localSheetId="16" hidden="1">#REF!</definedName>
    <definedName name="BExZSM0TL3458X254CZLZZ3GBCNQ" localSheetId="19" hidden="1">#REF!</definedName>
    <definedName name="BExZSM0TL3458X254CZLZZ3GBCNQ" hidden="1">#REF!</definedName>
    <definedName name="BExZSPX0YNISGS8SVTI69D6NC4IM" localSheetId="19" hidden="1">#REF!</definedName>
    <definedName name="BExZSPX0YNISGS8SVTI69D6NC4IM" hidden="1">#REF!</definedName>
    <definedName name="BExZSS0LA2JY4ZLJ1Z5YCMLJJZCH" localSheetId="19" hidden="1">#REF!</definedName>
    <definedName name="BExZSS0LA2JY4ZLJ1Z5YCMLJJZCH" hidden="1">#REF!</definedName>
    <definedName name="BExZTAQV2QVSZY5Y3VCCWUBSBW9P" localSheetId="19" hidden="1">#REF!</definedName>
    <definedName name="BExZTAQV2QVSZY5Y3VCCWUBSBW9P" hidden="1">#REF!</definedName>
    <definedName name="BExZTBN9GZGBJ8KW4A2BZPUYXU1F" localSheetId="19" hidden="1">#REF!</definedName>
    <definedName name="BExZTBN9GZGBJ8KW4A2BZPUYXU1F" hidden="1">#REF!</definedName>
    <definedName name="BExZTHSI2FX56PWRSNX9H5EWTZFO" localSheetId="19" hidden="1">#REF!</definedName>
    <definedName name="BExZTHSI2FX56PWRSNX9H5EWTZFO" hidden="1">#REF!</definedName>
    <definedName name="BExZTI39Q2UFW9SVCC3Q73QVFBU8" localSheetId="19" hidden="1">#REF!</definedName>
    <definedName name="BExZTI39Q2UFW9SVCC3Q73QVFBU8" hidden="1">#REF!</definedName>
    <definedName name="BExZTJL3HVBFY139H6CJHEQCT1EL" localSheetId="19" hidden="1">#REF!</definedName>
    <definedName name="BExZTJL3HVBFY139H6CJHEQCT1EL" hidden="1">#REF!</definedName>
    <definedName name="BExZTLOL8OPABZI453E0KVNA1GJS" localSheetId="19" hidden="1">#REF!</definedName>
    <definedName name="BExZTLOL8OPABZI453E0KVNA1GJS" hidden="1">#REF!</definedName>
    <definedName name="BExZTT6J3X0TOX0ZY6YPLUVMCW9X" localSheetId="19" hidden="1">#REF!</definedName>
    <definedName name="BExZTT6J3X0TOX0ZY6YPLUVMCW9X" hidden="1">#REF!</definedName>
    <definedName name="BExZTW6ECBRA0BBITWBQ8R93RMCL" localSheetId="19" hidden="1">#REF!</definedName>
    <definedName name="BExZTW6ECBRA0BBITWBQ8R93RMCL" hidden="1">#REF!</definedName>
    <definedName name="BExZU2BHYAOKSCBM3C5014ZF6IXS" localSheetId="19" hidden="1">#REF!</definedName>
    <definedName name="BExZU2BHYAOKSCBM3C5014ZF6IXS" hidden="1">#REF!</definedName>
    <definedName name="BExZU2RMJTXOCS0ROPMYPE6WTD87" localSheetId="19" hidden="1">#REF!</definedName>
    <definedName name="BExZU2RMJTXOCS0ROPMYPE6WTD87" hidden="1">#REF!</definedName>
    <definedName name="BExZUF7G8FENTJKH9R1XUWXM6CWD" localSheetId="19" hidden="1">#REF!</definedName>
    <definedName name="BExZUF7G8FENTJKH9R1XUWXM6CWD" hidden="1">#REF!</definedName>
    <definedName name="BExZUNARUJBIZ08VCAV3GEVBIR3D" localSheetId="19" hidden="1">#REF!</definedName>
    <definedName name="BExZUNARUJBIZ08VCAV3GEVBIR3D" hidden="1">#REF!</definedName>
    <definedName name="BExZUSZT5496UMBP4LFSLTR1GVEW" localSheetId="19" hidden="1">#REF!</definedName>
    <definedName name="BExZUSZT5496UMBP4LFSLTR1GVEW" hidden="1">#REF!</definedName>
    <definedName name="BExZUT54340I38GVCV79EL116WR0" localSheetId="19" hidden="1">#REF!</definedName>
    <definedName name="BExZUT54340I38GVCV79EL116WR0" hidden="1">#REF!</definedName>
    <definedName name="BExZUYDULCX65H9OZ9JHPBNKF3MI" localSheetId="19" hidden="1">#REF!</definedName>
    <definedName name="BExZUYDULCX65H9OZ9JHPBNKF3MI" hidden="1">#REF!</definedName>
    <definedName name="BExZV0192UZZ9JSP428VREBB1ZDY" localSheetId="19" hidden="1">#REF!</definedName>
    <definedName name="BExZV0192UZZ9JSP428VREBB1ZDY" hidden="1">#REF!</definedName>
    <definedName name="BExZV2QD5ZDK3AGDRULLA7JB46C3" localSheetId="19" hidden="1">#REF!</definedName>
    <definedName name="BExZV2QD5ZDK3AGDRULLA7JB46C3" hidden="1">#REF!</definedName>
    <definedName name="BExZV5FHALJ3O5Z9X9CYXRUGCC6O" localSheetId="19" hidden="1">#REF!</definedName>
    <definedName name="BExZV5FHALJ3O5Z9X9CYXRUGCC6O" hidden="1">#REF!</definedName>
    <definedName name="BExZVBQ29OM0V8XAL3HL0JIM0MMU" localSheetId="19" hidden="1">#REF!</definedName>
    <definedName name="BExZVBQ29OM0V8XAL3HL0JIM0MMU" hidden="1">#REF!</definedName>
    <definedName name="BExZVEPYS6HYXG8RN9GMWZTHDEMK" localSheetId="19" hidden="1">#REF!</definedName>
    <definedName name="BExZVEPYS6HYXG8RN9GMWZTHDEMK" hidden="1">#REF!</definedName>
    <definedName name="BExZVLM4T9ORS4ZWHME46U4Q103C" localSheetId="19" hidden="1">#REF!</definedName>
    <definedName name="BExZVLM4T9ORS4ZWHME46U4Q103C" hidden="1">#REF!</definedName>
    <definedName name="BExZVM7OZWPPRH5YQW50EYMMIW1A" localSheetId="19" hidden="1">#REF!</definedName>
    <definedName name="BExZVM7OZWPPRH5YQW50EYMMIW1A" hidden="1">#REF!</definedName>
    <definedName name="BExZVPYGX2C5OSHMZ6F0KBKZ6B1S" localSheetId="19" hidden="1">#REF!</definedName>
    <definedName name="BExZVPYGX2C5OSHMZ6F0KBKZ6B1S" hidden="1">#REF!</definedName>
    <definedName name="BExZW5UARC8W9AQNLJX2I5WQWS5F" localSheetId="19" hidden="1">#REF!</definedName>
    <definedName name="BExZW5UARC8W9AQNLJX2I5WQWS5F" hidden="1">#REF!</definedName>
    <definedName name="BExZW7HRGN6A9YS41KI2B2UUMJ7X" localSheetId="19" hidden="1">#REF!</definedName>
    <definedName name="BExZW7HRGN6A9YS41KI2B2UUMJ7X" hidden="1">#REF!</definedName>
    <definedName name="BExZW8ZPNV43UXGOT98FDNIBQHZY" localSheetId="19" hidden="1">#REF!</definedName>
    <definedName name="BExZW8ZPNV43UXGOT98FDNIBQHZY" hidden="1">#REF!</definedName>
    <definedName name="BExZWKZ5N3RDXU8MZ8HQVYYD8O0F" localSheetId="19" hidden="1">#REF!</definedName>
    <definedName name="BExZWKZ5N3RDXU8MZ8HQVYYD8O0F" hidden="1">#REF!</definedName>
    <definedName name="BExZWSMC9T48W74GFGQCIUJ8ZPP3" localSheetId="19" hidden="1">#REF!</definedName>
    <definedName name="BExZWSMC9T48W74GFGQCIUJ8ZPP3" hidden="1">#REF!</definedName>
    <definedName name="BExZWUF2V4HY3HI8JN9ZVPRWK1H3" localSheetId="19" hidden="1">#REF!</definedName>
    <definedName name="BExZWUF2V4HY3HI8JN9ZVPRWK1H3" hidden="1">#REF!</definedName>
    <definedName name="BExZWX45URTK9KYDJHEXL1OTZ833" localSheetId="19" hidden="1">#REF!</definedName>
    <definedName name="BExZWX45URTK9KYDJHEXL1OTZ833" hidden="1">#REF!</definedName>
    <definedName name="BExZWYRG26HN53ZPZ5ERJKTS6RJ1" localSheetId="19" hidden="1">#REF!</definedName>
    <definedName name="BExZWYRG26HN53ZPZ5ERJKTS6RJ1" hidden="1">#REF!</definedName>
    <definedName name="BExZX0EWQEZO86WDAD9A4EAEZ012" localSheetId="19" hidden="1">#REF!</definedName>
    <definedName name="BExZX0EWQEZO86WDAD9A4EAEZ012" hidden="1">#REF!</definedName>
    <definedName name="BExZX2T6ZT2DZLYSDJJBPVIT5OK2" localSheetId="19" hidden="1">#REF!</definedName>
    <definedName name="BExZX2T6ZT2DZLYSDJJBPVIT5OK2" hidden="1">#REF!</definedName>
    <definedName name="BExZXD01YCC2UKH6829EC0LCWB3B" localSheetId="19" hidden="1">#REF!</definedName>
    <definedName name="BExZXD01YCC2UKH6829EC0LCWB3B" hidden="1">#REF!</definedName>
    <definedName name="BExZXK6UA4ZV3XPC2N2NRSI4ZR6H" localSheetId="19" hidden="1">#REF!</definedName>
    <definedName name="BExZXK6UA4ZV3XPC2N2NRSI4ZR6H" hidden="1">#REF!</definedName>
    <definedName name="BExZXOJDELULNLEH7WG0OYJT0NJ4" localSheetId="19" hidden="1">#REF!</definedName>
    <definedName name="BExZXOJDELULNLEH7WG0OYJT0NJ4" hidden="1">#REF!</definedName>
    <definedName name="BExZXOOTRNUK8LGEAZ8ZCFW9KXQ1" localSheetId="19" hidden="1">#REF!</definedName>
    <definedName name="BExZXOOTRNUK8LGEAZ8ZCFW9KXQ1" hidden="1">#REF!</definedName>
    <definedName name="BExZXT6JOXNKEDU23DKL8XZAJZIH" localSheetId="19" hidden="1">#REF!</definedName>
    <definedName name="BExZXT6JOXNKEDU23DKL8XZAJZIH" hidden="1">#REF!</definedName>
    <definedName name="BExZXUTYW1HWEEZ1LIX4OQWC7HL1" localSheetId="19" hidden="1">#REF!</definedName>
    <definedName name="BExZXUTYW1HWEEZ1LIX4OQWC7HL1" hidden="1">#REF!</definedName>
    <definedName name="BExZXY4NKQL9QD76YMQJ15U1C2G8" localSheetId="19" hidden="1">#REF!</definedName>
    <definedName name="BExZXY4NKQL9QD76YMQJ15U1C2G8" hidden="1">#REF!</definedName>
    <definedName name="BExZXYQ7U5G08FQGUIGYT14QCBOF" localSheetId="19" hidden="1">#REF!</definedName>
    <definedName name="BExZXYQ7U5G08FQGUIGYT14QCBOF" hidden="1">#REF!</definedName>
    <definedName name="BExZY02V77YJBMODJSWZOYCMPS5X" localSheetId="19" hidden="1">#REF!</definedName>
    <definedName name="BExZY02V77YJBMODJSWZOYCMPS5X" hidden="1">#REF!</definedName>
    <definedName name="BExZY49QRZIR6CA41LFA9LM6EULU" localSheetId="19" hidden="1">#REF!</definedName>
    <definedName name="BExZY49QRZIR6CA41LFA9LM6EULU" hidden="1">#REF!</definedName>
    <definedName name="BExZYB62GGL1SOZY9U68AATTICHU" localSheetId="19" hidden="1">#REF!</definedName>
    <definedName name="BExZYB62GGL1SOZY9U68AATTICHU" hidden="1">#REF!</definedName>
    <definedName name="BExZYBBCV1AW9XEIT73TO2286ETP" localSheetId="19" hidden="1">#REF!</definedName>
    <definedName name="BExZYBBCV1AW9XEIT73TO2286ETP" hidden="1">#REF!</definedName>
    <definedName name="BExZYF262HRLEVP6L4KINWX6HBYI" localSheetId="19" hidden="1">#REF!</definedName>
    <definedName name="BExZYF262HRLEVP6L4KINWX6HBYI" hidden="1">#REF!</definedName>
    <definedName name="BExZZ2FQA9A8C7CJKMEFQ9VPSLCE" localSheetId="19" hidden="1">#REF!</definedName>
    <definedName name="BExZZ2FQA9A8C7CJKMEFQ9VPSLCE" hidden="1">#REF!</definedName>
    <definedName name="BExZZCHAVHW8C2H649KRGVQ0WVRT" localSheetId="19" hidden="1">#REF!</definedName>
    <definedName name="BExZZCHAVHW8C2H649KRGVQ0WVRT" hidden="1">#REF!</definedName>
    <definedName name="BExZZGIVJRHKETRE8HACEQE30128" localSheetId="19" hidden="1">#REF!</definedName>
    <definedName name="BExZZGIVJRHKETRE8HACEQE30128" hidden="1">#REF!</definedName>
    <definedName name="BExZZTK54OTLF2YB68BHGOS27GEN" localSheetId="19" hidden="1">#REF!</definedName>
    <definedName name="BExZZTK54OTLF2YB68BHGOS27GEN" hidden="1">#REF!</definedName>
    <definedName name="BExZZXB3JQQG4SIZS4MRU6NNW7HI" localSheetId="19" hidden="1">#REF!</definedName>
    <definedName name="BExZZXB3JQQG4SIZS4MRU6NNW7HI" hidden="1">#REF!</definedName>
    <definedName name="BExZZZEMIIFKMLLV4DJKX5TB9R5V" localSheetId="19" hidden="1">#REF!</definedName>
    <definedName name="BExZZZEMIIFKMLLV4DJKX5TB9R5V" hidden="1">#REF!</definedName>
    <definedName name="BG.print">#REF!</definedName>
    <definedName name="BGS_Cost_Scenario">[25]Assumptions!$E$33</definedName>
    <definedName name="BGS_Forecast">[40]Assumptions!#REF!</definedName>
    <definedName name="BGS_Rate" localSheetId="16">#REF!</definedName>
    <definedName name="BGS_Rate">#REF!</definedName>
    <definedName name="BGS_RFP">[25]Assumptions!$E$36</definedName>
    <definedName name="Bill" localSheetId="16">#REF!</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16">#REF!</definedName>
    <definedName name="Biomass_Growth_YR_2003">#REF!</definedName>
    <definedName name="Biomass_Growth_YR_2004" localSheetId="16">#REF!</definedName>
    <definedName name="Biomass_Growth_YR_2004">#REF!</definedName>
    <definedName name="Biomass_Growth_YR_2005" localSheetId="16">#REF!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16">#REF!</definedName>
    <definedName name="Book__Gain__Loss_on_Asset_Sale">#REF!</definedName>
    <definedName name="bpgr84">[11]Print!$C$48</definedName>
    <definedName name="bpgr85">[11]Print!$E$48</definedName>
    <definedName name="bpgr86">[11]Print!$G$48</definedName>
    <definedName name="bpgr87">[11]Print!$I$48</definedName>
    <definedName name="bpgr88">[11]Print!$K$48</definedName>
    <definedName name="bpqre84">[11]Print!$C$41</definedName>
    <definedName name="bpqre85">[11]Print!$E$41</definedName>
    <definedName name="bpqre86">[11]Print!$G$41</definedName>
    <definedName name="bpqre87">[11]Print!$I$41</definedName>
    <definedName name="bpqre88">[11]Print!$K$41</definedName>
    <definedName name="Brenda" localSheetId="16">#REF!</definedName>
    <definedName name="Brenda">#REF!</definedName>
    <definedName name="bu10total100" localSheetId="16">#REF!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[11]B_U_10!$C$95</definedName>
    <definedName name="bu10total84a">[11]B_U_10!$C$103</definedName>
    <definedName name="bu10total85">[11]B_U_10!$D$95</definedName>
    <definedName name="bu10total85a">[11]B_U_10!$D$103</definedName>
    <definedName name="bu10total86">[11]B_U_10!$E$95</definedName>
    <definedName name="bu10total86a">[11]B_U_10!$E$103</definedName>
    <definedName name="bu10total87">[11]B_U_10!$F$95</definedName>
    <definedName name="bu10total87a">[11]B_U_10!$F$103</definedName>
    <definedName name="bu10total88">[11]B_U_10!$G$95</definedName>
    <definedName name="bu10total88a">[11]B_U_10!$G$103</definedName>
    <definedName name="bu10total89">[11]B_U_10!$H$95</definedName>
    <definedName name="bu10total89a">[11]B_U_10!$H$103</definedName>
    <definedName name="bu10total90">[11]B_U_10!$I$95</definedName>
    <definedName name="bu10total90a">[11]B_U_10!$I$103</definedName>
    <definedName name="bu10total91">[11]B_U_10!$J$95</definedName>
    <definedName name="bu10total91a">[11]B_U_10!$J$103</definedName>
    <definedName name="bu10total92">[11]B_U_10!$K$95</definedName>
    <definedName name="bu10total92a">[11]B_U_10!$K$103</definedName>
    <definedName name="bu10total93">[11]B_U_10!$L$95</definedName>
    <definedName name="bu10total93a">[11]B_U_10!$L$103</definedName>
    <definedName name="bu10total94">[11]B_U_10!$M$95</definedName>
    <definedName name="bu10total94a">[11]B_U_10!$M$103</definedName>
    <definedName name="bu10total95">[11]B_U_10!$N$95</definedName>
    <definedName name="bu10total95a">[11]B_U_10!$N$103</definedName>
    <definedName name="bu10total96">[11]B_U_10!$O$95</definedName>
    <definedName name="bu10total96a">[11]B_U_10!$O$103</definedName>
    <definedName name="bu10total97">[11]B_U_10!$P$95</definedName>
    <definedName name="bu10total97a">[11]B_U_10!$P$103</definedName>
    <definedName name="bu10total98">[11]B_U_10!$Q$95</definedName>
    <definedName name="bu10total98a">[11]B_U_10!$Q$103</definedName>
    <definedName name="bu10total99" localSheetId="16">#REF!</definedName>
    <definedName name="bu10total99">#REF!</definedName>
    <definedName name="bu10total99a" localSheetId="16">#REF!</definedName>
    <definedName name="bu10total99a">#REF!</definedName>
    <definedName name="bu11total100" localSheetId="16">#REF!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[11]B_U_11!$C$95</definedName>
    <definedName name="bu11total84a">[11]B_U_11!$C$103</definedName>
    <definedName name="bu11total85">[11]B_U_11!$D$95</definedName>
    <definedName name="bu11total85a">[11]B_U_11!$D$103</definedName>
    <definedName name="bu11total86">[11]B_U_11!$E$95</definedName>
    <definedName name="bu11total86a">[11]B_U_11!$E$103</definedName>
    <definedName name="bu11total87">[11]B_U_11!$F$95</definedName>
    <definedName name="bu11total87a">[11]B_U_11!$F$103</definedName>
    <definedName name="bu11total88">[11]B_U_11!$G$95</definedName>
    <definedName name="bu11total88a">[11]B_U_11!$G$103</definedName>
    <definedName name="bu11total89">[11]B_U_11!$H$95</definedName>
    <definedName name="bu11total89a">[11]B_U_11!$H$103</definedName>
    <definedName name="bu11total90">[11]B_U_11!$I$95</definedName>
    <definedName name="bu11total90a">[11]B_U_11!$I$103</definedName>
    <definedName name="bu11total91">[11]B_U_11!$J$95</definedName>
    <definedName name="bu11total91a">[11]B_U_11!$J$103</definedName>
    <definedName name="bu11total92">[11]B_U_11!$K$95</definedName>
    <definedName name="bu11total92a">[11]B_U_11!$K$103</definedName>
    <definedName name="bu11total93">[11]B_U_11!$L$95</definedName>
    <definedName name="bu11total93a">[11]B_U_11!$L$103</definedName>
    <definedName name="bu11total94">[11]B_U_11!$M$95</definedName>
    <definedName name="bu11total94a">[11]B_U_11!$M$103</definedName>
    <definedName name="bu11total95">[11]B_U_11!$N$95</definedName>
    <definedName name="bu11total95a">[11]B_U_11!$N$103</definedName>
    <definedName name="bu11total96">[11]B_U_11!$O$95</definedName>
    <definedName name="bu11total96a">[11]B_U_11!$O$103</definedName>
    <definedName name="bu11total97">[11]B_U_11!$P$95</definedName>
    <definedName name="bu11total97a">[11]B_U_11!$P$103</definedName>
    <definedName name="bu11total98">[11]B_U_11!$Q$95</definedName>
    <definedName name="bu11total98a">[11]B_U_11!$Q$103</definedName>
    <definedName name="bu11total99" localSheetId="16">#REF!</definedName>
    <definedName name="bu11total99">#REF!</definedName>
    <definedName name="bu11total99a" localSheetId="16">#REF!</definedName>
    <definedName name="bu11total99a">#REF!</definedName>
    <definedName name="bu12total100" localSheetId="16">#REF!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[11]B_U_12!$C$95</definedName>
    <definedName name="bu12total84a">[11]B_U_12!$C$103</definedName>
    <definedName name="bu12total85">[11]B_U_12!$D$95</definedName>
    <definedName name="bu12total85a">[11]B_U_12!$D$103</definedName>
    <definedName name="bu12total86">[11]B_U_12!$E$95</definedName>
    <definedName name="bu12total86a">[11]B_U_12!$E$103</definedName>
    <definedName name="bu12total87">[11]B_U_12!$F$95</definedName>
    <definedName name="bu12total87a">[11]B_U_12!$F$103</definedName>
    <definedName name="bu12total88">[11]B_U_12!$G$95</definedName>
    <definedName name="bu12total88a">[11]B_U_12!$G$103</definedName>
    <definedName name="bu12total89">[11]B_U_12!$H$95</definedName>
    <definedName name="bu12total89a">[11]B_U_12!$H$103</definedName>
    <definedName name="bu12total90">[11]B_U_12!$I$95</definedName>
    <definedName name="bu12total90a">[11]B_U_12!$I$103</definedName>
    <definedName name="bu12total91">[11]B_U_12!$J$95</definedName>
    <definedName name="bu12total91a">[11]B_U_12!$J$103</definedName>
    <definedName name="bu12total92">[11]B_U_12!$K$95</definedName>
    <definedName name="bu12total92a">[11]B_U_12!$K$103</definedName>
    <definedName name="bu12total93">[11]B_U_12!$L$95</definedName>
    <definedName name="bu12total93a">[11]B_U_12!$L$103</definedName>
    <definedName name="bu12total94">[11]B_U_12!$M$95</definedName>
    <definedName name="bu12total94a">[11]B_U_12!$M$103</definedName>
    <definedName name="bu12total95">[11]B_U_12!$N$95</definedName>
    <definedName name="bu12total95a">[11]B_U_12!$N$103</definedName>
    <definedName name="bu12total96">[11]B_U_12!$O$95</definedName>
    <definedName name="bu12total96a">[11]B_U_12!$O$103</definedName>
    <definedName name="bu12total97">[11]B_U_12!$P$95</definedName>
    <definedName name="bu12total97a">[11]B_U_12!$P$103</definedName>
    <definedName name="bu12total98">[11]B_U_12!$Q$95</definedName>
    <definedName name="bu12total98a">[11]B_U_12!$Q$103</definedName>
    <definedName name="bu12total99" localSheetId="16">#REF!</definedName>
    <definedName name="bu12total99">#REF!</definedName>
    <definedName name="bu12total99a" localSheetId="16">#REF!</definedName>
    <definedName name="bu12total99a">#REF!</definedName>
    <definedName name="bu13total100" localSheetId="16">#REF!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[11]B_U_13!$C$95</definedName>
    <definedName name="bu13total84a">[11]B_U_13!$C$103</definedName>
    <definedName name="bu13total85">[11]B_U_13!$D$95</definedName>
    <definedName name="bu13total85a">[11]B_U_13!$D$103</definedName>
    <definedName name="bu13total86">[11]B_U_13!$E$95</definedName>
    <definedName name="bu13total86a">[11]B_U_13!$E$103</definedName>
    <definedName name="bu13total87">[11]B_U_13!$F$95</definedName>
    <definedName name="bu13total87a">[11]B_U_13!$F$103</definedName>
    <definedName name="bu13total88">[11]B_U_13!$G$95</definedName>
    <definedName name="bu13total88a">[11]B_U_13!$G$103</definedName>
    <definedName name="bu13total89">[11]B_U_13!$H$95</definedName>
    <definedName name="bu13total89a">[11]B_U_13!$H$103</definedName>
    <definedName name="bu13total90">[11]B_U_13!$I$95</definedName>
    <definedName name="bu13total90a">[11]B_U_13!$I$103</definedName>
    <definedName name="bu13total91">[11]B_U_13!$J$95</definedName>
    <definedName name="bu13total91a">[11]B_U_13!$J$103</definedName>
    <definedName name="bu13total92">[11]B_U_13!$K$95</definedName>
    <definedName name="bu13total92a">[11]B_U_13!$K$103</definedName>
    <definedName name="bu13total93">[11]B_U_13!$L$95</definedName>
    <definedName name="bu13total93a">[11]B_U_13!$L$103</definedName>
    <definedName name="bu13total94">[11]B_U_13!$M$95</definedName>
    <definedName name="bu13total94a">[11]B_U_13!$M$103</definedName>
    <definedName name="bu13total95">[11]B_U_13!$N$95</definedName>
    <definedName name="bu13total95a">[11]B_U_13!$N$103</definedName>
    <definedName name="bu13total96">[11]B_U_13!$O$95</definedName>
    <definedName name="bu13total96a">[11]B_U_13!$O$103</definedName>
    <definedName name="bu13total97">[11]B_U_13!$P$95</definedName>
    <definedName name="bu13total97a">[11]B_U_13!$P$103</definedName>
    <definedName name="bu13total98">[11]B_U_13!$Q$95</definedName>
    <definedName name="bu13total98a">[11]B_U_13!$Q$103</definedName>
    <definedName name="bu13total99" localSheetId="16">#REF!</definedName>
    <definedName name="bu13total99">#REF!</definedName>
    <definedName name="bu13total99a" localSheetId="16">#REF!</definedName>
    <definedName name="bu13total99a">#REF!</definedName>
    <definedName name="bu14total100" localSheetId="16">#REF!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[11]B_U_14!$C$95</definedName>
    <definedName name="bu14total84a">[11]B_U_14!$C$103</definedName>
    <definedName name="bu14total85">[11]B_U_14!$D$95</definedName>
    <definedName name="bu14total85a">[11]B_U_14!$D$103</definedName>
    <definedName name="bu14total86">[11]B_U_14!$E$95</definedName>
    <definedName name="bu14total86a">[11]B_U_14!$E$103</definedName>
    <definedName name="bu14total87">[11]B_U_14!$F$95</definedName>
    <definedName name="bu14total87a">[11]B_U_14!$F$103</definedName>
    <definedName name="bu14total88">[11]B_U_14!$G$95</definedName>
    <definedName name="bu14total88a">[11]B_U_14!$G$103</definedName>
    <definedName name="bu14total89">[11]B_U_14!$H$95</definedName>
    <definedName name="bu14total89a">[11]B_U_14!$H$103</definedName>
    <definedName name="bu14total90">[11]B_U_14!$I$95</definedName>
    <definedName name="bu14total90a">[11]B_U_14!$I$103</definedName>
    <definedName name="bu14total91">[11]B_U_14!$J$95</definedName>
    <definedName name="bu14total91a">[11]B_U_14!$J$103</definedName>
    <definedName name="bu14total92">[11]B_U_14!$K$95</definedName>
    <definedName name="bu14total92a">[11]B_U_14!$K$103</definedName>
    <definedName name="bu14total93">[11]B_U_14!$L$95</definedName>
    <definedName name="bu14total93a">[11]B_U_14!$L$103</definedName>
    <definedName name="bu14total94">[11]B_U_14!$M$95</definedName>
    <definedName name="bu14total94a">[11]B_U_14!$M$103</definedName>
    <definedName name="bu14total95">[11]B_U_14!$N$95</definedName>
    <definedName name="bu14total95a">[11]B_U_14!$N$103</definedName>
    <definedName name="bu14total96">[11]B_U_14!$O$95</definedName>
    <definedName name="bu14total96a">[11]B_U_14!$O$103</definedName>
    <definedName name="bu14total97">[11]B_U_14!$P$95</definedName>
    <definedName name="bu14total97a">[11]B_U_14!$P$103</definedName>
    <definedName name="bu14total98">[11]B_U_14!$Q$95</definedName>
    <definedName name="bu14total98a">[11]B_U_14!$Q$103</definedName>
    <definedName name="bu14total99" localSheetId="16">#REF!</definedName>
    <definedName name="bu14total99">#REF!</definedName>
    <definedName name="bu14total99a" localSheetId="16">#REF!</definedName>
    <definedName name="bu14total99a">#REF!</definedName>
    <definedName name="bu15total100" localSheetId="16">#REF!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[11]B_U_15!$C$95</definedName>
    <definedName name="bu15total84a">[11]B_U_15!$C$103</definedName>
    <definedName name="bu15total85">[11]B_U_15!$D$95</definedName>
    <definedName name="bu15total85a">[11]B_U_15!$D$103</definedName>
    <definedName name="bu15total86">[11]B_U_15!$E$95</definedName>
    <definedName name="bu15total86a">[11]B_U_15!$E$103</definedName>
    <definedName name="bu15total87">[11]B_U_15!$F$95</definedName>
    <definedName name="bu15total87a">[11]B_U_15!$F$103</definedName>
    <definedName name="bu15total88">[11]B_U_15!$G$95</definedName>
    <definedName name="bu15total88a">[11]B_U_15!$G$103</definedName>
    <definedName name="bu15total89">[11]B_U_15!$H$95</definedName>
    <definedName name="bu15total89a">[11]B_U_15!$H$103</definedName>
    <definedName name="bu15total90">[11]B_U_15!$I$95</definedName>
    <definedName name="bu15total90a">[11]B_U_15!$I$103</definedName>
    <definedName name="bu15total91">[11]B_U_15!$J$95</definedName>
    <definedName name="bu15total91a">[11]B_U_15!$J$103</definedName>
    <definedName name="bu15total92">[11]B_U_15!$K$95</definedName>
    <definedName name="bu15total92a">[11]B_U_15!$K$103</definedName>
    <definedName name="bu15total93">[11]B_U_15!$L$95</definedName>
    <definedName name="bu15total93a">[11]B_U_15!$L$103</definedName>
    <definedName name="bu15total94">[11]B_U_15!$M$95</definedName>
    <definedName name="bu15total94a">[11]B_U_15!$M$103</definedName>
    <definedName name="bu15total95">[11]B_U_15!$N$95</definedName>
    <definedName name="bu15total95a">[11]B_U_15!$N$103</definedName>
    <definedName name="bu15total96">[11]B_U_15!$O$95</definedName>
    <definedName name="bu15total96a">[11]B_U_15!$O$103</definedName>
    <definedName name="bu15total97">[11]B_U_15!$P$95</definedName>
    <definedName name="bu15total97a">[11]B_U_15!$P$103</definedName>
    <definedName name="bu15total98">[11]B_U_15!$Q$95</definedName>
    <definedName name="bu15total98a">[11]B_U_15!$Q$103</definedName>
    <definedName name="bu15total99" localSheetId="16">#REF!</definedName>
    <definedName name="bu15total99">#REF!</definedName>
    <definedName name="bu15total99a" localSheetId="16">#REF!</definedName>
    <definedName name="bu15total99a">#REF!</definedName>
    <definedName name="bu16total100" localSheetId="16">#REF!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[11]B_U_16!$C$95</definedName>
    <definedName name="bu16total84a">[11]B_U_16!$C$103</definedName>
    <definedName name="bu16total85">[11]B_U_16!$D$95</definedName>
    <definedName name="bu16total85a">[11]B_U_16!$D$103</definedName>
    <definedName name="bu16total86">[11]B_U_16!$E$95</definedName>
    <definedName name="bu16total86a">[11]B_U_16!$E$103</definedName>
    <definedName name="bu16total87">[11]B_U_16!$F$95</definedName>
    <definedName name="bu16total87a">[11]B_U_16!$F$103</definedName>
    <definedName name="bu16total88">[11]B_U_16!$G$95</definedName>
    <definedName name="bu16total88a">[11]B_U_16!$G$103</definedName>
    <definedName name="bu16total89">[11]B_U_16!$H$95</definedName>
    <definedName name="bu16total89a">[11]B_U_16!$H$103</definedName>
    <definedName name="bu16total90">[11]B_U_16!$I$95</definedName>
    <definedName name="bu16total90a">[11]B_U_16!$I$103</definedName>
    <definedName name="bu16total91">[11]B_U_16!$J$95</definedName>
    <definedName name="bu16total91a">[11]B_U_16!$J$103</definedName>
    <definedName name="bu16total92">[11]B_U_16!$K$95</definedName>
    <definedName name="bu16total92a">[11]B_U_16!$K$103</definedName>
    <definedName name="bu16total93">[11]B_U_16!$L$95</definedName>
    <definedName name="bu16total93a">[11]B_U_16!$L$103</definedName>
    <definedName name="bu16total94">[11]B_U_16!$M$95</definedName>
    <definedName name="bu16total94a">[11]B_U_16!$M$103</definedName>
    <definedName name="bu16total95">[11]B_U_16!$N$95</definedName>
    <definedName name="bu16total95a">[11]B_U_16!$N$103</definedName>
    <definedName name="bu16total96">[11]B_U_16!$O$95</definedName>
    <definedName name="bu16total96a">[11]B_U_16!$O$103</definedName>
    <definedName name="bu16total97">[11]B_U_16!$P$95</definedName>
    <definedName name="bu16total97a">[11]B_U_16!$P$103</definedName>
    <definedName name="bu16total98">[11]B_U_16!$Q$95</definedName>
    <definedName name="bu16total98a">[11]B_U_16!$Q$103</definedName>
    <definedName name="bu16total99" localSheetId="16">#REF!</definedName>
    <definedName name="bu16total99">#REF!</definedName>
    <definedName name="bu16total99a" localSheetId="16">#REF!</definedName>
    <definedName name="bu16total99a">#REF!</definedName>
    <definedName name="bu17total100" localSheetId="16">#REF!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[11]B_U_17!$C$95</definedName>
    <definedName name="bu17total84a">[11]B_U_17!$C$103</definedName>
    <definedName name="bu17total85">[11]B_U_17!$D$95</definedName>
    <definedName name="bu17total85a">[11]B_U_17!$D$103</definedName>
    <definedName name="bu17total86">[11]B_U_17!$E$95</definedName>
    <definedName name="bu17total86a">[11]B_U_17!$E$103</definedName>
    <definedName name="bu17total87">[11]B_U_17!$F$95</definedName>
    <definedName name="bu17total87a">[11]B_U_17!$F$103</definedName>
    <definedName name="bu17total88">[11]B_U_17!$G$95</definedName>
    <definedName name="bu17total88a">[11]B_U_17!$G$103</definedName>
    <definedName name="bu17total89">[11]B_U_17!$H$95</definedName>
    <definedName name="bu17total89a">[11]B_U_17!$H$103</definedName>
    <definedName name="bu17total90">[11]B_U_17!$I$95</definedName>
    <definedName name="bu17total90a">[11]B_U_17!$I$103</definedName>
    <definedName name="bu17total91">[11]B_U_17!$J$95</definedName>
    <definedName name="bu17total91a">[11]B_U_17!$J$103</definedName>
    <definedName name="bu17total92">[11]B_U_17!$K$95</definedName>
    <definedName name="bu17total92a">[11]B_U_17!$K$103</definedName>
    <definedName name="bu17total93">[11]B_U_17!$L$95</definedName>
    <definedName name="bu17total93a">[11]B_U_17!$L$103</definedName>
    <definedName name="bu17total94">[11]B_U_17!$M$95</definedName>
    <definedName name="bu17total94a">[11]B_U_17!$M$103</definedName>
    <definedName name="bu17total95">[11]B_U_17!$N$95</definedName>
    <definedName name="bu17total95a">[11]B_U_17!$N$103</definedName>
    <definedName name="bu17total96">[11]B_U_17!$O$95</definedName>
    <definedName name="bu17total96a">[11]B_U_17!$O$103</definedName>
    <definedName name="bu17total97">[11]B_U_17!$P$95</definedName>
    <definedName name="bu17total97a">[11]B_U_17!$P$103</definedName>
    <definedName name="bu17total98">[11]B_U_17!$Q$95</definedName>
    <definedName name="bu17total98a">[11]B_U_17!$Q$103</definedName>
    <definedName name="bu17total99" localSheetId="16">#REF!</definedName>
    <definedName name="bu17total99">#REF!</definedName>
    <definedName name="bu17total99a" localSheetId="16">#REF!</definedName>
    <definedName name="bu17total99a">#REF!</definedName>
    <definedName name="bu18total100" localSheetId="16">#REF!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[11]B_U_18!$C$95</definedName>
    <definedName name="bu18total84a">[11]B_U_18!$C$103</definedName>
    <definedName name="bu18total85">[11]B_U_18!$D$95</definedName>
    <definedName name="bu18total85a">[11]B_U_18!$D$103</definedName>
    <definedName name="bu18total86">[11]B_U_18!$E$95</definedName>
    <definedName name="bu18total86a">[11]B_U_18!$E$103</definedName>
    <definedName name="bu18total87">[11]B_U_18!$F$95</definedName>
    <definedName name="bu18total87a">[11]B_U_18!$F$103</definedName>
    <definedName name="bu18total88">[11]B_U_18!$G$95</definedName>
    <definedName name="bu18total88a">[11]B_U_18!$G$103</definedName>
    <definedName name="bu18total89">[11]B_U_18!$H$95</definedName>
    <definedName name="bu18total89a">[11]B_U_18!$H$103</definedName>
    <definedName name="bu18total90">[11]B_U_18!$I$95</definedName>
    <definedName name="bu18total90a">[11]B_U_18!$I$103</definedName>
    <definedName name="bu18total91">[11]B_U_18!$J$95</definedName>
    <definedName name="bu18total91a">[11]B_U_18!$J$103</definedName>
    <definedName name="bu18total92">[11]B_U_18!$K$95</definedName>
    <definedName name="bu18total92a">[11]B_U_18!$K$103</definedName>
    <definedName name="bu18total93">[11]B_U_18!$L$95</definedName>
    <definedName name="bu18total93a">[11]B_U_18!$L$103</definedName>
    <definedName name="bu18total94">[11]B_U_18!$M$95</definedName>
    <definedName name="bu18total94a">[11]B_U_18!$M$103</definedName>
    <definedName name="bu18total95">[11]B_U_18!$N$95</definedName>
    <definedName name="bu18total95a">[11]B_U_18!$N$103</definedName>
    <definedName name="bu18total96">[11]B_U_18!$O$95</definedName>
    <definedName name="bu18total96a">[11]B_U_18!$O$103</definedName>
    <definedName name="bu18total97">[11]B_U_18!$P$95</definedName>
    <definedName name="bu18total97a">[11]B_U_18!$P$103</definedName>
    <definedName name="bu18total98">[11]B_U_18!$Q$95</definedName>
    <definedName name="bu18total98a">[11]B_U_18!$Q$103</definedName>
    <definedName name="bu18total99" localSheetId="16">#REF!</definedName>
    <definedName name="bu18total99">#REF!</definedName>
    <definedName name="bu18total99a" localSheetId="16">#REF!</definedName>
    <definedName name="bu18total99a">#REF!</definedName>
    <definedName name="bu19total100" localSheetId="16">#REF!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[11]B_U_19!$C$95</definedName>
    <definedName name="bu19total84a">[11]B_U_19!$C$103</definedName>
    <definedName name="bu19total85">[11]B_U_19!$D$95</definedName>
    <definedName name="bu19total85a">[11]B_U_19!$D$103</definedName>
    <definedName name="bu19total86">[11]B_U_19!$E$95</definedName>
    <definedName name="bu19total86a">[11]B_U_19!$E$103</definedName>
    <definedName name="bu19total87">[11]B_U_19!$F$95</definedName>
    <definedName name="bu19total87a">[11]B_U_19!$F$103</definedName>
    <definedName name="bu19total88">[11]B_U_19!$G$95</definedName>
    <definedName name="bu19total88a">[11]B_U_19!$G$103</definedName>
    <definedName name="bu19total89">[11]B_U_19!$H$95</definedName>
    <definedName name="bu19total89a">[11]B_U_19!$H$103</definedName>
    <definedName name="bu19total90">[11]B_U_19!$I$95</definedName>
    <definedName name="bu19total90a">[11]B_U_19!$I$103</definedName>
    <definedName name="bu19total91">[11]B_U_19!$J$95</definedName>
    <definedName name="bu19total91a">[11]B_U_19!$J$103</definedName>
    <definedName name="bu19total92">[11]B_U_19!$K$95</definedName>
    <definedName name="bu19total92a">[11]B_U_19!$K$103</definedName>
    <definedName name="bu19total93">[11]B_U_19!$L$95</definedName>
    <definedName name="bu19total93a">[11]B_U_19!$L$103</definedName>
    <definedName name="bu19total94">[11]B_U_19!$M$95</definedName>
    <definedName name="bu19total94a">[11]B_U_19!$M$103</definedName>
    <definedName name="bu19total95">[11]B_U_19!$N$95</definedName>
    <definedName name="bu19total95a">[11]B_U_19!$N$103</definedName>
    <definedName name="bu19total96">[11]B_U_19!$O$95</definedName>
    <definedName name="bu19total96a">[11]B_U_19!$O$103</definedName>
    <definedName name="bu19total97">[11]B_U_19!$P$95</definedName>
    <definedName name="bu19total97a">[11]B_U_19!$P$103</definedName>
    <definedName name="bu19total98">[11]B_U_19!$Q$95</definedName>
    <definedName name="bu19total98a">[11]B_U_19!$Q$103</definedName>
    <definedName name="bu19total99" localSheetId="16">#REF!</definedName>
    <definedName name="bu19total99">#REF!</definedName>
    <definedName name="bu19total99a" localSheetId="16">#REF!</definedName>
    <definedName name="bu19total99a">#REF!</definedName>
    <definedName name="bu1total100" localSheetId="16">#REF!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'[11]PHASE II'!$C$95</definedName>
    <definedName name="bu1total84a">'[11]PHASE II'!$C$103</definedName>
    <definedName name="bu1total85">'[11]PHASE II'!$D$95</definedName>
    <definedName name="bu1total85a">'[11]PHASE II'!$D$103</definedName>
    <definedName name="bu1total86">'[11]PHASE II'!$E$95</definedName>
    <definedName name="bu1total86a">'[11]PHASE II'!$E$103</definedName>
    <definedName name="bu1total87">'[11]PHASE II'!$F$95</definedName>
    <definedName name="bu1total87a">'[11]PHASE II'!$F$103</definedName>
    <definedName name="bu1total88">'[11]PHASE II'!$G$95</definedName>
    <definedName name="bu1total88a">'[11]PHASE II'!$G$103</definedName>
    <definedName name="bu1total89">'[11]PHASE II'!$H$95</definedName>
    <definedName name="bu1total89a">'[11]PHASE II'!$H$103</definedName>
    <definedName name="bu1total90">'[11]PHASE II'!$I$95</definedName>
    <definedName name="bu1total90a">'[11]PHASE II'!$I$103</definedName>
    <definedName name="bu1total91">'[11]PHASE II'!$K$95</definedName>
    <definedName name="bu1total91a">'[11]PHASE II'!$K$103</definedName>
    <definedName name="bu1total92">'[11]PHASE II'!$M$95</definedName>
    <definedName name="bu1total92a">'[11]PHASE II'!$M$103</definedName>
    <definedName name="bu1total93">'[11]PHASE II'!$O$95</definedName>
    <definedName name="bu1total93a">'[11]PHASE II'!$O$103</definedName>
    <definedName name="bu1total94">'[11]PHASE II'!$Q$95</definedName>
    <definedName name="bu1total94a">'[11]PHASE II'!$Q$103</definedName>
    <definedName name="bu1total95">'[11]PHASE II'!$S$95</definedName>
    <definedName name="bu1total95a">'[11]PHASE II'!$S$103</definedName>
    <definedName name="bu1total96">'[11]PHASE II'!$T$95</definedName>
    <definedName name="bu1total96a">'[11]PHASE II'!$T$103</definedName>
    <definedName name="bu1total97">'[11]PHASE II'!$U$95</definedName>
    <definedName name="bu1total97a">'[11]PHASE II'!$U$103</definedName>
    <definedName name="bu1total98">'[11]PHASE II'!$W$95</definedName>
    <definedName name="bu1total98a">'[11]PHASE II'!$W$103</definedName>
    <definedName name="bu1total99" localSheetId="16">#REF!</definedName>
    <definedName name="bu1total99">#REF!</definedName>
    <definedName name="bu1total99a" localSheetId="16">#REF!</definedName>
    <definedName name="bu1total99a">#REF!</definedName>
    <definedName name="bu20total100" localSheetId="16">#REF!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[11]B_U_20!$C$95</definedName>
    <definedName name="bu20total84a">[11]B_U_20!$C$103</definedName>
    <definedName name="bu20total85">[11]B_U_20!$D$95</definedName>
    <definedName name="bu20total85a">[11]B_U_20!$D$103</definedName>
    <definedName name="bu20total86">[11]B_U_20!$E$95</definedName>
    <definedName name="bu20total86a">[11]B_U_20!$E$103</definedName>
    <definedName name="bu20total87">[11]B_U_20!$F$95</definedName>
    <definedName name="bu20total87a">[11]B_U_20!$F$103</definedName>
    <definedName name="bu20total88">[11]B_U_20!$G$95</definedName>
    <definedName name="bu20total88a">[11]B_U_20!$G$103</definedName>
    <definedName name="bu20total89">[11]B_U_20!$H$95</definedName>
    <definedName name="bu20total89a">[11]B_U_20!$H$103</definedName>
    <definedName name="bu20total90">[11]B_U_20!$I$95</definedName>
    <definedName name="bu20total90a">[11]B_U_20!$I$103</definedName>
    <definedName name="bu20total91">[11]B_U_20!$J$95</definedName>
    <definedName name="bu20total91a">[11]B_U_20!$J$103</definedName>
    <definedName name="bu20total92">[11]B_U_20!$K$95</definedName>
    <definedName name="bu20total92a">[11]B_U_20!$K$103</definedName>
    <definedName name="bu20total93">[11]B_U_20!$L$95</definedName>
    <definedName name="bu20total93a">[11]B_U_20!$L$103</definedName>
    <definedName name="bu20total94">[11]B_U_20!$M$95</definedName>
    <definedName name="bu20total94a">[11]B_U_20!$M$103</definedName>
    <definedName name="bu20total95">[11]B_U_20!$N$95</definedName>
    <definedName name="bu20total95a">[11]B_U_20!$N$103</definedName>
    <definedName name="bu20total96">[11]B_U_20!$O$95</definedName>
    <definedName name="bu20total96a">[11]B_U_20!$O$103</definedName>
    <definedName name="bu20total97">[11]B_U_20!$P$95</definedName>
    <definedName name="bu20total97a">[11]B_U_20!$P$103</definedName>
    <definedName name="bu20total98">[11]B_U_20!$Q$95</definedName>
    <definedName name="bu20total98a">[11]B_U_20!$Q$103</definedName>
    <definedName name="bu20total99" localSheetId="16">#REF!</definedName>
    <definedName name="bu20total99">#REF!</definedName>
    <definedName name="bu20total99a" localSheetId="16">#REF!</definedName>
    <definedName name="bu20total99a">#REF!</definedName>
    <definedName name="bu21total100" localSheetId="16">#REF!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[11]B_U_21!$C$95</definedName>
    <definedName name="bu21total84a">[11]B_U_21!$C$103</definedName>
    <definedName name="bu21total85">[11]B_U_21!$D$95</definedName>
    <definedName name="bu21total85a">[11]B_U_21!$D$103</definedName>
    <definedName name="bu21total86">[11]B_U_21!$E$95</definedName>
    <definedName name="bu21total86a">[11]B_U_21!$E$103</definedName>
    <definedName name="bu21total87">[11]B_U_21!$F$95</definedName>
    <definedName name="bu21total87a">[11]B_U_21!$F$103</definedName>
    <definedName name="bu21total88">[11]B_U_21!$G$95</definedName>
    <definedName name="bu21total88a">[11]B_U_21!$G$103</definedName>
    <definedName name="bu21total89">[11]B_U_21!$H$95</definedName>
    <definedName name="bu21total89a">[11]B_U_21!$H$103</definedName>
    <definedName name="bu21total90">[11]B_U_21!$I$95</definedName>
    <definedName name="bu21total90a">[11]B_U_21!$I$103</definedName>
    <definedName name="bu21total91">[11]B_U_21!$J$95</definedName>
    <definedName name="bu21total91a">[11]B_U_21!$J$103</definedName>
    <definedName name="bu21total92">[11]B_U_21!$K$95</definedName>
    <definedName name="bu21total92a">[11]B_U_21!$K$103</definedName>
    <definedName name="bu21total93">[11]B_U_21!$L$95</definedName>
    <definedName name="bu21total93a">[11]B_U_21!$L$103</definedName>
    <definedName name="bu21total94">[11]B_U_21!$M$95</definedName>
    <definedName name="bu21total94a">[11]B_U_21!$M$103</definedName>
    <definedName name="bu21total95">[11]B_U_21!$N$95</definedName>
    <definedName name="bu21total95a">[11]B_U_21!$N$103</definedName>
    <definedName name="bu21total96">[11]B_U_21!$O$95</definedName>
    <definedName name="bu21total96a">[11]B_U_21!$O$103</definedName>
    <definedName name="bu21total97">[11]B_U_21!$P$95</definedName>
    <definedName name="bu21total97a">[11]B_U_21!$P$103</definedName>
    <definedName name="bu21total98">[11]B_U_21!$Q$95</definedName>
    <definedName name="bu21total98a">[11]B_U_21!$Q$103</definedName>
    <definedName name="bu21total99" localSheetId="16">#REF!</definedName>
    <definedName name="bu21total99">#REF!</definedName>
    <definedName name="bu21total99a" localSheetId="16">#REF!</definedName>
    <definedName name="bu21total99a">#REF!</definedName>
    <definedName name="bu22total100" localSheetId="16">#REF!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[11]B_U_22!$C$95</definedName>
    <definedName name="bu22total84a">[11]B_U_22!$C$103</definedName>
    <definedName name="bu22total85">[11]B_U_22!$D$95</definedName>
    <definedName name="bu22total85a">[11]B_U_22!$D$103</definedName>
    <definedName name="bu22total86">[11]B_U_22!$E$95</definedName>
    <definedName name="bu22total86a">[11]B_U_22!$E$103</definedName>
    <definedName name="bu22total87">[11]B_U_22!$F$95</definedName>
    <definedName name="bu22total87a">[11]B_U_22!$F$103</definedName>
    <definedName name="bu22total88">[11]B_U_22!$G$95</definedName>
    <definedName name="bu22total88a">[11]B_U_22!$G$103</definedName>
    <definedName name="bu22total89">[11]B_U_22!$H$95</definedName>
    <definedName name="bu22total89a">[11]B_U_22!$H$103</definedName>
    <definedName name="bu22total90">[11]B_U_22!$I$95</definedName>
    <definedName name="bu22total90a">[11]B_U_22!$I$103</definedName>
    <definedName name="bu22total91">[11]B_U_22!$J$95</definedName>
    <definedName name="bu22total91a">[11]B_U_22!$J$103</definedName>
    <definedName name="bu22total92">[11]B_U_22!$K$95</definedName>
    <definedName name="bu22total92a">[11]B_U_22!$K$103</definedName>
    <definedName name="bu22total93">[11]B_U_22!$L$95</definedName>
    <definedName name="bu22total93a">[11]B_U_22!$L$103</definedName>
    <definedName name="bu22total94">[11]B_U_22!$M$95</definedName>
    <definedName name="bu22total94a">[11]B_U_22!$M$103</definedName>
    <definedName name="bu22total95">[11]B_U_22!$N$95</definedName>
    <definedName name="bu22total95a">[11]B_U_22!$N$103</definedName>
    <definedName name="bu22total96">[11]B_U_22!$O$95</definedName>
    <definedName name="bu22total96a">[11]B_U_22!$O$103</definedName>
    <definedName name="bu22total97">[11]B_U_22!$P$95</definedName>
    <definedName name="bu22total97a">[11]B_U_22!$P$103</definedName>
    <definedName name="bu22total98">[11]B_U_22!$Q$95</definedName>
    <definedName name="bu22total98a">[11]B_U_22!$Q$103</definedName>
    <definedName name="bu22total99" localSheetId="16">#REF!</definedName>
    <definedName name="bu22total99">#REF!</definedName>
    <definedName name="bu22total99a" localSheetId="16">#REF!</definedName>
    <definedName name="bu22total99a">#REF!</definedName>
    <definedName name="bu23total100" localSheetId="16">#REF!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[11]B_U_23!$C$95</definedName>
    <definedName name="bu23total84a">[11]B_U_23!$C$103</definedName>
    <definedName name="bu23total85">[11]B_U_23!$D$95</definedName>
    <definedName name="bu23total85a">[11]B_U_23!$D$103</definedName>
    <definedName name="bu23total86">[11]B_U_23!$E$95</definedName>
    <definedName name="bu23total86a">[11]B_U_23!$E$103</definedName>
    <definedName name="bu23total87">[11]B_U_23!$F$95</definedName>
    <definedName name="bu23total87a">[11]B_U_23!$F$103</definedName>
    <definedName name="bu23total88">[11]B_U_23!$G$95</definedName>
    <definedName name="bu23total88a">[11]B_U_23!$G$103</definedName>
    <definedName name="bu23total89">[11]B_U_23!$H$95</definedName>
    <definedName name="bu23total89a">[11]B_U_23!$H$103</definedName>
    <definedName name="bu23total90">[11]B_U_23!$I$95</definedName>
    <definedName name="bu23total90a">[11]B_U_23!$I$103</definedName>
    <definedName name="bu23total91">[11]B_U_23!$J$95</definedName>
    <definedName name="bu23total91a">[11]B_U_23!$J$103</definedName>
    <definedName name="bu23total92">[11]B_U_23!$K$95</definedName>
    <definedName name="bu23total92a">[11]B_U_23!$K$103</definedName>
    <definedName name="bu23total93">[11]B_U_23!$L$95</definedName>
    <definedName name="bu23total93a">[11]B_U_23!$L$103</definedName>
    <definedName name="bu23total94">[11]B_U_23!$M$95</definedName>
    <definedName name="bu23total94a">[11]B_U_23!$M$103</definedName>
    <definedName name="bu23total95">[11]B_U_23!$N$95</definedName>
    <definedName name="bu23total95a">[11]B_U_23!$N$103</definedName>
    <definedName name="bu23total96">[11]B_U_23!$O$95</definedName>
    <definedName name="bu23total96a">[11]B_U_23!$O$103</definedName>
    <definedName name="bu23total97">[11]B_U_23!$P$95</definedName>
    <definedName name="bu23total97a">[11]B_U_23!$P$103</definedName>
    <definedName name="bu23total98">[11]B_U_23!$Q$95</definedName>
    <definedName name="bu23total98a">[11]B_U_23!$Q$103</definedName>
    <definedName name="bu23total99" localSheetId="16">#REF!</definedName>
    <definedName name="bu23total99">#REF!</definedName>
    <definedName name="bu23total99a" localSheetId="16">#REF!</definedName>
    <definedName name="bu23total99a">#REF!</definedName>
    <definedName name="bu2total100" localSheetId="16">#REF!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'[11]ORIGINAL CLAIM'!$C$95</definedName>
    <definedName name="bu2total84a">'[11]ORIGINAL CLAIM'!$C$103</definedName>
    <definedName name="bu2total85">'[11]ORIGINAL CLAIM'!$D$95</definedName>
    <definedName name="bu2total85a">'[11]ORIGINAL CLAIM'!$D$103</definedName>
    <definedName name="bu2total86">'[11]ORIGINAL CLAIM'!$E$95</definedName>
    <definedName name="bu2total86a">'[11]ORIGINAL CLAIM'!$E$103</definedName>
    <definedName name="bu2total87">'[11]ORIGINAL CLAIM'!$F$95</definedName>
    <definedName name="bu2total87a">'[11]ORIGINAL CLAIM'!$F$103</definedName>
    <definedName name="bu2total88">'[11]ORIGINAL CLAIM'!$G$95</definedName>
    <definedName name="bu2total88a">'[11]ORIGINAL CLAIM'!$G$103</definedName>
    <definedName name="bu2total89">'[11]ORIGINAL CLAIM'!$H$95</definedName>
    <definedName name="bu2total89a">'[11]ORIGINAL CLAIM'!$H$103</definedName>
    <definedName name="bu2total90">'[11]ORIGINAL CLAIM'!$I$95</definedName>
    <definedName name="bu2total90a">'[11]ORIGINAL CLAIM'!$I$103</definedName>
    <definedName name="bu2total91">'[11]ORIGINAL CLAIM'!$J$95</definedName>
    <definedName name="bu2total91a">'[11]ORIGINAL CLAIM'!$J$103</definedName>
    <definedName name="bu2total92">'[11]ORIGINAL CLAIM'!$K$95</definedName>
    <definedName name="bu2total92a">'[11]ORIGINAL CLAIM'!$K$103</definedName>
    <definedName name="bu2total93">'[11]ORIGINAL CLAIM'!$L$95</definedName>
    <definedName name="bu2total93a">'[11]ORIGINAL CLAIM'!$L$103</definedName>
    <definedName name="bu2total94">'[11]ORIGINAL CLAIM'!$M$95</definedName>
    <definedName name="bu2total94a">'[11]ORIGINAL CLAIM'!$M$103</definedName>
    <definedName name="bu2total95">'[11]ORIGINAL CLAIM'!$N$95</definedName>
    <definedName name="bu2total95a">'[11]ORIGINAL CLAIM'!$N$103</definedName>
    <definedName name="bu2total96">'[11]ORIGINAL CLAIM'!$O$95</definedName>
    <definedName name="bu2total96a">'[11]ORIGINAL CLAIM'!$O$103</definedName>
    <definedName name="bu2total97">'[11]ORIGINAL CLAIM'!$P$95</definedName>
    <definedName name="bu2total97a">'[11]ORIGINAL CLAIM'!$P$103</definedName>
    <definedName name="bu2total98">'[11]ORIGINAL CLAIM'!$Q$95</definedName>
    <definedName name="bu2total98a">'[11]ORIGINAL CLAIM'!$Q$103</definedName>
    <definedName name="bu2total99" localSheetId="16">#REF!</definedName>
    <definedName name="bu2total99">#REF!</definedName>
    <definedName name="bu2total99a" localSheetId="16">#REF!</definedName>
    <definedName name="bu2total99a">#REF!</definedName>
    <definedName name="bu3total100" localSheetId="16">#REF!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[11]B_U_3!$C$95</definedName>
    <definedName name="bu3total84a">[11]B_U_3!$C$103</definedName>
    <definedName name="bu3total85">[11]B_U_3!$D$95</definedName>
    <definedName name="bu3total85a">[11]B_U_3!$D$103</definedName>
    <definedName name="bu3total86">[11]B_U_3!$E$95</definedName>
    <definedName name="bu3total86a">[11]B_U_3!$E$103</definedName>
    <definedName name="bu3total87">[11]B_U_3!$F$95</definedName>
    <definedName name="bu3total87a">[11]B_U_3!$F$103</definedName>
    <definedName name="bu3total88">[11]B_U_3!$G$95</definedName>
    <definedName name="bu3total88a">[11]B_U_3!$G$103</definedName>
    <definedName name="bu3total89">[11]B_U_3!$H$95</definedName>
    <definedName name="bu3total89a">[11]B_U_3!$H$103</definedName>
    <definedName name="bu3total90">[11]B_U_3!$I$95</definedName>
    <definedName name="bu3total90a">[11]B_U_3!$I$103</definedName>
    <definedName name="bu3total91">[11]B_U_3!$J$95</definedName>
    <definedName name="bu3total91a">[11]B_U_3!$J$103</definedName>
    <definedName name="bu3total92">[11]B_U_3!$K$95</definedName>
    <definedName name="bu3total92a">[11]B_U_3!$K$103</definedName>
    <definedName name="bu3total93">[11]B_U_3!$L$95</definedName>
    <definedName name="bu3total93a">[11]B_U_3!$L$103</definedName>
    <definedName name="bu3total94">[11]B_U_3!$M$95</definedName>
    <definedName name="bu3total94a">[11]B_U_3!$M$103</definedName>
    <definedName name="bu3total95">[11]B_U_3!$N$95</definedName>
    <definedName name="bu3total95a">[11]B_U_3!$N$103</definedName>
    <definedName name="bu3total96">[11]B_U_3!$O$95</definedName>
    <definedName name="bu3total96a">[11]B_U_3!$O$103</definedName>
    <definedName name="bu3total97">[11]B_U_3!$P$95</definedName>
    <definedName name="bu3total97a">[11]B_U_3!$P$103</definedName>
    <definedName name="bu3total98">[11]B_U_3!$Q$95</definedName>
    <definedName name="bu3total98a">[11]B_U_3!$Q$103</definedName>
    <definedName name="bu3total99" localSheetId="16">#REF!</definedName>
    <definedName name="bu3total99">#REF!</definedName>
    <definedName name="bu3total99a" localSheetId="16">#REF!</definedName>
    <definedName name="bu3total99a">#REF!</definedName>
    <definedName name="bu4total100" localSheetId="16">#REF!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[11]B_U_4!$C$95</definedName>
    <definedName name="bu4total84a">[11]B_U_4!$C$103</definedName>
    <definedName name="bu4total85">[11]B_U_4!$D$95</definedName>
    <definedName name="bu4total85a">[11]B_U_4!$D$103</definedName>
    <definedName name="bu4total86">[11]B_U_4!$E$95</definedName>
    <definedName name="bu4total86a">[11]B_U_4!$E$103</definedName>
    <definedName name="bu4total87">[11]B_U_4!$F$95</definedName>
    <definedName name="bu4total87a">[11]B_U_4!$F$103</definedName>
    <definedName name="bu4total88">[11]B_U_4!$G$95</definedName>
    <definedName name="bu4total88a">[11]B_U_4!$G$103</definedName>
    <definedName name="bu4total89">[11]B_U_4!$H$95</definedName>
    <definedName name="bu4total89a">[11]B_U_4!$H$103</definedName>
    <definedName name="bu4total90">[11]B_U_4!$I$95</definedName>
    <definedName name="bu4total90a">[11]B_U_4!$I$103</definedName>
    <definedName name="bu4total91">[11]B_U_4!$J$95</definedName>
    <definedName name="bu4total91a">[11]B_U_4!$J$103</definedName>
    <definedName name="bu4total92">[11]B_U_4!$K$95</definedName>
    <definedName name="bu4total92a">[11]B_U_4!$K$103</definedName>
    <definedName name="bu4total93">[11]B_U_4!$L$95</definedName>
    <definedName name="bu4total93a">[11]B_U_4!$L$103</definedName>
    <definedName name="bu4total94">[11]B_U_4!$M$95</definedName>
    <definedName name="bu4total94a">[11]B_U_4!$M$103</definedName>
    <definedName name="bu4total95">[11]B_U_4!$N$95</definedName>
    <definedName name="bu4total95a">[11]B_U_4!$N$103</definedName>
    <definedName name="bu4total96">[11]B_U_4!$O$95</definedName>
    <definedName name="bu4total96a">[11]B_U_4!$O$103</definedName>
    <definedName name="bu4total97">[11]B_U_4!$P$95</definedName>
    <definedName name="bu4total97a">[11]B_U_4!$P$103</definedName>
    <definedName name="bu4total98">[11]B_U_4!$Q$95</definedName>
    <definedName name="bu4total98a">[11]B_U_4!$Q$103</definedName>
    <definedName name="bu4total99" localSheetId="16">#REF!</definedName>
    <definedName name="bu4total99">#REF!</definedName>
    <definedName name="bu4total99a" localSheetId="16">#REF!</definedName>
    <definedName name="bu4total99a">#REF!</definedName>
    <definedName name="bu5total100" localSheetId="16">#REF!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[11]B_U_5!$C$95</definedName>
    <definedName name="bu5total84a">[11]B_U_5!$C$103</definedName>
    <definedName name="bu5total85">[11]B_U_5!$D$95</definedName>
    <definedName name="bu5total85a">[11]B_U_5!$D$103</definedName>
    <definedName name="bu5total86">[11]B_U_5!$E$95</definedName>
    <definedName name="bu5total86a">[11]B_U_5!$E$103</definedName>
    <definedName name="bu5total87">[11]B_U_5!$F$95</definedName>
    <definedName name="bu5total87a">[11]B_U_5!$F$103</definedName>
    <definedName name="bu5total88">[11]B_U_5!$G$95</definedName>
    <definedName name="bu5total88a">[11]B_U_5!$G$103</definedName>
    <definedName name="bu5total89">[11]B_U_5!$H$95</definedName>
    <definedName name="bu5total89a">[11]B_U_5!$H$103</definedName>
    <definedName name="bu5total90">[11]B_U_5!$I$95</definedName>
    <definedName name="bu5total90a">[11]B_U_5!$I$103</definedName>
    <definedName name="bu5total91">[11]B_U_5!$J$95</definedName>
    <definedName name="bu5total91a">[11]B_U_5!$J$103</definedName>
    <definedName name="bu5total92">[11]B_U_5!$K$95</definedName>
    <definedName name="bu5total92a">[11]B_U_5!$K$103</definedName>
    <definedName name="bu5total93">[11]B_U_5!$L$95</definedName>
    <definedName name="bu5total93a">[11]B_U_5!$L$103</definedName>
    <definedName name="bu5total94">[11]B_U_5!$M$95</definedName>
    <definedName name="bu5total94a">[11]B_U_5!$M$103</definedName>
    <definedName name="bu5total95">[11]B_U_5!$N$95</definedName>
    <definedName name="bu5total95a">[11]B_U_5!$N$103</definedName>
    <definedName name="bu5total96">[11]B_U_5!$O$95</definedName>
    <definedName name="bu5total96a">[11]B_U_5!$O$103</definedName>
    <definedName name="bu5total97">[11]B_U_5!$P$95</definedName>
    <definedName name="bu5total97a">[11]B_U_5!$P$103</definedName>
    <definedName name="bu5total98">[11]B_U_5!$Q$95</definedName>
    <definedName name="bu5total98a">[11]B_U_5!$Q$103</definedName>
    <definedName name="bu5total99" localSheetId="16">#REF!</definedName>
    <definedName name="bu5total99">#REF!</definedName>
    <definedName name="bu5total99a" localSheetId="16">#REF!</definedName>
    <definedName name="bu5total99a">#REF!</definedName>
    <definedName name="bu6total100" localSheetId="16">#REF!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[11]B_U_6!$C$94</definedName>
    <definedName name="bu6total84a">[11]B_U_6!$C$103</definedName>
    <definedName name="bu6total85">[11]B_U_6!$D$94</definedName>
    <definedName name="bu6total85a">[11]B_U_6!$D$103</definedName>
    <definedName name="bu6total86">[11]B_U_6!$E$94</definedName>
    <definedName name="bu6total86a">[11]B_U_6!$E$103</definedName>
    <definedName name="bu6total87">[11]B_U_6!$F$94</definedName>
    <definedName name="bu6total87a">[11]B_U_6!$F$103</definedName>
    <definedName name="bu6total88">[11]B_U_6!$G$94</definedName>
    <definedName name="bu6total88a">[11]B_U_6!$G$103</definedName>
    <definedName name="bu6total89">[11]B_U_6!$H$94</definedName>
    <definedName name="bu6total89a">[11]B_U_6!$H$103</definedName>
    <definedName name="bu6total90">[11]B_U_6!$I$94</definedName>
    <definedName name="bu6total90a">[11]B_U_6!$I$103</definedName>
    <definedName name="bu6total91">[11]B_U_6!$J$94</definedName>
    <definedName name="bu6total91a">[11]B_U_6!$J$103</definedName>
    <definedName name="bu6total92">[11]B_U_6!$K$94</definedName>
    <definedName name="bu6total92a">[11]B_U_6!$K$103</definedName>
    <definedName name="bu6total93">[11]B_U_6!$L$94</definedName>
    <definedName name="bu6total93a">[11]B_U_6!$L$103</definedName>
    <definedName name="bu6total94">[11]B_U_6!$M$94</definedName>
    <definedName name="bu6total94a">[11]B_U_6!$M$103</definedName>
    <definedName name="bu6total95">[11]B_U_6!$N$94</definedName>
    <definedName name="bu6total95a">[11]B_U_6!$N$103</definedName>
    <definedName name="bu6total96">[11]B_U_6!$O$94</definedName>
    <definedName name="bu6total96a">[11]B_U_6!$O$103</definedName>
    <definedName name="bu6total97">[11]B_U_6!$P$94</definedName>
    <definedName name="bu6total97a">[11]B_U_6!$P$103</definedName>
    <definedName name="bu6total98">[11]B_U_6!$Q$94</definedName>
    <definedName name="bu6total98a">[11]B_U_6!$Q$103</definedName>
    <definedName name="bu6total99" localSheetId="16">#REF!</definedName>
    <definedName name="bu6total99">#REF!</definedName>
    <definedName name="bu6total99a" localSheetId="16">#REF!</definedName>
    <definedName name="bu6total99a">#REF!</definedName>
    <definedName name="bu7total100" localSheetId="16">#REF!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[11]B_U_7!$C$95</definedName>
    <definedName name="bu7total84a">[11]B_U_7!$C$103</definedName>
    <definedName name="bu7total85">[11]B_U_7!$D$95</definedName>
    <definedName name="bu7total85a">[11]B_U_7!$D$103</definedName>
    <definedName name="bu7total86">[11]B_U_7!$E$95</definedName>
    <definedName name="bu7total86a">[11]B_U_7!$E$103</definedName>
    <definedName name="bu7total87">[11]B_U_7!$F$95</definedName>
    <definedName name="bu7total87a">[11]B_U_7!$F$103</definedName>
    <definedName name="bu7total88">[11]B_U_7!$G$95</definedName>
    <definedName name="bu7total88a">[11]B_U_7!$G$103</definedName>
    <definedName name="bu7total89">[11]B_U_7!$H$95</definedName>
    <definedName name="bu7total89a">[11]B_U_7!$H$103</definedName>
    <definedName name="bu7total90">[11]B_U_7!$I$95</definedName>
    <definedName name="bu7total90a">[11]B_U_7!$I$103</definedName>
    <definedName name="bu7total91">[11]B_U_7!$J$95</definedName>
    <definedName name="bu7total91a">[11]B_U_7!$J$103</definedName>
    <definedName name="bu7total92">[11]B_U_7!$K$95</definedName>
    <definedName name="bu7total92a">[11]B_U_7!$K$103</definedName>
    <definedName name="bu7total93">[11]B_U_7!$L$95</definedName>
    <definedName name="bu7total93a">[11]B_U_7!$L$103</definedName>
    <definedName name="bu7total94">[11]B_U_7!$M$95</definedName>
    <definedName name="bu7total94a">[11]B_U_7!$M$103</definedName>
    <definedName name="bu7total95">[11]B_U_7!$N$95</definedName>
    <definedName name="bu7total95a">[11]B_U_7!$N$103</definedName>
    <definedName name="bu7total96">[11]B_U_7!$O$95</definedName>
    <definedName name="bu7total96a">[11]B_U_7!$O$103</definedName>
    <definedName name="bu7total97">[11]B_U_7!$P$95</definedName>
    <definedName name="bu7total97a">[11]B_U_7!$P$103</definedName>
    <definedName name="bu7total98">[11]B_U_7!$Q$95</definedName>
    <definedName name="bu7total98a">[11]B_U_7!$Q$103</definedName>
    <definedName name="bu7total99" localSheetId="16">#REF!</definedName>
    <definedName name="bu7total99">#REF!</definedName>
    <definedName name="bu7total99a" localSheetId="16">#REF!</definedName>
    <definedName name="bu7total99a">#REF!</definedName>
    <definedName name="bu8total100" localSheetId="16">#REF!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[11]B_U_8!$C$94</definedName>
    <definedName name="bu8total84a">[11]B_U_8!$C$103</definedName>
    <definedName name="bu8total85">[11]B_U_8!$D$94</definedName>
    <definedName name="bu8total85a">[11]B_U_8!$D$103</definedName>
    <definedName name="bu8total86">[11]B_U_8!$E$94</definedName>
    <definedName name="bu8total86a">[11]B_U_8!$E$103</definedName>
    <definedName name="bu8total87">[11]B_U_8!$F$94</definedName>
    <definedName name="bu8total87a">[11]B_U_8!$F$103</definedName>
    <definedName name="bu8total88">[11]B_U_8!$G$94</definedName>
    <definedName name="bu8total88a">[11]B_U_8!$G$103</definedName>
    <definedName name="bu8total89">[11]B_U_8!$H$94</definedName>
    <definedName name="bu8total89a">[11]B_U_8!$H$103</definedName>
    <definedName name="bu8total90">[11]B_U_8!$I$94</definedName>
    <definedName name="bu8total90a">[11]B_U_8!$I$103</definedName>
    <definedName name="bu8total91">[11]B_U_8!$J$94</definedName>
    <definedName name="bu8total91a">[11]B_U_8!$J$103</definedName>
    <definedName name="bu8total92">[11]B_U_8!$K$94</definedName>
    <definedName name="bu8total92a">[11]B_U_8!$K$103</definedName>
    <definedName name="bu8total93">[11]B_U_8!$L$94</definedName>
    <definedName name="bu8total93a">[11]B_U_8!$L$103</definedName>
    <definedName name="bu8total94">[11]B_U_8!$M$94</definedName>
    <definedName name="bu8total94a">[11]B_U_8!$M$103</definedName>
    <definedName name="bu8total95">[11]B_U_8!$N$94</definedName>
    <definedName name="bu8total95a">[11]B_U_8!$N$103</definedName>
    <definedName name="bu8total96">[11]B_U_8!$O$94</definedName>
    <definedName name="bu8total96a">[11]B_U_8!$O$103</definedName>
    <definedName name="bu8total97">[11]B_U_8!$P$94</definedName>
    <definedName name="bu8total97a">[11]B_U_8!$P$103</definedName>
    <definedName name="bu8total98">[11]B_U_8!$Q$94</definedName>
    <definedName name="bu8total98a">[11]B_U_8!$Q$103</definedName>
    <definedName name="bu8total99" localSheetId="16">#REF!</definedName>
    <definedName name="bu8total99">#REF!</definedName>
    <definedName name="bu8total99a" localSheetId="16">#REF!</definedName>
    <definedName name="bu8total99a">#REF!</definedName>
    <definedName name="bu9total100" localSheetId="16">#REF!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[11]B_U_9!$C$95</definedName>
    <definedName name="bu9total84a">[11]B_U_9!$C$103</definedName>
    <definedName name="bu9total85">[11]B_U_9!$D$95</definedName>
    <definedName name="bu9total85a">[11]B_U_9!$D$103</definedName>
    <definedName name="bu9total86">[11]B_U_9!$E$95</definedName>
    <definedName name="bu9total86a">[11]B_U_9!$E$103</definedName>
    <definedName name="bu9total87">[11]B_U_9!$F$95</definedName>
    <definedName name="bu9total87a">[11]B_U_9!$F$103</definedName>
    <definedName name="bu9total88">[11]B_U_9!$G$95</definedName>
    <definedName name="bu9total88a">[11]B_U_9!$G$103</definedName>
    <definedName name="bu9total89">[11]B_U_9!$H$95</definedName>
    <definedName name="bu9total89a">[11]B_U_9!$H$103</definedName>
    <definedName name="bu9total90">[11]B_U_9!$I$95</definedName>
    <definedName name="bu9total90a">[11]B_U_9!$I$103</definedName>
    <definedName name="bu9total91">[11]B_U_9!$J$95</definedName>
    <definedName name="bu9total91a">[11]B_U_9!$J$103</definedName>
    <definedName name="bu9total92">[11]B_U_9!$K$95</definedName>
    <definedName name="bu9total92a">[11]B_U_9!$K$103</definedName>
    <definedName name="bu9total93">[11]B_U_9!$L$95</definedName>
    <definedName name="bu9total93a">[11]B_U_9!$L$103</definedName>
    <definedName name="bu9total94">[11]B_U_9!$M$95</definedName>
    <definedName name="bu9total94a">[11]B_U_9!$M$103</definedName>
    <definedName name="bu9total95">[11]B_U_9!$N$95</definedName>
    <definedName name="bu9total95a">[11]B_U_9!$N$103</definedName>
    <definedName name="bu9total96">[11]B_U_9!$O$95</definedName>
    <definedName name="bu9total96a">[11]B_U_9!$O$103</definedName>
    <definedName name="bu9total97">[11]B_U_9!$P$95</definedName>
    <definedName name="bu9total97a">[11]B_U_9!$P$103</definedName>
    <definedName name="bu9total98">[11]B_U_9!$Q$95</definedName>
    <definedName name="bu9total98a">[11]B_U_9!$Q$103</definedName>
    <definedName name="bu9total99" localSheetId="16">#REF!</definedName>
    <definedName name="bu9total99">#REF!</definedName>
    <definedName name="bu9total99a" localSheetId="16">#REF!</definedName>
    <definedName name="bu9total99a">#REF!</definedName>
    <definedName name="budget">#REF!</definedName>
    <definedName name="Budget_Info">#REF!</definedName>
    <definedName name="BUN">#REF!</definedName>
    <definedName name="C_">'[42]RR 8 2'!#REF!</definedName>
    <definedName name="CALC_C03">#REF!</definedName>
    <definedName name="CALC_C04">#REF!</definedName>
    <definedName name="CALC_C09">#REF!</definedName>
    <definedName name="CALC_LRG">#REF!</definedName>
    <definedName name="CALC_XLG">#REF!</definedName>
    <definedName name="CALCULATION">#REF!</definedName>
    <definedName name="can" localSheetId="20"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8"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16">#REF!</definedName>
    <definedName name="CapBank2">#REF!</definedName>
    <definedName name="Capital_Investment_excl._Corp._Alloc." localSheetId="16">#REF!</definedName>
    <definedName name="Capital_Investment_excl._Corp._Alloc.">#REF!</definedName>
    <definedName name="Capital_Investments_CPM" localSheetId="16">#REF!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0"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3"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6">#REF!</definedName>
    <definedName name="CBT">#REF!</definedName>
    <definedName name="CC_TST">'[26]A.2 PTP'!$P$33</definedName>
    <definedName name="cc1end">[11]Model!$A$68:$IV$68</definedName>
    <definedName name="cc1subrange">[11]Model!$A$48:$IV$75</definedName>
    <definedName name="cc2origin">[11]Model!$A$76</definedName>
    <definedName name="cc2subrange">[11]Model!$A$124:$IV$146</definedName>
    <definedName name="cc3subrange">[11]Model!$A$152:$IV$179</definedName>
    <definedName name="ccbbcvbc" localSheetId="20"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3"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0"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8"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8"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16">#REF!</definedName>
    <definedName name="cents">#REF!</definedName>
    <definedName name="CEP_Amortization">'[41]JFJ-4 CEP Rate'!$A$28:$F$78</definedName>
    <definedName name="cf_90" localSheetId="16">#REF!</definedName>
    <definedName name="cf_90">#REF!</definedName>
    <definedName name="cf_91" localSheetId="16">#REF!</definedName>
    <definedName name="cf_91">#REF!</definedName>
    <definedName name="cf_92" localSheetId="16">#REF!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'[11]QRE Charts'!$C$274:$R$297</definedName>
    <definedName name="chrtSensitivity">'[11]QRE Charts'!$D$372:$O$375</definedName>
    <definedName name="chrtSensWages">'[11]Sens_QRE''s'!$C$118:$R$141</definedName>
    <definedName name="chrtSupplies">'[11]QRE Charts'!$C$248:$R$271</definedName>
    <definedName name="chrtTax">'[11]QRE Charts'!$C$327:$E$342</definedName>
    <definedName name="chrtTotalByCo">'[11]QRE Charts'!$C$300:$R$323</definedName>
    <definedName name="chrtTotalByType">'[11]QRE Charts'!$C$216:$R$219</definedName>
    <definedName name="chrtWages">'[11]QRE Charts'!$C$222:$R$245</definedName>
    <definedName name="CIPS_IL_EZ_parcels" localSheetId="16">#REF!</definedName>
    <definedName name="CIPS_IL_EZ_parcels">#REF!</definedName>
    <definedName name="Citizens_Gas" localSheetId="16">#REF!</definedName>
    <definedName name="Citizens_Gas">#REF!</definedName>
    <definedName name="Citizens_Gas_YR_2005" localSheetId="16">'[35]Aday IS EG Subs'!#REF!</definedName>
    <definedName name="Citizens_Gas_YR_2005">'[35]Aday IS EG Subs'!#REF!</definedName>
    <definedName name="Citizens_Gas_YR_2006" localSheetId="16">'[35]Aday IS EG Subs'!#REF!</definedName>
    <definedName name="Citizens_Gas_YR_2006">'[35]Aday IS EG Subs'!#REF!</definedName>
    <definedName name="Citizens_Gas_YR_2007" localSheetId="16">'[35]Aday IS EG Subs'!#REF!</definedName>
    <definedName name="Citizens_Gas_YR_2007">'[35]Aday IS EG Subs'!#REF!</definedName>
    <definedName name="Citizens_Gas_YR_2008" localSheetId="16">'[35]Aday IS EG Subs'!#REF!</definedName>
    <definedName name="Citizens_Gas_YR_2008">'[35]Aday IS EG Subs'!#REF!</definedName>
    <definedName name="Citizens2003" localSheetId="16">#REF!</definedName>
    <definedName name="Citizens2003">#REF!</definedName>
    <definedName name="Citizens2004" localSheetId="16">#REF!</definedName>
    <definedName name="Citizens2004">#REF!</definedName>
    <definedName name="Citizens2005" localSheetId="16">#REF!</definedName>
    <definedName name="Citizens2005">#REF!</definedName>
    <definedName name="Citizens2006">#REF!</definedName>
    <definedName name="Citizens2007">#REF!</definedName>
    <definedName name="Citizens2008">#REF!</definedName>
    <definedName name="CLASSES">#N/A</definedName>
    <definedName name="cleanup" localSheetId="14"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6">#REF!</definedName>
    <definedName name="CMARCS">#REF!</definedName>
    <definedName name="Coal_Bed_Methane_E_P" localSheetId="16">#REF!</definedName>
    <definedName name="Coal_Bed_Methane_E_P">#REF!</definedName>
    <definedName name="Coal_Bed_Methane_Yates_Center" localSheetId="16">#REF!</definedName>
    <definedName name="Coal_Bed_Methane_Yates_Center">#REF!</definedName>
    <definedName name="Coal_Bed_Methane_Yates_Center_YR_2005" localSheetId="16">'[35]Aday IS EG Subs'!#REF!</definedName>
    <definedName name="Coal_Bed_Methane_Yates_Center_YR_2005">'[35]Aday IS EG Subs'!#REF!</definedName>
    <definedName name="Coal_Bed_Methane_Yates_Center_YR_2006" localSheetId="16">'[35]Aday IS EG Subs'!#REF!</definedName>
    <definedName name="Coal_Bed_Methane_Yates_Center_YR_2006">'[35]Aday IS EG Subs'!#REF!</definedName>
    <definedName name="Coal_Bed_Methane_Yates_Center_YR_2007" localSheetId="16">'[35]Aday IS EG Subs'!#REF!</definedName>
    <definedName name="Coal_Bed_Methane_Yates_Center_YR_2007">'[35]Aday IS EG Subs'!#REF!</definedName>
    <definedName name="Coal_Bed_Methane_Yates_Center_YR_2008" localSheetId="16">'[35]Aday IS EG Subs'!#REF!</definedName>
    <definedName name="Coal_Bed_Methane_Yates_Center_YR_2008">'[35]Aday IS EG Subs'!#REF!</definedName>
    <definedName name="Coal_Growth_YR_2003" localSheetId="16">#REF!</definedName>
    <definedName name="Coal_Growth_YR_2003">#REF!</definedName>
    <definedName name="Coal_Growth_YR_2004" localSheetId="16">#REF!</definedName>
    <definedName name="Coal_Growth_YR_2004">#REF!</definedName>
    <definedName name="Coal_Growth_YR_2005" localSheetId="16">#REF!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16">#REF!</definedName>
    <definedName name="Coal_Services">#REF!</definedName>
    <definedName name="Coal_Services_YR_2005" localSheetId="16">'[35]Aday IS DECo &amp; Other'!#REF!</definedName>
    <definedName name="Coal_Services_YR_2005">'[35]Aday IS DECo &amp; Other'!#REF!</definedName>
    <definedName name="Coal_Services_YR_2006" localSheetId="16">'[35]Aday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16">#REF!</definedName>
    <definedName name="CoEnergy___Purch_Acct_Sub_Total">#REF!</definedName>
    <definedName name="CoEnergy___Purch_Acct_Sub_Total_YR_2005" localSheetId="16">'[35]Aday IS DECo &amp; Other'!#REF!</definedName>
    <definedName name="CoEnergy___Purch_Acct_Sub_Total_YR_2005">'[35]Aday IS DECo &amp; Other'!#REF!</definedName>
    <definedName name="CoEnergy___Purch_Acct_Sub_Total_YR_2006" localSheetId="16">'[35]Aday IS DECo &amp; Other'!#REF!</definedName>
    <definedName name="CoEnergy___Purch_Acct_Sub_Total_YR_2006">'[35]Aday IS DECo &amp; Other'!#REF!</definedName>
    <definedName name="CoEnergy___Purch_Acct_Sub_Total_YR_2007" localSheetId="16">'[35]Aday IS DECo &amp; Other'!#REF!</definedName>
    <definedName name="CoEnergy___Purch_Acct_Sub_Total_YR_2007">'[35]Aday IS DECo &amp; Other'!#REF!</definedName>
    <definedName name="CoEnergy___Purch_Acct_Sub_Total_YR_2008" localSheetId="16">'[35]Aday IS DECo &amp; Other'!#REF!</definedName>
    <definedName name="CoEnergy___Purch_Acct_Sub_Total_YR_2008">'[35]Aday IS DECo &amp; Other'!#REF!</definedName>
    <definedName name="CoEnergy_Trading" localSheetId="16">#REF!</definedName>
    <definedName name="CoEnergy_Trading">#REF!</definedName>
    <definedName name="CoEnergy_Trading_YR_2005" localSheetId="16">'[35]Aday IS DECo &amp; Other'!#REF!</definedName>
    <definedName name="CoEnergy_Trading_YR_2005">'[35]Aday IS DECo &amp; Other'!#REF!</definedName>
    <definedName name="CoEnergy_Trading_YR_2006" localSheetId="16">'[35]Aday IS DECo &amp; Other'!#REF!</definedName>
    <definedName name="CoEnergy_Trading_YR_2006">'[35]Aday IS DECo &amp; Other'!#REF!</definedName>
    <definedName name="CoEnergy_Trading_YR_2007" localSheetId="16">'[35]Aday IS DECo &amp; Other'!#REF!</definedName>
    <definedName name="CoEnergy_Trading_YR_2007">'[35]Aday IS DECo &amp; Other'!#REF!</definedName>
    <definedName name="CoEnergy_Trading_YR_2008" localSheetId="16">'[35]Aday IS DECo &amp; Other'!#REF!</definedName>
    <definedName name="CoEnergy_Trading_YR_2008">'[35]Aday IS DECo &amp; Other'!#REF!</definedName>
    <definedName name="COGEN">'[44]October Tariff kwh'!$A$1:$H$83</definedName>
    <definedName name="COGS_Affiliate_CPM" localSheetId="16">#REF!</definedName>
    <definedName name="COGS_Affiliate_CPM">#REF!</definedName>
    <definedName name="ColorNames" localSheetId="16">#REF!</definedName>
    <definedName name="ColorNames">#REF!</definedName>
    <definedName name="Commercial_Paper_CPM" localSheetId="16">#REF!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[11]Menu!$I$11</definedName>
    <definedName name="CompanyCount">'[11]QRE Charts'!$F$214</definedName>
    <definedName name="CompanyName">'[45]Title Page'!$A$22</definedName>
    <definedName name="CompanyTextLen">#REF!</definedName>
    <definedName name="COMPAR_PRT_RNG">[11]Comparison!$B$8:$BT$170</definedName>
    <definedName name="compInc">[46]Inputs!$B$4</definedName>
    <definedName name="CONSOLDEFTAXBAL" localSheetId="16">#REF!</definedName>
    <definedName name="CONSOLDEFTAXBAL">#REF!</definedName>
    <definedName name="CONSOLDEFTAXSUM">#REF!</definedName>
    <definedName name="Consolid" localSheetId="20"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8"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8"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16">#REF!</definedName>
    <definedName name="Contract_Services">#REF!</definedName>
    <definedName name="Conventions" localSheetId="16">#REF!</definedName>
    <definedName name="Conventions">#REF!</definedName>
    <definedName name="CONVERT_IT" localSheetId="16">#REF!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16">#REF!</definedName>
    <definedName name="CORPPA2003">#REF!</definedName>
    <definedName name="CORPPA2004" localSheetId="16">#REF!</definedName>
    <definedName name="CORPPA2004">#REF!</definedName>
    <definedName name="CORPPA2005" localSheetId="16">#REF!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16">#REF!</definedName>
    <definedName name="Cost_of_Goods_Sold">#REF!</definedName>
    <definedName name="Cost_of_Goods_Sold_CPM" localSheetId="16">#REF!</definedName>
    <definedName name="Cost_of_Goods_Sold_CPM">#REF!</definedName>
    <definedName name="cost2001">[48]Input!$M$23</definedName>
    <definedName name="COUNTER">'[11]Macro Tables'!$C$21</definedName>
    <definedName name="cover" localSheetId="16">#REF!</definedName>
    <definedName name="cover">#REF!</definedName>
    <definedName name="CP">#N/A</definedName>
    <definedName name="CP_1">#N/A</definedName>
    <definedName name="CP_PG1B">#REF!</definedName>
    <definedName name="cp_pg2">#REF!</definedName>
    <definedName name="cp_pg2b">#REF!</definedName>
    <definedName name="CP_PG3B">#REF!</definedName>
    <definedName name="CPK1X">#REF!</definedName>
    <definedName name="CPK2X">#REF!</definedName>
    <definedName name="CPM" localSheetId="16">#REF!</definedName>
    <definedName name="CPM">#REF!</definedName>
    <definedName name="CPUC_Cashflow_Summary_Table">#REF!</definedName>
    <definedName name="CR">'[26]C. Input'!$F$27</definedName>
    <definedName name="credit_rate">[11]Print!$I$18</definedName>
    <definedName name="CREDITS">#REF!</definedName>
    <definedName name="creditsummary">[11]Model!$A$180:$E$201</definedName>
    <definedName name="cropdeftaxbalance" localSheetId="16">#REF!</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[11]Sens_QRE_Factor!$I$8:$R$98</definedName>
    <definedName name="CUR_QRES0.75">'[11]QRE Charts'!$E$367</definedName>
    <definedName name="CUR_QRES0.80">'[11]QRE Charts'!$F$367</definedName>
    <definedName name="CUR_QRES0.85">'[11]QRE Charts'!$G$367</definedName>
    <definedName name="CUR_QRES0.90">'[11]QRE Charts'!$H$367</definedName>
    <definedName name="CUR_QRES0.95">'[11]QRE Charts'!$I$367</definedName>
    <definedName name="CUR_QRES1.00">'[11]QRE Charts'!$J$367</definedName>
    <definedName name="CUR_QRES1.05">'[11]QRE Charts'!$K$367</definedName>
    <definedName name="CUR_QRES1.10">'[11]QRE Charts'!$L$367</definedName>
    <definedName name="CUR_QRES1.15">'[11]QRE Charts'!$M$367</definedName>
    <definedName name="CUR_QRES1.20">'[11]QRE Charts'!$N$367</definedName>
    <definedName name="CUR_QRES1.25">'[11]QRE Charts'!$O$367</definedName>
    <definedName name="CUR_SENS_FACT" localSheetId="16">#REF!</definedName>
    <definedName name="CUR_SENS_FACT">#REF!</definedName>
    <definedName name="CURR" localSheetId="16">[19]DEPR96!#REF!</definedName>
    <definedName name="CURR">[19]DEPR96!#REF!</definedName>
    <definedName name="Current_Asset_from_Risk_Mgt_Activities" localSheetId="16">#REF!</definedName>
    <definedName name="Current_Asset_from_Risk_Mgt_Activities">#REF!</definedName>
    <definedName name="Current_Assets" localSheetId="16">#REF!</definedName>
    <definedName name="Current_Assets">#REF!</definedName>
    <definedName name="Current_Assets_CPM" localSheetId="16">#REF!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 localSheetId="16">[48]Input!#REF!</definedName>
    <definedName name="custRetain">[48]Input!#REF!</definedName>
    <definedName name="CUT">[49]AFUDC_CCRF!$A$1:$N$303</definedName>
    <definedName name="CUTINS">[49]AFUDC_CCRF!$A$73:$N$160</definedName>
    <definedName name="CUTINT1">#REF!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16">#REF!</definedName>
    <definedName name="D_Tech___Other_Wolverine">#REF!</definedName>
    <definedName name="D_Tech___Other_Wolverine_YR_2005" localSheetId="16">'[35]Aday IS DECo &amp; Other'!#REF!</definedName>
    <definedName name="D_Tech___Other_Wolverine_YR_2005">'[35]Aday IS DECo &amp; Other'!#REF!</definedName>
    <definedName name="D_Tech___Other_Wolverine_YR_2006" localSheetId="16">'[35]Aday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0"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8"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8"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hidden="1">{#N/A,#N/A,FALSE,"O&amp;M by processes";#N/A,#N/A,FALSE,"Elec Act vs Bud";#N/A,#N/A,FALSE,"G&amp;A";#N/A,#N/A,FALSE,"BGS";#N/A,#N/A,FALSE,"Res Cost"}</definedName>
    <definedName name="dae">[8]Sheet1!$B$2:$B$29</definedName>
    <definedName name="DASDD" localSheetId="20"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3"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6">#REF!</definedName>
    <definedName name="Data">#REF!</definedName>
    <definedName name="data_year">'[30]Appendix A'!$H$6</definedName>
    <definedName name="DATA05" localSheetId="16">#REF!</definedName>
    <definedName name="DATA05">#REF!</definedName>
    <definedName name="Data06">#REF!</definedName>
    <definedName name="DATA1" localSheetId="16">'[50]New Accts 2009'!#REF!</definedName>
    <definedName name="DATA1">'[51]New Accts 2009'!#REF!</definedName>
    <definedName name="DATA10">'[52]3640'!#REF!</definedName>
    <definedName name="DATA11">'[52]3640'!#REF!</definedName>
    <definedName name="DATA12">#REF!</definedName>
    <definedName name="DATA13">#REF!</definedName>
    <definedName name="DATA14" localSheetId="16">#REF!</definedName>
    <definedName name="DATA14">#REF!</definedName>
    <definedName name="DATA15">#REF!</definedName>
    <definedName name="DATA2" localSheetId="16">'[53]190100'!#REF!</definedName>
    <definedName name="DATA2">'[53]190100'!#REF!</definedName>
    <definedName name="DATA3">'[53]190100'!#REF!</definedName>
    <definedName name="DATA4">'[53]190100'!#REF!</definedName>
    <definedName name="DATA5" localSheetId="16">#REF!</definedName>
    <definedName name="DATA5">#REF!</definedName>
    <definedName name="DATA6">#REF!</definedName>
    <definedName name="DATA7">'[53]190100'!#REF!</definedName>
    <definedName name="DATA8">'[53]190100'!#REF!</definedName>
    <definedName name="DATA9">'[52]3640'!#REF!</definedName>
    <definedName name="data97" localSheetId="16">#REF!</definedName>
    <definedName name="data97">#REF!</definedName>
    <definedName name="_xlnm.Database" localSheetId="16">[54]DSUM!#REF!</definedName>
    <definedName name="_xlnm.Database">[54]DSUM!#REF!</definedName>
    <definedName name="Database_MI" localSheetId="16">#REF!</definedName>
    <definedName name="Database_MI">#REF!</definedName>
    <definedName name="DATAFEEDER">[55]!DATAFEEDER</definedName>
    <definedName name="DATALINE">'[1]Header Data'!#REF!</definedName>
    <definedName name="Date" localSheetId="20" hidden="1">"b1"</definedName>
    <definedName name="Date" localSheetId="14" hidden="1">"b1"</definedName>
    <definedName name="Date" localSheetId="13" hidden="1">"b1"</definedName>
    <definedName name="Date" localSheetId="18" hidden="1">"b1"</definedName>
    <definedName name="Date" localSheetId="19" hidden="1">"b1"</definedName>
    <definedName name="Date">[56]Settings!$F$23</definedName>
    <definedName name="DATE1" localSheetId="16">#REF!</definedName>
    <definedName name="DATE1">#REF!</definedName>
    <definedName name="DATE2">#REF!</definedName>
    <definedName name="DATE3">#REF!</definedName>
    <definedName name="DATE4">#REF!</definedName>
    <definedName name="DateTime">#REF!</definedName>
    <definedName name="DB_CPK">#N/A</definedName>
    <definedName name="DB_CPK1">[57]FERCFACT!#REF!</definedName>
    <definedName name="DB_CPK2">#REF!</definedName>
    <definedName name="DB_CPK3">#REF!</definedName>
    <definedName name="DB_CUST">#N/A</definedName>
    <definedName name="DB_EGR">#N/A</definedName>
    <definedName name="DB_EGR1">[57]FERCFACT!#REF!</definedName>
    <definedName name="DB_EGR2">#REF!</definedName>
    <definedName name="DB_IMAX">#N/A</definedName>
    <definedName name="DB_NCPK">#N/A</definedName>
    <definedName name="DB_NCPK1">#REF!</definedName>
    <definedName name="DB_NCPK2">#REF!</definedName>
    <definedName name="DB_NCPK3">#REF!</definedName>
    <definedName name="DB_NCPK4">#REF!</definedName>
    <definedName name="DCIT">#REF!</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3" hidden="1">{#N/A,#N/A,FALSE,"Monthly SAIFI";#N/A,#N/A,FALSE,"Yearly SAIFI";#N/A,#N/A,FALSE,"Monthly CAIDI";#N/A,#N/A,FALSE,"Yearly CAIDI";#N/A,#N/A,FALSE,"Monthly SAIDI";#N/A,#N/A,FALSE,"Yearly SAIDI";#N/A,#N/A,FALSE,"Monthly MAIFI";#N/A,#N/A,FALSE,"Yearly MAIFI";#N/A,#N/A,FALSE,"Monthly Cust &gt;=4 Int"}</definedName>
    <definedName name="dd" localSheetId="18"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[58]IS!#REF!</definedName>
    <definedName name="DD.">[59]Input!$F$33</definedName>
    <definedName name="ddd">[60]Sheet1!$J$130</definedName>
    <definedName name="ddfsaf" localSheetId="20"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3"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6">#REF!</definedName>
    <definedName name="debt">#REF!</definedName>
    <definedName name="DEBT___PREFERRED_FINANCING" localSheetId="16">#REF!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0" hidden="1">{#N/A,#N/A,FALSE,"ARREC"}</definedName>
    <definedName name="DEC00" localSheetId="14" hidden="1">{#N/A,#N/A,FALSE,"ARREC"}</definedName>
    <definedName name="DEC00" localSheetId="15" hidden="1">{#N/A,#N/A,FALSE,"ARREC"}</definedName>
    <definedName name="DEC00" localSheetId="13"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16">#REF!</definedName>
    <definedName name="Decommissioning_Rate">#REF!</definedName>
    <definedName name="Deferral_Interest_Rate">[25]Assumptions!$H$14</definedName>
    <definedName name="Deferral_Recovery">'[41]JFJ-1 Deferral Recovery Rate'!$A$14:$F$64</definedName>
    <definedName name="Deferred_Assets" localSheetId="16">#REF!</definedName>
    <definedName name="Deferred_Assets">#REF!</definedName>
    <definedName name="Deferred_FIT___ITC_CPM" localSheetId="16">#REF!</definedName>
    <definedName name="Deferred_FIT___ITC_CPM">#REF!</definedName>
    <definedName name="Deferred_Income_Tax___Current_Benefit" localSheetId="16">#REF!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[61]Lists!$A$2:$A$4</definedName>
    <definedName name="delete" localSheetId="20" hidden="1">{#N/A,#N/A,FALSE,"CURRENT"}</definedName>
    <definedName name="delete" localSheetId="14" hidden="1">{#N/A,#N/A,FALSE,"CURRENT"}</definedName>
    <definedName name="delete" localSheetId="15" hidden="1">{#N/A,#N/A,FALSE,"CURRENT"}</definedName>
    <definedName name="delete" localSheetId="13" hidden="1">{#N/A,#N/A,FALSE,"CURRENT"}</definedName>
    <definedName name="delete" localSheetId="16" hidden="1">{#N/A,#N/A,FALSE,"CURRENT"}</definedName>
    <definedName name="delete" localSheetId="18" hidden="1">{#N/A,#N/A,FALSE,"CURRENT"}</definedName>
    <definedName name="delete" localSheetId="19"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 localSheetId="16">#REF!</definedName>
    <definedName name="detail">#REF!</definedName>
    <definedName name="Detroit_Edison" localSheetId="16">#REF!</definedName>
    <definedName name="Detroit_Edison">#REF!</definedName>
    <definedName name="Detroit_Edison_Consolidated_YR_2005" localSheetId="16">'[35]Aday IS DECo &amp; Other'!#REF!</definedName>
    <definedName name="Detroit_Edison_Consolidated_YR_2005">'[35]Aday IS DECo &amp; Other'!#REF!</definedName>
    <definedName name="Detroit_Edison_Consolidated_YR_2006" localSheetId="16">'[35]Aday IS DECo &amp; Other'!#REF!</definedName>
    <definedName name="Detroit_Edison_Consolidated_YR_2006">'[35]Aday IS DECo &amp; Other'!#REF!</definedName>
    <definedName name="Detroit_Edison_Consolidated_YR_2007" localSheetId="16">'[35]Aday IS DECo &amp; Other'!#REF!</definedName>
    <definedName name="Detroit_Edison_Consolidated_YR_2007">'[35]Aday IS DECo &amp; Other'!#REF!</definedName>
    <definedName name="Detroit_Edison_Consolidated_YR_2008" localSheetId="16">'[35]Aday IS DECo &amp; Other'!#REF!</definedName>
    <definedName name="Detroit_Edison_Consolidated_YR_2008">'[35]Aday IS DECo &amp; Other'!#REF!</definedName>
    <definedName name="dfasdfsdfZX" localSheetId="20"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3"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0"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3"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0"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3"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 localSheetId="16">#REF!</definedName>
    <definedName name="Distribution_Rate_Adjustment">#REF!</definedName>
    <definedName name="Dividend_from__Infusion_to__Consolidated_Sub" localSheetId="16">#REF!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[11]Comparison!$CK$11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16">#REF!</definedName>
    <definedName name="DPTSUM">#REF!</definedName>
    <definedName name="DR">'[26]C. Input'!$F$23</definedName>
    <definedName name="DR_1">#N/A</definedName>
    <definedName name="dskdlss" localSheetId="20"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3"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6">#REF!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16">#REF!</definedName>
    <definedName name="DTE_Enterprises_Corporate">#REF!</definedName>
    <definedName name="DTE_Enterprises_Corporate_YR_2005" localSheetId="16">'[35]Aday IS DECo &amp; Other'!#REF!</definedName>
    <definedName name="DTE_Enterprises_Corporate_YR_2005">'[35]Aday IS DECo &amp; Other'!#REF!</definedName>
    <definedName name="DTE_Enterprises_Corporate_YR_2006" localSheetId="16">'[35]Aday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16">#REF!</definedName>
    <definedName name="DTE_Holding_Co.">#REF!</definedName>
    <definedName name="DTE_Holding_Co._YR_2005" localSheetId="16">'[35]Aday IS DECo &amp; Other'!#REF!</definedName>
    <definedName name="DTE_Holding_Co._YR_2005">'[35]Aday IS DECo &amp; Other'!#REF!</definedName>
    <definedName name="DTE_Holding_Co._YR_2006" localSheetId="16">'[35]Aday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16">#REF!</definedName>
    <definedName name="DTE_HOLDING_CO___ELIMS">#REF!</definedName>
    <definedName name="DTech2003" localSheetId="16">#REF!</definedName>
    <definedName name="DTech2003">#REF!</definedName>
    <definedName name="DTech2004" localSheetId="16">#REF!</definedName>
    <definedName name="DTech2004">#REF!</definedName>
    <definedName name="DTech2005">#REF!</definedName>
    <definedName name="DTech2006">#REF!</definedName>
    <definedName name="DTech2007">#REF!</definedName>
    <definedName name="DTech2008">#REF!</definedName>
    <definedName name="dy">[11]Print!$A$8</definedName>
    <definedName name="dyCR">[11]Print!$G$8</definedName>
    <definedName name="dyqre100" localSheetId="16">#REF!</definedName>
    <definedName name="dyqre100">#REF!</definedName>
    <definedName name="dyqre101" localSheetId="16">#REF!</definedName>
    <definedName name="dyqre101">#REF!</definedName>
    <definedName name="dyqre102" localSheetId="16">#REF!</definedName>
    <definedName name="dyqre102">#REF!</definedName>
    <definedName name="dyqre103">#REF!</definedName>
    <definedName name="dyqre90">[11]Model!$I$90</definedName>
    <definedName name="dyqre91">[11]Model!$J$94</definedName>
    <definedName name="dyqre92">[11]Model!$K$98</definedName>
    <definedName name="dyqre93">[11]Model!$L$101</definedName>
    <definedName name="dyqre94">[11]Model!$M$105</definedName>
    <definedName name="dyqre95">[11]Model!$N$109</definedName>
    <definedName name="dyqre96">[11]Model!$O$113</definedName>
    <definedName name="dyqre97">[11]Model!$P$119</definedName>
    <definedName name="dyqre98">[11]Model!$Q$123</definedName>
    <definedName name="dyqre99" localSheetId="16">#REF!</definedName>
    <definedName name="dyqre99">#REF!</definedName>
    <definedName name="dyQW">[11]Print!$C$8</definedName>
    <definedName name="dyS">[11]Print!$E$8</definedName>
    <definedName name="e_sam1">#REF!</definedName>
    <definedName name="ED_NON_REGULATED">'[62]#REF'!$AS$5:$AS$85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#REF!</definedName>
    <definedName name="Edison_Development" localSheetId="16">#REF!</definedName>
    <definedName name="Edison_Development">#REF!</definedName>
    <definedName name="Edison_Development_YR_2005" localSheetId="16">'[35]Aday IS DECo &amp; Other'!#REF!</definedName>
    <definedName name="Edison_Development_YR_2005">'[35]Aday IS DECo &amp; Other'!#REF!</definedName>
    <definedName name="Edison_Development_YR_2006" localSheetId="16">'[35]Aday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0"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3"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0"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8"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 localSheetId="16">#REF!</definedName>
    <definedName name="EG_NON_REGULATED">#REF!</definedName>
    <definedName name="EG_Non_Regulated_Growth_YR_2005" localSheetId="16">'[35]Aday IS EG Subs'!#REF!</definedName>
    <definedName name="EG_Non_Regulated_Growth_YR_2005">'[35]Aday IS EG Subs'!#REF!</definedName>
    <definedName name="EG_Non_Regulated_Growth_YR_2006" localSheetId="16">'[35]Aday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 localSheetId="16">#REF!</definedName>
    <definedName name="EG_REGULATED">#REF!</definedName>
    <definedName name="EG_Regulated_Growth_YR_2003" localSheetId="16">#REF!</definedName>
    <definedName name="EG_Regulated_Growth_YR_2003">#REF!</definedName>
    <definedName name="EG_Regulated_Growth_YR_2004" localSheetId="16">#REF!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6">#REF!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 localSheetId="16">#REF!</definedName>
    <definedName name="elec">#REF!</definedName>
    <definedName name="elec06">#REF!</definedName>
    <definedName name="elec2">#REF!</definedName>
    <definedName name="ELECTACT">'[4]Curr adj - depn basis diff'!#REF!</definedName>
    <definedName name="Electric_Power" localSheetId="16">#REF!</definedName>
    <definedName name="Electric_Power">#REF!</definedName>
    <definedName name="Electric_Power_YR_2005" localSheetId="16">'[35]Aday IS DECo &amp; Other'!#REF!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 localSheetId="16">#REF!</definedName>
    <definedName name="Elim">#REF!</definedName>
    <definedName name="Elim_Yates_Center" localSheetId="16">#REF!</definedName>
    <definedName name="Elim_Yates_Center">#REF!</definedName>
    <definedName name="En_Svcs_Base_Overlay_YR_2005" localSheetId="16">'[35]Aday IS DECo &amp; Other'!#REF!</definedName>
    <definedName name="En_Svcs_Base_Overlay_YR_2005">'[35]Aday IS DECo &amp; Other'!#REF!</definedName>
    <definedName name="En_Svcs_Base_Overlay_YR_2006" localSheetId="16">'[35]Aday IS DECo &amp; Other'!#REF!</definedName>
    <definedName name="En_Svcs_Base_Overlay_YR_2006">'[35]Aday IS DECo &amp; Other'!#REF!</definedName>
    <definedName name="En_Svcs_Base_Overlay_YR_2007" localSheetId="16">'[35]Aday IS DECo &amp; Other'!#REF!</definedName>
    <definedName name="En_Svcs_Base_Overlay_YR_2007">'[35]Aday IS DECo &amp; Other'!#REF!</definedName>
    <definedName name="En_Svcs_Base_Overlay_YR_2008" localSheetId="16">'[35]Aday IS DECo &amp; Other'!#REF!</definedName>
    <definedName name="En_Svcs_Base_Overlay_YR_2008">'[35]Aday IS DECo &amp; Other'!#REF!</definedName>
    <definedName name="END">#REF!</definedName>
    <definedName name="end_coal">'[37]Input Page'!#REF!</definedName>
    <definedName name="end_CWIP">'[37]Input Page'!#REF!</definedName>
    <definedName name="ENERGY" localSheetId="16">#REF!</definedName>
    <definedName name="ENERGY">#REF!</definedName>
    <definedName name="ENERGY_GAS_GROWTH_YR_2005" localSheetId="16">'[35]Aday IS EG Subs'!#REF!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16">#REF!</definedName>
    <definedName name="Energy_Holdings_Purch_Acct">#REF!</definedName>
    <definedName name="Energy_Holdings_Purch_Acct_YR_2005" localSheetId="16">'[35]Aday IS DECo &amp; Other'!#REF!</definedName>
    <definedName name="Energy_Holdings_Purch_Acct_YR_2005">'[35]Aday IS DECo &amp; Other'!#REF!</definedName>
    <definedName name="Energy_Holdings_Purch_Acct_YR_2006" localSheetId="16">'[35]Aday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16">#REF!</definedName>
    <definedName name="Energy_Marketing">#REF!</definedName>
    <definedName name="Energy_Marketing_YR_2005" localSheetId="16">'[35]Aday IS DECo &amp; Other'!#REF!</definedName>
    <definedName name="Energy_Marketing_YR_2005">'[35]Aday IS DECo &amp; Other'!#REF!</definedName>
    <definedName name="Energy_Marketing_YR_2006" localSheetId="16">'[35]Aday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16">#REF!</definedName>
    <definedName name="Energy_Res_Inc.">#REF!</definedName>
    <definedName name="Energy_Res_Inc._YR_2005" localSheetId="16">'[35]Aday IS DECo &amp; Other'!#REF!</definedName>
    <definedName name="Energy_Res_Inc._YR_2005">'[35]Aday IS DECo &amp; Other'!#REF!</definedName>
    <definedName name="Energy_Res_Inc._YR_2006" localSheetId="16">'[35]Aday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16">#REF!</definedName>
    <definedName name="Energy_Resources__DEENE__Total">#REF!</definedName>
    <definedName name="Energy_Services" localSheetId="16">#REF!</definedName>
    <definedName name="Energy_Services">#REF!</definedName>
    <definedName name="Energy_Services_Growth_YR_2003" localSheetId="16">#REF!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[57]FERCFACT!#REF!</definedName>
    <definedName name="Energy_Trading" localSheetId="16">#REF!</definedName>
    <definedName name="Energy_Trading">#REF!</definedName>
    <definedName name="Energy_Trading_YR_2005" localSheetId="16">'[35]Aday IS DECo &amp; Other'!#REF!</definedName>
    <definedName name="Energy_Trading_YR_2005">'[35]Aday IS DECo &amp; Other'!#REF!</definedName>
    <definedName name="Energy_Trading_YR_2006" localSheetId="16">'[35]Aday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[56]Settings!$F$17</definedName>
    <definedName name="ENVIRONMENTAL">#REF!</definedName>
    <definedName name="EPRI">'[26]C. Input'!$F$203</definedName>
    <definedName name="Equity__Earnings__Losses_of_Consol_Subs" localSheetId="16">#REF!</definedName>
    <definedName name="Equity__Earnings__Losses_of_Consol_Subs">#REF!</definedName>
    <definedName name="Equity__Earnings__Losses_of_Unconsol_Subs" localSheetId="16">#REF!</definedName>
    <definedName name="Equity__Earnings__Losses_of_Unconsol_Subs">#REF!</definedName>
    <definedName name="Equity_Earnings_CPM" localSheetId="16">#REF!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16">#REF!</definedName>
    <definedName name="ER_NON_REGULATED">#REF!</definedName>
    <definedName name="ER_Non_Regulated_Growth_YR_2005" localSheetId="16">'[35]Aday IS DECo &amp; Other'!#REF!</definedName>
    <definedName name="ER_Non_Regulated_Growth_YR_2005">'[35]Aday IS DECo &amp; Other'!#REF!</definedName>
    <definedName name="ER_Non_Regulated_Growth_YR_2006" localSheetId="16">'[35]Aday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16">#REF!</definedName>
    <definedName name="ER_Non_Regulated_Support">#REF!</definedName>
    <definedName name="ER_Non_Regulated_Support_YR_2005" localSheetId="16">'[35]Aday IS DECo &amp; Other'!#REF!</definedName>
    <definedName name="ER_Non_Regulated_Support_YR_2005">'[35]Aday IS DECo &amp; Other'!#REF!</definedName>
    <definedName name="ER_Non_Regulated_Support_YR_2006" localSheetId="16">'[35]Aday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16">#REF!</definedName>
    <definedName name="ERROR">#REF!</definedName>
    <definedName name="ESPYMT" localSheetId="16">#REF!</definedName>
    <definedName name="ESPYMT">#REF!</definedName>
    <definedName name="EssOptions">"1100000000130100_11-          00"</definedName>
    <definedName name="EST_2005" localSheetId="16">#REF!</definedName>
    <definedName name="EST_2005">#REF!</definedName>
    <definedName name="EST_BY_ACCT">#REF!</definedName>
    <definedName name="ETR">#REF!</definedName>
    <definedName name="EV__LASTREFTIME__" localSheetId="20" hidden="1">39826.8319444444</definedName>
    <definedName name="EV__LASTREFTIME__" localSheetId="14" hidden="1">39826.8319444444</definedName>
    <definedName name="EV__LASTREFTIME__" localSheetId="13" hidden="1">39826.8319444444</definedName>
    <definedName name="EV__LASTREFTIME__" localSheetId="18" hidden="1">39826.8319444444</definedName>
    <definedName name="EV__LASTREFTIME__" localSheetId="19" hidden="1">39826.8319444444</definedName>
    <definedName name="EV__LASTREFTIME__">39773.6430324074</definedName>
    <definedName name="exclude_cap" localSheetId="16">'[37]Input Page'!#REF!</definedName>
    <definedName name="exclude_cap">'[37]Input Page'!#REF!</definedName>
    <definedName name="Expl___Prod_Growth_YR_2003" localSheetId="16">#REF!</definedName>
    <definedName name="Expl___Prod_Growth_YR_2003">#REF!</definedName>
    <definedName name="Expl___Prod_Growth_YR_2004" localSheetId="16">#REF!</definedName>
    <definedName name="Expl___Prod_Growth_YR_2004">#REF!</definedName>
    <definedName name="Expl___Prod_Growth_YR_2005" localSheetId="16">#REF!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0"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3"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6">#REF!</definedName>
    <definedName name="f1_respondent_id">#REF!</definedName>
    <definedName name="FACE">#REF!</definedName>
    <definedName name="Facilities">1700</definedName>
    <definedName name="FACTOR_.75">'[11]Macro Tables'!$C$27</definedName>
    <definedName name="FACTOR_.80">'[11]Macro Tables'!$C$28</definedName>
    <definedName name="FACTOR_.85">'[11]Macro Tables'!$C$29</definedName>
    <definedName name="FACTOR_.90">'[11]Macro Tables'!$C$30</definedName>
    <definedName name="FACTOR_.95">'[11]Macro Tables'!$C$31</definedName>
    <definedName name="FACTOR_1">'[11]Macro Tables'!$C$32</definedName>
    <definedName name="FACTOR_1.05">'[11]Macro Tables'!$C$33</definedName>
    <definedName name="FACTOR_1.1">'[11]Macro Tables'!$C$34</definedName>
    <definedName name="FACTOR_1.15">'[11]Macro Tables'!$C$35</definedName>
    <definedName name="FACTOR_1.2">'[11]Macro Tables'!$C$36</definedName>
    <definedName name="FACTOR_1.25">'[11]Macro Tables'!$C$37</definedName>
    <definedName name="FACTOR_NAME">'[11]Macro Tables'!$C$22</definedName>
    <definedName name="FACTOR_TABLE">'[11]Macro Tables'!$B$27:$C$37</definedName>
    <definedName name="FACTOR_VALUE">'[11]Macro Tables'!$C$23</definedName>
    <definedName name="FACTORS">#REF!</definedName>
    <definedName name="FACTRS">#REF!</definedName>
    <definedName name="FAS109YTD" localSheetId="16">[23]December!#REF!</definedName>
    <definedName name="FAS109YTD">[23]December!#REF!</definedName>
    <definedName name="FB_CUSTOMERS" localSheetId="16">#REF!</definedName>
    <definedName name="FB_CUSTOMERS">#REF!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0"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3"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6">#REF!</definedName>
    <definedName name="FEB">#REF!</definedName>
    <definedName name="FEB00" localSheetId="20" hidden="1">{#N/A,#N/A,FALSE,"ARREC"}</definedName>
    <definedName name="FEB00" localSheetId="14" hidden="1">{#N/A,#N/A,FALSE,"ARREC"}</definedName>
    <definedName name="FEB00" localSheetId="15" hidden="1">{#N/A,#N/A,FALSE,"ARREC"}</definedName>
    <definedName name="FEB00" localSheetId="13" hidden="1">{#N/A,#N/A,FALSE,"ARREC"}</definedName>
    <definedName name="FEB00" hidden="1">{#N/A,#N/A,FALSE,"ARREC"}</definedName>
    <definedName name="FED" localSheetId="16">#REF!</definedName>
    <definedName name="FED">#REF!</definedName>
    <definedName name="fed_inc_tax">'[37]Input Page'!$E$13</definedName>
    <definedName name="FEDCUME">[19]DEPR96!#REF!</definedName>
    <definedName name="FEDCURR">[19]DEPR96!#REF!</definedName>
    <definedName name="FEDDEFERREDTAX" localSheetId="16">#REF!</definedName>
    <definedName name="FEDDEFERREDTAX">#REF!</definedName>
    <definedName name="Federal___Other_Inc_Tax_CPM" localSheetId="16">#REF!</definedName>
    <definedName name="Federal___Other_Inc_Tax_CPM">#REF!</definedName>
    <definedName name="FEDLIFE" localSheetId="16">[19]DEPR96!#REF!</definedName>
    <definedName name="FEDLIFE">[19]DEPR96!#REF!</definedName>
    <definedName name="FEDMETH" localSheetId="16">[19]DEPR96!#REF!</definedName>
    <definedName name="FEDMETH">[19]DEPR96!#REF!</definedName>
    <definedName name="FEDNO" localSheetId="16">[19]DEPR96!#REF!</definedName>
    <definedName name="FEDNO">[19]DEPR96!#REF!</definedName>
    <definedName name="FEDRATE" localSheetId="16">[19]DEPR96!#REF!</definedName>
    <definedName name="FEDRATE">[19]DEPR96!#REF!</definedName>
    <definedName name="FEDYR">[19]DEPR96!#REF!</definedName>
    <definedName name="FEDYRNO">[19]DEPR96!#REF!</definedName>
    <definedName name="ff" localSheetId="20"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3"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0"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3"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0"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3"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16">#REF!</definedName>
    <definedName name="FIN">#REF!</definedName>
    <definedName name="Final_Consolidation">#REF!</definedName>
    <definedName name="Financing_Sources__Uses__CPM" localSheetId="16">#REF!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 localSheetId="16">#REF!</definedName>
    <definedName name="FORM">#REF!</definedName>
    <definedName name="Format">#REF!</definedName>
    <definedName name="Forms">#REF!</definedName>
    <definedName name="Fossil_BGS">[41]Assumptions!$E$58</definedName>
    <definedName name="Fossil_Secur_Date">[25]Assumptions!$E$22</definedName>
    <definedName name="FOUR">#N/A</definedName>
    <definedName name="fp" localSheetId="16">#REF!</definedName>
    <definedName name="fp">#REF!</definedName>
    <definedName name="Free_Cash_Flow_CPM" localSheetId="16">#REF!</definedName>
    <definedName name="Free_Cash_Flow_CPM">#REF!</definedName>
    <definedName name="FREV">'[26]C. Input'!$F$295</definedName>
    <definedName name="fsdafasf" localSheetId="20"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3"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0"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3"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0"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3"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0"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3"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6">#REF!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[11]Print!$I$20</definedName>
    <definedName name="fullyrcredit100" localSheetId="16">#REF!</definedName>
    <definedName name="fullyrcredit100">#REF!</definedName>
    <definedName name="fullyrcredit101" localSheetId="16">#REF!</definedName>
    <definedName name="fullyrcredit101">#REF!</definedName>
    <definedName name="fullyrcredit102" localSheetId="16">#REF!</definedName>
    <definedName name="fullyrcredit102">#REF!</definedName>
    <definedName name="fullyrcredit103">#REF!</definedName>
    <definedName name="fullyrcredit99">#REF!</definedName>
    <definedName name="fwrwerwerwerwer" localSheetId="20"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3"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6">#REF!</definedName>
    <definedName name="FY1999_AU_ACTY_ACCT">#REF!</definedName>
    <definedName name="FYE">[63]Input1!$B$6</definedName>
    <definedName name="FYR">'[32]Gas Ferc 2 2003'!$V$3</definedName>
    <definedName name="FYY" localSheetId="16">#REF!</definedName>
    <definedName name="FYY">#REF!</definedName>
    <definedName name="FYYYY" localSheetId="16">#REF!</definedName>
    <definedName name="FYYYY">#REF!</definedName>
    <definedName name="Gain__Loss_on_Sale_of_Joint_Ventures" localSheetId="16">#REF!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16">#REF!</definedName>
    <definedName name="Gas_Marketing_Purch_Acct">#REF!</definedName>
    <definedName name="Gas_Marketing_Purch_Acct_YR_2005" localSheetId="16">'[35]Aday IS DECo &amp; Other'!#REF!</definedName>
    <definedName name="Gas_Marketing_Purch_Acct_YR_2005">'[35]Aday IS DECo &amp; Other'!#REF!</definedName>
    <definedName name="Gas_Marketing_Purch_Acct_YR_2006" localSheetId="16">'[35]Aday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16">#REF!</definedName>
    <definedName name="Gas_Purchases___Affiliate">#REF!</definedName>
    <definedName name="Gas_Purchases___External" localSheetId="16">#REF!</definedName>
    <definedName name="Gas_Purchases___External">#REF!</definedName>
    <definedName name="Gas_Resources_Growth_YR_2003" localSheetId="16">#REF!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'[4]Curr adj - depn basis diff'!#REF!</definedName>
    <definedName name="GASPA2003" localSheetId="16">#REF!</definedName>
    <definedName name="GASPA2003">#REF!</definedName>
    <definedName name="GASPA2004" localSheetId="16">#REF!</definedName>
    <definedName name="GASPA2004">#REF!</definedName>
    <definedName name="GASPA2005" localSheetId="16">#REF!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16">#REF!</definedName>
    <definedName name="GENERAL_HELP">#REF!</definedName>
    <definedName name="General_Taxes">#REF!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[64]PEPCO!$A$9:$H$774</definedName>
    <definedName name="ghjgfj" localSheetId="20"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3"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0"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3"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0"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3"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0"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3"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NOT(ISERROR(gIsRef !Print_Area))</definedName>
    <definedName name="gIsInPrintTitles" hidden="1">NOT(ISERROR(gIsRef !Print_Titles))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localSheetId="20"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8"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8"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6">#REF!</definedName>
    <definedName name="Goodwill">#REF!</definedName>
    <definedName name="Goodwill_CPM" localSheetId="16">#REF!</definedName>
    <definedName name="Goodwill_CPM">#REF!</definedName>
    <definedName name="GPLT">'[26]C. Input'!$F$168</definedName>
    <definedName name="GPURS" localSheetId="16">#REF!</definedName>
    <definedName name="GPURS">#REF!</definedName>
    <definedName name="GR">#REF!</definedName>
    <definedName name="GR_PRT_RANGE">[11]Gross_Rec!$A$8:$R$52</definedName>
    <definedName name="GRAND_TOTAL_CAPITAL_INVESTMENTS" localSheetId="16">#REF!</definedName>
    <definedName name="GRAND_TOTAL_CAPITAL_INVESTMENTS">#REF!</definedName>
    <definedName name="GRAPH_SELECT" localSheetId="16">#REF!</definedName>
    <definedName name="GRAPH_SELECT">#REF!</definedName>
    <definedName name="GRAPH_TABLE" localSheetId="16">#REF!</definedName>
    <definedName name="GRAPH_TABLE">#REF!</definedName>
    <definedName name="grec84100">#REF!</definedName>
    <definedName name="grec84101">#REF!</definedName>
    <definedName name="grec84102">#REF!</definedName>
    <definedName name="grec84103">#REF!</definedName>
    <definedName name="grec8490">[11]Model!$I$50</definedName>
    <definedName name="grec8491">[11]Model!$J$50</definedName>
    <definedName name="grec8492">[11]Model!$K$50</definedName>
    <definedName name="grec8493">[11]Model!$L$50</definedName>
    <definedName name="grec8494">[11]Model!$M$50</definedName>
    <definedName name="grec8495">[11]Model!$N$50</definedName>
    <definedName name="grec8496">[11]Model!$O$50</definedName>
    <definedName name="grec8497">[11]Model!$P$50</definedName>
    <definedName name="grec8498">[11]Model!$Q$50</definedName>
    <definedName name="grec8499" localSheetId="16">#REF!</definedName>
    <definedName name="grec8499">#REF!</definedName>
    <definedName name="grec85100" localSheetId="16">#REF!</definedName>
    <definedName name="grec85100">#REF!</definedName>
    <definedName name="grec85101" localSheetId="16">#REF!</definedName>
    <definedName name="grec85101">#REF!</definedName>
    <definedName name="grec85102">#REF!</definedName>
    <definedName name="grec85103">#REF!</definedName>
    <definedName name="grec8590">[11]Model!$I$51</definedName>
    <definedName name="grec8591">[11]Model!$J$51</definedName>
    <definedName name="grec8592">[11]Model!$K$51</definedName>
    <definedName name="grec8593">[11]Model!$L$51</definedName>
    <definedName name="grec8594">[11]Model!$M$51</definedName>
    <definedName name="grec8595">[11]Model!$N$51</definedName>
    <definedName name="grec8596">[11]Model!$O$51</definedName>
    <definedName name="grec8597">[11]Model!$P$51</definedName>
    <definedName name="grec8598">[11]Model!$Q$51</definedName>
    <definedName name="grec8599" localSheetId="16">#REF!</definedName>
    <definedName name="grec8599">#REF!</definedName>
    <definedName name="grec86100" localSheetId="16">#REF!</definedName>
    <definedName name="grec86100">#REF!</definedName>
    <definedName name="grec86101" localSheetId="16">#REF!</definedName>
    <definedName name="grec86101">#REF!</definedName>
    <definedName name="grec86102">#REF!</definedName>
    <definedName name="grec86103">#REF!</definedName>
    <definedName name="grec8690">[11]Model!$I$52</definedName>
    <definedName name="grec8691">[11]Model!$J$52</definedName>
    <definedName name="grec8692">[11]Model!$K$52</definedName>
    <definedName name="grec8693">[11]Model!$L$52</definedName>
    <definedName name="grec8694">[11]Model!$M$52</definedName>
    <definedName name="grec8695">[11]Model!$N$52</definedName>
    <definedName name="grec8696">[11]Model!$O$52</definedName>
    <definedName name="grec8697">[11]Model!$P$52</definedName>
    <definedName name="grec8698">[11]Model!$Q$52</definedName>
    <definedName name="grec8699" localSheetId="16">#REF!</definedName>
    <definedName name="grec8699">#REF!</definedName>
    <definedName name="grec87100" localSheetId="16">#REF!</definedName>
    <definedName name="grec87100">#REF!</definedName>
    <definedName name="grec87101" localSheetId="16">#REF!</definedName>
    <definedName name="grec87101">#REF!</definedName>
    <definedName name="grec87102">#REF!</definedName>
    <definedName name="grec87103">#REF!</definedName>
    <definedName name="grec8790">[11]Model!$I$53</definedName>
    <definedName name="grec8791">[11]Model!$J$53</definedName>
    <definedName name="grec8792">[11]Model!$K$53</definedName>
    <definedName name="grec8793">[11]Model!$L$53</definedName>
    <definedName name="grec8794">[11]Model!$M$53</definedName>
    <definedName name="grec8795">[11]Model!$N$53</definedName>
    <definedName name="grec8796">[11]Model!$O$53</definedName>
    <definedName name="grec8797">[11]Model!$P$53</definedName>
    <definedName name="grec8798">[11]Model!$Q$53</definedName>
    <definedName name="grec8799" localSheetId="16">#REF!</definedName>
    <definedName name="grec8799">#REF!</definedName>
    <definedName name="grec88100" localSheetId="16">#REF!</definedName>
    <definedName name="grec88100">#REF!</definedName>
    <definedName name="grec88101" localSheetId="16">#REF!</definedName>
    <definedName name="grec88101">#REF!</definedName>
    <definedName name="grec88102">#REF!</definedName>
    <definedName name="grec88103">#REF!</definedName>
    <definedName name="grec8890">[11]Model!$I$54</definedName>
    <definedName name="grec8891">[11]Model!$J$54</definedName>
    <definedName name="grec8892">[11]Model!$K$54</definedName>
    <definedName name="grec8893">[11]Model!$L$54</definedName>
    <definedName name="grec8894">[11]Model!$M$54</definedName>
    <definedName name="grec8895">[11]Model!$N$54</definedName>
    <definedName name="grec8896">[11]Model!$O$54</definedName>
    <definedName name="grec8897">[11]Model!$P$54</definedName>
    <definedName name="grec8898">[11]Model!$Q$54</definedName>
    <definedName name="grec8899" localSheetId="16">#REF!</definedName>
    <definedName name="grec8899">#REF!</definedName>
    <definedName name="gross_rec_caution">[11]Gross_Rec!$A$51:$IV$52</definedName>
    <definedName name="GROSS_RECEIPTS" localSheetId="16">#REF!</definedName>
    <definedName name="GROSS_RECEIPTS">#REF!</definedName>
    <definedName name="Growth_Contingency_YR_2005" localSheetId="16">'[35]Aday IS DECo &amp; Other'!#REF!</definedName>
    <definedName name="Growth_Contingency_YR_2005">'[35]Aday IS DECo &amp; Other'!#REF!</definedName>
    <definedName name="Growth_Contingency_YR_2006" localSheetId="16">'[35]Aday IS DECo &amp; Other'!#REF!</definedName>
    <definedName name="Growth_Contingency_YR_2006">'[35]Aday IS DECo &amp; Other'!#REF!</definedName>
    <definedName name="Growth_Contingency_YR_2007" localSheetId="16">'[35]Aday IS DECo &amp; Other'!#REF!</definedName>
    <definedName name="Growth_Contingency_YR_2007">'[35]Aday IS DECo &amp; Other'!#REF!</definedName>
    <definedName name="Growth_Contingency_YR_2008" localSheetId="16">'[35]Aday IS DECo &amp; Other'!#REF!</definedName>
    <definedName name="Growth_Contingency_YR_2008">'[35]Aday IS DECo &amp; Other'!#REF!</definedName>
    <definedName name="GRS">[11]Gross_Rec!$B$2:$M$49</definedName>
    <definedName name="GRT" localSheetId="16">#REF!</definedName>
    <definedName name="GRT">#REF!</definedName>
    <definedName name="grtm1">[11]Print!$I$32</definedName>
    <definedName name="grtm2">[11]Print!$G$32</definedName>
    <definedName name="grtm3">[11]Print!$E$32</definedName>
    <definedName name="grtm4">[11]Print!$C$32</definedName>
    <definedName name="GTDAMERICAS" localSheetId="16">#REF!</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0"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3"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0"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3"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'[65]Tony''s Categories'!$B$6:$B$11</definedName>
    <definedName name="historiccents" localSheetId="16">#REF!</definedName>
    <definedName name="historiccents">#REF!</definedName>
    <definedName name="hjfjghjgfjgj" localSheetId="20"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3"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0"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3"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6">#REF!</definedName>
    <definedName name="HOLDING_CO___OTHER_TOTAL">#REF!</definedName>
    <definedName name="HOLDING_CO___OTHER_TOTAL_YR_2005" localSheetId="16">'[35]Aday IS DECo &amp; Other'!#REF!</definedName>
    <definedName name="HOLDING_CO___OTHER_TOTAL_YR_2005">'[35]Aday IS DECo &amp; Other'!#REF!</definedName>
    <definedName name="HOLDING_CO___OTHER_TOTAL_YR_2006" localSheetId="16">'[35]Aday IS DECo &amp; Other'!#REF!</definedName>
    <definedName name="HOLDING_CO___OTHER_TOTAL_YR_2006">'[35]Aday IS DECo &amp; Other'!#REF!</definedName>
    <definedName name="HOLDING_CO___OTHER_TOTAL_YR_2007" localSheetId="16">'[35]Aday IS DECo &amp; Other'!#REF!</definedName>
    <definedName name="HOLDING_CO___OTHER_TOTAL_YR_2007">'[35]Aday IS DECo &amp; Other'!#REF!</definedName>
    <definedName name="HOLDING_CO___OTHER_TOTAL_YR_2008" localSheetId="16">'[35]Aday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16">#REF!</definedName>
    <definedName name="HOURS">#REF!</definedName>
    <definedName name="howToChange" localSheetId="16">#REF!</definedName>
    <definedName name="howToChange">#REF!</definedName>
    <definedName name="howToCheck">#REF!</definedName>
    <definedName name="HPNTSR">'[26]A.2 PTP'!$P$332</definedName>
    <definedName name="HTML_CodePage">1252</definedName>
    <definedName name="HTML_Control" localSheetId="14">{"'Metretek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16">#REF!</definedName>
    <definedName name="IBMDirDoc">#REF!</definedName>
    <definedName name="IBMDirDollars" localSheetId="16">#REF!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[66]Inputs!#REF!</definedName>
    <definedName name="Income_Taxes" localSheetId="16">#REF!</definedName>
    <definedName name="Income_Taxes">#REF!</definedName>
    <definedName name="Income_Taxes_CPM" localSheetId="16">#REF!</definedName>
    <definedName name="Income_Taxes_CPM">#REF!</definedName>
    <definedName name="Income_Taxes_Federal" localSheetId="16">#REF!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6">#REF!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[67]Nonlevelized-IOU'!$K$7,'[67]Nonlevelized-IOU'!$D$10,'[67]Nonlevelized-IOU'!$I$26,'[67]Nonlevelized-IOU'!$D$89:$D$92,'[67]Nonlevelized-IOU'!$D$97:$D$100,'[67]Nonlevelized-IOU'!$D$113:$D$116,'[67]Nonlevelized-IOU'!$D$124:$D$125,'[67]Nonlevelized-IOU'!$D$162,'[67]Nonlevelized-IOU'!$D$164:$D$165,'[67]Nonlevelized-IOU'!$D$167,'[67]Nonlevelized-IOU'!$D$174:$D$175,'[67]Nonlevelized-IOU'!$D$181,'[67]Nonlevelized-IOU'!$D$184,'[67]Nonlevelized-IOU'!$I$233:$I$234,'[67]Nonlevelized-IOU'!$D$250:$D$253,'[67]Nonlevelized-IOU'!$D$257:$D$259,'[67]Nonlevelized-IOU'!$I$263,'[67]Nonlevelized-IOU'!$I$265,'[67]Nonlevelized-IOU'!$I$268,'[67]Nonlevelized-IOU'!$D$274:$D$275,'[67]Nonlevelized-IOU'!$I$289,'[67]Nonlevelized-IOU'!$D$325:$D$327</definedName>
    <definedName name="Inputs_EndYrBal">[30]Inputs!$E$16:$E$73</definedName>
    <definedName name="Inputs_EndYrBal_prior">[30]Inputs!$D$16:$D$73</definedName>
    <definedName name="Inputs_FF1_Map">[30]Inputs!$F$16:$F$73</definedName>
    <definedName name="INSERTRANGE" localSheetId="16">#REF!</definedName>
    <definedName name="INSERTRANGE">#REF!</definedName>
    <definedName name="int_rate">#REF!</definedName>
    <definedName name="intang_afudc910">[68]criteria!$A$5:$B$6</definedName>
    <definedName name="INTCUT">#REF!</definedName>
    <definedName name="intedp2data" localSheetId="16">#REF!</definedName>
    <definedName name="intedp2data">#REF!</definedName>
    <definedName name="Intercompany_Loan" localSheetId="16">#REF!</definedName>
    <definedName name="Intercompany_Loan">#REF!</definedName>
    <definedName name="Intercompany_Loan_CPM" localSheetId="16">#REF!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'[69]IR COMP'!$B$39</definedName>
    <definedName name="INTY">'[69]IR COMP'!$C$39</definedName>
    <definedName name="Inv_JE" localSheetId="16">#REF!</definedName>
    <definedName name="Inv_JE">#REF!</definedName>
    <definedName name="Inv_wp" localSheetId="16">#REF!</definedName>
    <definedName name="Inv_wp">#REF!</definedName>
    <definedName name="Inventories" localSheetId="16">#REF!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[70]PL!$A:$IV</definedName>
    <definedName name="itec">[70]PL!$A$1:$A$65536</definedName>
    <definedName name="JAN" localSheetId="16">#REF!</definedName>
    <definedName name="JAN">#REF!</definedName>
    <definedName name="JanCP">#REF!</definedName>
    <definedName name="JE">#REF!</definedName>
    <definedName name="JE33WP">#REF!</definedName>
    <definedName name="jeff" localSheetId="20"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3"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0"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3"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0"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3"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6">#REF!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0"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3"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'[65]Tony''s Categories'!$D$6:$D$100</definedName>
    <definedName name="KeyCon_Close_Date">[41]Assumptions!$E$29</definedName>
    <definedName name="kk" localSheetId="20"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3"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0"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3"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14">{"'Metretek HTML'!$A$7:$W$42"}</definedName>
    <definedName name="klio" localSheetId="15">{"'Metretek HTML'!$A$7:$W$42"}</definedName>
    <definedName name="klio" localSheetId="16">{"'Metretek HTML'!$A$7:$W$42"}</definedName>
    <definedName name="klio">{"'Metretek HTML'!$A$7:$W$42"}</definedName>
    <definedName name="l">[71]Lists!$A$2:$A$4</definedName>
    <definedName name="L4_A">[72]total!#REF!</definedName>
    <definedName name="L4_B">[72]total!#REF!</definedName>
    <definedName name="LabHour" localSheetId="16">#REF!</definedName>
    <definedName name="LabHour">#REF!</definedName>
    <definedName name="Labor">#REF!</definedName>
    <definedName name="Labor__excl._Cost_of_Sales_labor">#REF!</definedName>
    <definedName name="Labor_Total">#REF!</definedName>
    <definedName name="lastrow">'[11]QRE''s'!$A$95:$IV$95</definedName>
    <definedName name="LAYOUT" localSheetId="16">#REF!</definedName>
    <definedName name="LAYOUT">#REF!</definedName>
    <definedName name="LAYOUT_NAME" localSheetId="16">#REF!</definedName>
    <definedName name="LAYOUT_NAME">#REF!</definedName>
    <definedName name="left">OFFSET(!A1,0,-1)</definedName>
    <definedName name="Less_Accum_Depr__Depl___Amort" localSheetId="16">#REF!</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 localSheetId="16">#REF!</definedName>
    <definedName name="Liab_from_Risk_Mgt___Trading">#REF!</definedName>
    <definedName name="Liab_from_Risk_Mgt___Trading___Current">#REF!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14">{"'Metretek HTML'!$A$7:$W$42"}</definedName>
    <definedName name="LK" localSheetId="15">{"'Metretek HTML'!$A$7:$W$42"}</definedName>
    <definedName name="LK" localSheetId="16">{"'Metretek HTML'!$A$7:$W$42"}</definedName>
    <definedName name="LK">{"'Metretek HTML'!$A$7:$W$42"}</definedName>
    <definedName name="ll" localSheetId="14" hidden="1">{#N/A,#N/A,FALSE,"EMPPAY"}</definedName>
    <definedName name="ll" localSheetId="15" hidden="1">{#N/A,#N/A,FALSE,"EMPPAY"}</definedName>
    <definedName name="ll" hidden="1">{#N/A,#N/A,FALSE,"EMPPAY"}</definedName>
    <definedName name="LOAD" localSheetId="16">#REF!</definedName>
    <definedName name="LOAD">#REF!</definedName>
    <definedName name="LOAD_4" localSheetId="16">[72]total!#REF!</definedName>
    <definedName name="LOAD_4">[72]total!#REF!</definedName>
    <definedName name="Loan_from_Affiliate" localSheetId="16">#REF!</definedName>
    <definedName name="Loan_from_Affiliate">#REF!</definedName>
    <definedName name="lob" localSheetId="16">#REF!</definedName>
    <definedName name="lob">#REF!</definedName>
    <definedName name="lobcolumn">#REF!</definedName>
    <definedName name="LOCATE3">#N/A</definedName>
    <definedName name="LOCTABLE">#REF!</definedName>
    <definedName name="LOCTextLen">#REF!</definedName>
    <definedName name="loilpuioopy" localSheetId="20"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3"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6">#REF!</definedName>
    <definedName name="Long_Term_Assets_from_Risk_Mgt_Activities">#REF!</definedName>
    <definedName name="Long_Term_Capital_Leases" localSheetId="16">#REF!</definedName>
    <definedName name="Long_Term_Capital_Leases">#REF!</definedName>
    <definedName name="Long_Term_Capitalization" localSheetId="16">#REF!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'[65]Tony''s Categories'!$C$6:$C$25</definedName>
    <definedName name="LRG_GE">#REF!</definedName>
    <definedName name="LRG_GJ">#REF!</definedName>
    <definedName name="lsdfj" localSheetId="20"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3"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0"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3"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0"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3"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0"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3"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0"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3"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0"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3"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0"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3"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6">#REF!</definedName>
    <definedName name="LTD_incl._Curr._Cap._Lease_CPM">#REF!</definedName>
    <definedName name="LTR_A" localSheetId="16">#REF!</definedName>
    <definedName name="LTR_A">#REF!</definedName>
    <definedName name="LTR_B" localSheetId="16">#REF!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[57]FERCFACT!#REF!</definedName>
    <definedName name="MACRO">#N/A</definedName>
    <definedName name="MACRO_1" localSheetId="16">#REF!</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16">#REF!</definedName>
    <definedName name="map.v1">#REF!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0" hidden="1">{#N/A,#N/A,FALSE,"EMPPAY"}</definedName>
    <definedName name="MAY" localSheetId="14" hidden="1">{#N/A,#N/A,FALSE,"EMPPAY"}</definedName>
    <definedName name="MAY" localSheetId="13" hidden="1">{#N/A,#N/A,FALSE,"EMPPAY"}</definedName>
    <definedName name="MAY" localSheetId="16">#REF!</definedName>
    <definedName name="MAY" localSheetId="18" hidden="1">{#N/A,#N/A,FALSE,"EMPPAY"}</definedName>
    <definedName name="MAY" localSheetId="19" hidden="1">{#N/A,#N/A,FALSE,"EMPPAY"}</definedName>
    <definedName name="MAY">#REF!</definedName>
    <definedName name="MC">#REF!</definedName>
    <definedName name="MCDATA">'[73]MTHLY MEAS.'!#REF!</definedName>
    <definedName name="MCGC_Elims" localSheetId="16">#REF!</definedName>
    <definedName name="MCGC_Elims">#REF!</definedName>
    <definedName name="MCGC_Elims_YR_2005" localSheetId="16">'[35]Aday IS EG Subs'!#REF!</definedName>
    <definedName name="MCGC_Elims_YR_2005">'[35]Aday IS EG Subs'!#REF!</definedName>
    <definedName name="MCGC_Elims_YR_2006" localSheetId="16">'[35]Aday IS EG Subs'!#REF!</definedName>
    <definedName name="MCGC_Elims_YR_2006">'[35]Aday IS EG Subs'!#REF!</definedName>
    <definedName name="MCGC_Elims_YR_2007">'[35]Aday IS EG Subs'!#REF!</definedName>
    <definedName name="MCGC_Elims_YR_2008">'[35]Aday IS EG Subs'!#REF!</definedName>
    <definedName name="MCGC_Subsidiaries" localSheetId="16">#REF!</definedName>
    <definedName name="MCGC_Subsidiaries">#REF!</definedName>
    <definedName name="MCGC_Subsidiaries_YR_2005" localSheetId="16">'[35]Aday IS EG Subs'!#REF!</definedName>
    <definedName name="MCGC_Subsidiaries_YR_2005">'[35]Aday IS EG Subs'!#REF!</definedName>
    <definedName name="MCGC_Subsidiaries_YR_2006" localSheetId="16">'[35]Aday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16">#REF!</definedName>
    <definedName name="MCGC2003">#REF!</definedName>
    <definedName name="MCGC2004" localSheetId="16">#REF!</definedName>
    <definedName name="MCGC2004">#REF!</definedName>
    <definedName name="MCGC2005" localSheetId="16">#REF!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16">#REF!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16">[19]DEPR96!#REF!</definedName>
    <definedName name="METH">[19]DEPR96!#REF!</definedName>
    <definedName name="MFTSR">'[26]A.2 PTP'!$P$276</definedName>
    <definedName name="MI">'[73]MTHLY MEAS.'!#REF!</definedName>
    <definedName name="MichCon_Cons___Purch_Acct_Total" localSheetId="16">#REF!</definedName>
    <definedName name="MichCon_Cons___Purch_Acct_Total">#REF!</definedName>
    <definedName name="MichCon_Consol_Total" localSheetId="16">#REF!</definedName>
    <definedName name="MichCon_Consol_Total">#REF!</definedName>
    <definedName name="MichCon_Subs__Holdings___Elims" localSheetId="16">#REF!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16">#REF!</definedName>
    <definedName name="MILESTONES_1">#REF!</definedName>
    <definedName name="MILESTONES_2">#REF!</definedName>
    <definedName name="Millennium_Pipeline">#REF!</definedName>
    <definedName name="Millennium_Pipeline_YR_2005">'[35]Aday IS EG Subs'!#REF!</definedName>
    <definedName name="Millennium_Pipeline_YR_2006">'[35]Aday IS EG Subs'!#REF!</definedName>
    <definedName name="Millennium_Pipeline_YR_2007">'[35]Aday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 localSheetId="16">#REF!</definedName>
    <definedName name="mode">#REF!</definedName>
    <definedName name="modelgrheader">[11]Model!$A$3</definedName>
    <definedName name="modelqreheader">[11]Model!$A$78</definedName>
    <definedName name="month">[74]RPT80MAR!$A$1:$D$77</definedName>
    <definedName name="MONTH_02" localSheetId="16">#REF!</definedName>
    <definedName name="MONTH_02">#REF!</definedName>
    <definedName name="MONTH_03" localSheetId="16">#REF!</definedName>
    <definedName name="MONTH_03">#REF!</definedName>
    <definedName name="MONTH_04" localSheetId="16">#REF!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[75]Index!$A$4</definedName>
    <definedName name="MONTHLY">'[73]MTHLY MEAS.'!#REF!</definedName>
    <definedName name="MONTHS">#N/A</definedName>
    <definedName name="Mortgage_Bonds__Notes___Other" localSheetId="16">#REF!</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16">#REF!</definedName>
    <definedName name="MTC_Type">#REF!</definedName>
    <definedName name="MTH">#N/A</definedName>
    <definedName name="N_A">'[26]C. Input'!#REF!</definedName>
    <definedName name="NavPane" localSheetId="16">#REF!</definedName>
    <definedName name="NavPane">#REF!</definedName>
    <definedName name="NCP">#N/A</definedName>
    <definedName name="NCP_1">#N/A</definedName>
    <definedName name="NCPK1">#N/A</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14"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'[76]2nd qtr 2000'!$A$1:$I$58,'[76]2nd qtr 2000'!$K$1:$T$58,'[76]2nd qtr 2000'!$V$1:$AI$58</definedName>
    <definedName name="New_Investments___Plant_Retirements" localSheetId="16">#REF!</definedName>
    <definedName name="New_Investments___Plant_Retirements">#REF!</definedName>
    <definedName name="NEW_YEAR" localSheetId="16">#REF!</definedName>
    <definedName name="NEW_YEAR">#REF!</definedName>
    <definedName name="NewHire">8500</definedName>
    <definedName name="NEXT_STEP">[11]Comparison!$CK$14</definedName>
    <definedName name="NINE">#N/A</definedName>
    <definedName name="Node">[77]Hierarchy!$B$2:$E$16455</definedName>
    <definedName name="NoErrMsg">#REF!</definedName>
    <definedName name="non_cap_int">'[37]Input Page'!$E$15</definedName>
    <definedName name="NON_PROCESS_DETAIL" localSheetId="16">#REF!</definedName>
    <definedName name="NON_PROCESS_DETAIL">#REF!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0"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3"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 localSheetId="16">#REF!</definedName>
    <definedName name="NPPBC">#REF!</definedName>
    <definedName name="NTDR">'[26]C. Input'!$F$234</definedName>
    <definedName name="NTPLT">'[26]C. Input'!$F$164</definedName>
    <definedName name="NTSRR">'[26]B.2 NITS '!$P$220</definedName>
    <definedName name="Nuclear_Decommissioning" localSheetId="16">#REF!</definedName>
    <definedName name="Nuclear_Decommissioning">#REF!</definedName>
    <definedName name="Nuclear_Decommissioning_Trust_Funds">#REF!</definedName>
    <definedName name="Nuclear_Secur_Date">[25]Assumptions!$E$21</definedName>
    <definedName name="NUTIL" localSheetId="16">#REF!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[78]Sheet1!$H$75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 localSheetId="16">#REF!</definedName>
    <definedName name="OLDTOT">#REF!</definedName>
    <definedName name="one">1</definedName>
    <definedName name="Operating_Expenses_CPM" localSheetId="16">#REF!</definedName>
    <definedName name="Operating_Expenses_CPM">#REF!</definedName>
    <definedName name="Operating_Labor_in_Cost_of_Sales__Non_Reg" localSheetId="16">#REF!</definedName>
    <definedName name="Operating_Labor_in_Cost_of_Sales__Non_Reg">#REF!</definedName>
    <definedName name="Operating_Revenue_CPM">#REF!</definedName>
    <definedName name="Operation___Maintenance_CPM">#REF!</definedName>
    <definedName name="OPERATOR_ID">#REF!</definedName>
    <definedName name="OPR">'[79]Income Statement'!#REF!</definedName>
    <definedName name="ORACLE_DEPRECIATION">'[80]Agriliance-allassets'!$A$1:$EG$15622</definedName>
    <definedName name="Other_Accounts_Receivable" localSheetId="16">#REF!</definedName>
    <definedName name="Other_Accounts_Receivable">#REF!</definedName>
    <definedName name="Other_Adjustment" localSheetId="16">#REF!</definedName>
    <definedName name="Other_Adjustment">#REF!</definedName>
    <definedName name="OTHER_ASSETS" localSheetId="16">#REF!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16">#REF!</definedName>
    <definedName name="Other_Growth_YR_2003">#REF!</definedName>
    <definedName name="Other_Growth_YR_2004" localSheetId="16">#REF!</definedName>
    <definedName name="Other_Growth_YR_2004">#REF!</definedName>
    <definedName name="Other_Growth_YR_2005" localSheetId="16">#REF!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16">#REF!</definedName>
    <definedName name="Other_OID_CPM">#REF!</definedName>
    <definedName name="Other_Operating_Expenses" localSheetId="16">#REF!</definedName>
    <definedName name="Other_Operating_Expenses">#REF!</definedName>
    <definedName name="OTHER_PLANT_RELATED_ACTIVITY" localSheetId="16">#REF!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16">#REF!</definedName>
    <definedName name="Out_of_Balance_Condition">#REF!</definedName>
    <definedName name="OUT_OF_BALANCE_CONDITION___Account_Detail">#REF!</definedName>
    <definedName name="Over_Recovery_of_Supply_Costs">#REF!</definedName>
    <definedName name="p">#REF!</definedName>
    <definedName name="P_MACRO">#REF!</definedName>
    <definedName name="P_TYPE">#N/A</definedName>
    <definedName name="P1_STR1_S">#REF!</definedName>
    <definedName name="P2_Records" localSheetId="16">#REF!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'[81]W&amp;S by group'!#REF!</definedName>
    <definedName name="page11">'[81]W&amp;S by group'!#REF!</definedName>
    <definedName name="page12">'[81]W&amp;S by group'!#REF!</definedName>
    <definedName name="page13">'[81]W&amp;S by group'!#REF!</definedName>
    <definedName name="page14">'[81]W&amp;S by group'!#REF!</definedName>
    <definedName name="page15">'[81]W&amp;S by group'!#REF!</definedName>
    <definedName name="page16">'[81]W&amp;S by group'!#REF!</definedName>
    <definedName name="PAGE1A">#REF!</definedName>
    <definedName name="PAGE2" localSheetId="16">#REF!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[11]Print!$A$2</definedName>
    <definedName name="PEAK">#N/A</definedName>
    <definedName name="PED" localSheetId="16">#REF!</definedName>
    <definedName name="PED">#REF!</definedName>
    <definedName name="PEOPLE" localSheetId="16">#REF!</definedName>
    <definedName name="PEOPLE">#REF!</definedName>
    <definedName name="PER" localSheetId="16">#REF!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16">#REF!</definedName>
    <definedName name="PG3A">#REF!</definedName>
    <definedName name="PGAUG">#REF!</definedName>
    <definedName name="pgprct">'[29]Percent Read YTD '!#REF!</definedName>
    <definedName name="PGPSA" localSheetId="16">#REF!</definedName>
    <definedName name="PGPSA">#REF!</definedName>
    <definedName name="Phase">'[11]Macro Tables'!$F$21</definedName>
    <definedName name="PHASE_HELP" localSheetId="16">#REF!</definedName>
    <definedName name="PHASE_HELP">#REF!</definedName>
    <definedName name="Pipe___Proc_Growth_YR_2003" localSheetId="16">#REF!</definedName>
    <definedName name="Pipe___Proc_Growth_YR_2003">#REF!</definedName>
    <definedName name="Pipe___Proc_Growth_YR_2004" localSheetId="16">#REF!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16">#REF!</definedName>
    <definedName name="Pipeline_Parent">#REF!</definedName>
    <definedName name="Pipeline_Parent_YR_2005" localSheetId="16">'[35]Aday IS EG Subs'!#REF!</definedName>
    <definedName name="Pipeline_Parent_YR_2005">'[35]Aday IS EG Subs'!#REF!</definedName>
    <definedName name="Pipeline_Parent_YR_2006" localSheetId="16">'[35]Aday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 localSheetId="16">#REF!</definedName>
    <definedName name="pla">#REF!</definedName>
    <definedName name="PLACE_HOLD" localSheetId="16">#REF!</definedName>
    <definedName name="PLACE_HOLD">#REF!</definedName>
    <definedName name="Plant___Equipment_Expenditures" localSheetId="16">#REF!</definedName>
    <definedName name="Plant___Equipment_Expenditures">#REF!</definedName>
    <definedName name="PLTDEC00" localSheetId="16">[82]PLTSTM!#REF!</definedName>
    <definedName name="PLTDEC00">[82]PLTSTM!#REF!</definedName>
    <definedName name="PLTDECTK" localSheetId="16">[83]PLTSTM!#REF!</definedName>
    <definedName name="PLTDECTK">[83]PLTSTM!#REF!</definedName>
    <definedName name="Portland_Pipeline" localSheetId="16">#REF!</definedName>
    <definedName name="Portland_Pipeline">#REF!</definedName>
    <definedName name="Portland_Pipeline_YR_2005" localSheetId="16">'[35]Aday IS EG Subs'!#REF!</definedName>
    <definedName name="Portland_Pipeline_YR_2005">'[35]Aday IS EG Subs'!#REF!</definedName>
    <definedName name="Portland_Pipeline_YR_2006" localSheetId="16">'[35]Aday IS EG Subs'!#REF!</definedName>
    <definedName name="Portland_Pipeline_YR_2006">'[35]Aday IS EG Subs'!#REF!</definedName>
    <definedName name="Portland_Pipeline_YR_2007" localSheetId="16">'[35]Aday IS EG Subs'!#REF!</definedName>
    <definedName name="Portland_Pipeline_YR_2007">'[35]Aday IS EG Subs'!#REF!</definedName>
    <definedName name="Portland_Pipeline_YR_2008" localSheetId="16">'[35]Aday IS EG Subs'!#REF!</definedName>
    <definedName name="Portland_Pipeline_YR_2008">'[35]Aday IS EG Subs'!#REF!</definedName>
    <definedName name="post_fossil">[41]Assumptions!$E$59</definedName>
    <definedName name="PP_E_Book_Gain__Loss" localSheetId="16">#REF!</definedName>
    <definedName name="PP_E_Book_Gain__Loss">#REF!</definedName>
    <definedName name="PP_E_Sold_Book_Basis" localSheetId="16">#REF!</definedName>
    <definedName name="PP_E_Sold_Book_Basis">#REF!</definedName>
    <definedName name="PP_E_Sold_Gross_Proceeds" localSheetId="16">#REF!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16">#REF!</definedName>
    <definedName name="PRDSUM">#REF!</definedName>
    <definedName name="Preferred__QUIDS___Convertibles" localSheetId="16">#REF!</definedName>
    <definedName name="Preferred__QUIDS___Convertibles">#REF!</definedName>
    <definedName name="Preferred_Debt___Convertible_Equity" localSheetId="16">#REF!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16">#REF!</definedName>
    <definedName name="PRINT">#REF!</definedName>
    <definedName name="Print.selection.print">#REF!</definedName>
    <definedName name="PRINT_1">#REF!</definedName>
    <definedName name="PRINT_2">#REF!</definedName>
    <definedName name="PRINT_3">#REF!</definedName>
    <definedName name="Print_99_IS">'[76]2nd qtr 2000'!$D$1:$I$58,'[76]2nd qtr 2000'!$N$1:$T$58,'[76]2nd qtr 2000'!$AA$1:$AH$57</definedName>
    <definedName name="_xlnm.Print_Area" localSheetId="23">'12- Depreciation Rates'!$A$1:$D$99</definedName>
    <definedName name="_xlnm.Print_Area" localSheetId="1">'1A - ADIT Summary'!$A$1:$S$213</definedName>
    <definedName name="_xlnm.Print_Area" localSheetId="3">'1C - ADIT BOY'!$A:$L</definedName>
    <definedName name="_xlnm.Print_Area" localSheetId="4">'1D - ADIT Rate Base Adjustment'!$A:$S</definedName>
    <definedName name="_xlnm.Print_Area" localSheetId="5">'1E - EDIT Amortization'!$A:$T</definedName>
    <definedName name="_xlnm.Print_Area" localSheetId="6">'1F - ADIT Remeasurement'!$A:$AI</definedName>
    <definedName name="_xlnm.Print_Area" localSheetId="8">'3 - Revenue Credits'!$A$1:$N$47</definedName>
    <definedName name="_xlnm.Print_Area" localSheetId="11">'5a Affiliate Allocations'!$A:$Q</definedName>
    <definedName name="_xlnm.Print_Area" localSheetId="13">'6-Project Rev Req'!$A$1:$Q$116</definedName>
    <definedName name="_xlnm.Print_Area" localSheetId="16">'7 - Cap Add WS'!$A$1:$BG$78</definedName>
    <definedName name="_xlnm.Print_Area" localSheetId="0">'ATT H-3D'!$A:$H</definedName>
    <definedName name="_xlnm.Print_Area">#REF!</definedName>
    <definedName name="Print_Area_1" localSheetId="14">#REF!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'[84]TFI use'!$A$1:$P$40,'[84]TFI use'!$A$42:$P$65,'[84]TFI use'!$A$67:$R$84</definedName>
    <definedName name="_xlnm.Print_Titles" localSheetId="1">'1A - ADIT Summary'!$1:$6</definedName>
    <definedName name="Print_Titles_MI">'[85]DACTIVE$'!$A$1:$IV$4,'[85]DACTIVE$'!$A$1:$A$65536</definedName>
    <definedName name="PRINT2" localSheetId="14">#REF!</definedName>
    <definedName name="PRINT2" localSheetId="15">#REF!</definedName>
    <definedName name="PRINT2" localSheetId="16">#REF!</definedName>
    <definedName name="PRINT2">#REF!</definedName>
    <definedName name="printarea" localSheetId="16">#REF!</definedName>
    <definedName name="printarea">#REF!</definedName>
    <definedName name="PrintareaDec">'[86]kWh-Mcf'!$E$97,'[86]kWh-Mcf'!$A$81:$E$118,'[86]kWh-Mcf'!$AM$86:$AO$118</definedName>
    <definedName name="PRINTFILE">#REF!</definedName>
    <definedName name="printyearfrom" localSheetId="14">#REF!</definedName>
    <definedName name="printyearfrom" localSheetId="15">#REF!</definedName>
    <definedName name="printyearfrom" localSheetId="16">#REF!</definedName>
    <definedName name="printyearfrom">#REF!</definedName>
    <definedName name="printyearto" localSheetId="14">#REF!</definedName>
    <definedName name="printyearto" localSheetId="15">#REF!</definedName>
    <definedName name="printyearto" localSheetId="16">#REF!</definedName>
    <definedName name="printyearto">#REF!</definedName>
    <definedName name="PRIOR" localSheetId="14">[19]DEPR96!#REF!</definedName>
    <definedName name="PRIOR" localSheetId="15">[19]DEPR96!#REF!</definedName>
    <definedName name="PRIOR" localSheetId="16">[19]DEPR96!#REF!</definedName>
    <definedName name="PRIOR">[19]DEPR96!#REF!</definedName>
    <definedName name="Prior_Plan_Results" localSheetId="1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#REF!</definedName>
    <definedName name="Proc2003" localSheetId="16">#REF!</definedName>
    <definedName name="Proc2003">#REF!</definedName>
    <definedName name="Proc2004" localSheetId="16">#REF!</definedName>
    <definedName name="Proc2004">#REF!</definedName>
    <definedName name="Proc2005" localSheetId="16">#REF!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'[79]Income Statement'!#REF!</definedName>
    <definedName name="profitPerCust" localSheetId="16">[48]Input!#REF!</definedName>
    <definedName name="profitPerCust">[48]Input!#REF!</definedName>
    <definedName name="PROJ_WOTextLen">#REF!</definedName>
    <definedName name="Projection">'[30]Appendix A'!$H$7</definedName>
    <definedName name="PROPERTY" localSheetId="16">#REF!</definedName>
    <definedName name="PROPERTY">#REF!</definedName>
    <definedName name="Property___Equipment" localSheetId="16">#REF!</definedName>
    <definedName name="Property___Equipment">#REF!</definedName>
    <definedName name="Property___Other_Tax_CPM" localSheetId="16">#REF!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 localSheetId="16">#REF!</definedName>
    <definedName name="PTXDATE">#REF!</definedName>
    <definedName name="PTXYRS" localSheetId="16">[19]DEPR96!#REF!</definedName>
    <definedName name="PTXYRS">[19]DEPR96!#REF!</definedName>
    <definedName name="Purchase_Accounting_Reclass" localSheetId="16">#REF!</definedName>
    <definedName name="Purchase_Accounting_Reclass">#REF!</definedName>
    <definedName name="Purchase_Accounting_YR_2005" localSheetId="16">'[35]Aday IS DECo &amp; Other'!#REF!</definedName>
    <definedName name="Purchase_Accounting_YR_2005">'[35]Aday IS DECo &amp; Other'!#REF!</definedName>
    <definedName name="Purchase_Accounting_YR_2006" localSheetId="16">'[35]Aday IS DECo &amp; Other'!#REF!</definedName>
    <definedName name="Purchase_Accounting_YR_2006">'[35]Aday IS DECo &amp; Other'!#REF!</definedName>
    <definedName name="Purchase_Accounting_YR_2007" localSheetId="16">'[35]Aday IS DECo &amp; Other'!#REF!</definedName>
    <definedName name="Purchase_Accounting_YR_2007">'[35]Aday IS DECo &amp; Other'!#REF!</definedName>
    <definedName name="Purchase_Accounting_YR_2008" localSheetId="16">'[35]Aday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#REF!</definedName>
    <definedName name="QCDATA">#REF!</definedName>
    <definedName name="QCUTIN">#REF!</definedName>
    <definedName name="QES">'[11]Gross_Rec:QRE''s'!$B$53:$N$112</definedName>
    <definedName name="QRE_HELP" localSheetId="14">#REF!</definedName>
    <definedName name="QRE_HELP" localSheetId="15">#REF!</definedName>
    <definedName name="QRE_HELP" localSheetId="16">#REF!</definedName>
    <definedName name="QRE_HELP">#REF!</definedName>
    <definedName name="QRE_MARGINS" localSheetId="14">#REF!</definedName>
    <definedName name="QRE_MARGINS" localSheetId="15">#REF!</definedName>
    <definedName name="QRE_MARGINS" localSheetId="16">#REF!</definedName>
    <definedName name="QRE_MARGINS">#REF!</definedName>
    <definedName name="QRE_SUMMARY">'[11]QRE''s'!$A$7:$R$102</definedName>
    <definedName name="qryNVPWR2002" localSheetId="16">#REF!</definedName>
    <definedName name="qryNVPWR2002">#REF!</definedName>
    <definedName name="qrySPPCO2002" localSheetId="16">#REF!</definedName>
    <definedName name="qrySPPCO2002">#REF!</definedName>
    <definedName name="qryTab7_5" localSheetId="16">#REF!</definedName>
    <definedName name="qryTab7_5">#REF!</definedName>
    <definedName name="Quarterly_Interest_Bearing_Debt__QUIDS">#REF!</definedName>
    <definedName name="Quarterly_Interest_Bearing_Debt__QUIDS__CPM">#REF!</definedName>
    <definedName name="query">'[87]Boston Edison'!$A$1:$M$3434</definedName>
    <definedName name="qw" localSheetId="14">{"'Metretek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16">#REF!</definedName>
    <definedName name="RANGE">#REF!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[11]Model!$I$175</definedName>
    <definedName name="rate91">[11]Model!$J$175</definedName>
    <definedName name="rate92">[11]Model!$K$175</definedName>
    <definedName name="rate93">[11]Model!$L$175</definedName>
    <definedName name="rate94">[11]Model!$M$175</definedName>
    <definedName name="rate95">[11]Model!$N$175</definedName>
    <definedName name="rate96">[11]Model!$O$175</definedName>
    <definedName name="rate97">[11]Model!$P$175</definedName>
    <definedName name="rate98">[11]Model!$Q$175</definedName>
    <definedName name="rate99" localSheetId="16">#REF!</definedName>
    <definedName name="rate99">#REF!</definedName>
    <definedName name="RawData" localSheetId="16">#REF!</definedName>
    <definedName name="RawData">#REF!</definedName>
    <definedName name="reawreqw" localSheetId="20"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3"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6">#REF!</definedName>
    <definedName name="RECON">#REF!</definedName>
    <definedName name="RECONCILIATION">#REF!</definedName>
    <definedName name="_xlnm.Recorder">#REF!</definedName>
    <definedName name="reduced_credit">[11]Print!$I$22</definedName>
    <definedName name="reduced_credit_caption">[11]Print!$G$22</definedName>
    <definedName name="Regulatory_Assets" localSheetId="16">#REF!</definedName>
    <definedName name="Regulatory_Assets">#REF!</definedName>
    <definedName name="Regulatory_Assets_CPM" localSheetId="16">#REF!</definedName>
    <definedName name="Regulatory_Assets_CPM">#REF!</definedName>
    <definedName name="Regulatory_Liabilities" localSheetId="16">#REF!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'[88]Employee Headcount'!$N$6:$S$803</definedName>
    <definedName name="Restricted_Cash" localSheetId="14">#REF!</definedName>
    <definedName name="Restricted_Cash" localSheetId="15">#REF!</definedName>
    <definedName name="Restricted_Cash" localSheetId="16">#REF!</definedName>
    <definedName name="Restricted_Cash">#REF!</definedName>
    <definedName name="Restricted_Cash_Account" localSheetId="14">#REF!</definedName>
    <definedName name="Restricted_Cash_Account" localSheetId="15">#REF!</definedName>
    <definedName name="Restricted_Cash_Account" localSheetId="16">#REF!</definedName>
    <definedName name="Restricted_Cash_Account">#REF!</definedName>
    <definedName name="Results">#REF!</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6">#REF!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16">[19]DEPR96!#REF!</definedName>
    <definedName name="RLST">[19]DEPR96!#REF!</definedName>
    <definedName name="RPT_B" localSheetId="16">#REF!</definedName>
    <definedName name="RPT_B">#REF!</definedName>
    <definedName name="RPT_G" localSheetId="16">#REF!</definedName>
    <definedName name="RPT_G">#REF!</definedName>
    <definedName name="RPTX" localSheetId="16">#REF!</definedName>
    <definedName name="RPTX">#REF!</definedName>
    <definedName name="RRE">'[26]C. Input'!$F$207</definedName>
    <definedName name="rrrr" localSheetId="20"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8"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hidden="1">{#N/A,#N/A,FALSE,"O&amp;M by processes";#N/A,#N/A,FALSE,"Elec Act vs Bud";#N/A,#N/A,FALSE,"G&amp;A";#N/A,#N/A,FALSE,"BGS";#N/A,#N/A,FALSE,"Res Cost"}</definedName>
    <definedName name="RSHCust">'[89]Chart6-8 data'!#REF!</definedName>
    <definedName name="RSUM" localSheetId="14">#REF!</definedName>
    <definedName name="RSUM" localSheetId="15">#REF!</definedName>
    <definedName name="RSUM" localSheetId="16">#REF!</definedName>
    <definedName name="RSUM">#REF!</definedName>
    <definedName name="RTT" localSheetId="14">#REF!</definedName>
    <definedName name="RTT" localSheetId="15">#REF!</definedName>
    <definedName name="RTT" localSheetId="16">#REF!</definedName>
    <definedName name="RTT">#REF!</definedName>
    <definedName name="RTX">'[26]C. Input'!$F$222</definedName>
    <definedName name="RunDateTime" localSheetId="14">#REF!</definedName>
    <definedName name="RunDateTime" localSheetId="15">#REF!</definedName>
    <definedName name="RunDateTime" localSheetId="16">#REF!</definedName>
    <definedName name="RunDateTime">#REF!</definedName>
    <definedName name="S">'[26]C. Input'!$F$76</definedName>
    <definedName name="sample1">#REF!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0"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3"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6">#REF!</definedName>
    <definedName name="SBU_SHEET_HELP">#REF!</definedName>
    <definedName name="SCD" localSheetId="16">#REF!</definedName>
    <definedName name="SCD">#REF!</definedName>
    <definedName name="Schedule_CC1">[11]Model!$A$1:$IV$75</definedName>
    <definedName name="Schedule_CC2">[11]Model!$A$76:$IV$151</definedName>
    <definedName name="Schedule_CC3">[11]Model!$A$152:$IV$207</definedName>
    <definedName name="SCN" localSheetId="16">#REF!</definedName>
    <definedName name="SCN">#REF!</definedName>
    <definedName name="sdf" localSheetId="20"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3"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0"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3"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0"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3"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0"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3"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0"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3"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0"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3"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6">#REF!</definedName>
    <definedName name="Section_29_Tax_Credits">#REF!</definedName>
    <definedName name="sectionNames" localSheetId="16">#REF!</definedName>
    <definedName name="sectionNames">#REF!</definedName>
    <definedName name="SECUR_GI">'[26]C. Input'!$F$353</definedName>
    <definedName name="SECUR_IS">'[26]C. Input'!$F$357</definedName>
    <definedName name="SECUR_KR">'[26]C. Input'!$F$349</definedName>
    <definedName name="Securitization_Bonds" localSheetId="16">#REF!</definedName>
    <definedName name="Securitization_Bonds">#REF!</definedName>
    <definedName name="Securitized_Bonds">#REF!</definedName>
    <definedName name="Securitized_Bonds_CPM">#REF!</definedName>
    <definedName name="Securitized_Regulatory_Assets">#REF!</definedName>
    <definedName name="SELECT">#N/A</definedName>
    <definedName name="SENS_DATA_RTN" localSheetId="16">#REF!</definedName>
    <definedName name="SENS_DATA_RTN">#REF!</definedName>
    <definedName name="SENS_MESSAGE">#REF!</definedName>
    <definedName name="SENS_NET_CREDIT">[11]Sens_Model!$E$193</definedName>
    <definedName name="SEP">#N/A</definedName>
    <definedName name="SEPT" localSheetId="14">#REF!</definedName>
    <definedName name="SEPT" localSheetId="15">#REF!</definedName>
    <definedName name="SEPT" localSheetId="16">#REF!</definedName>
    <definedName name="SEPT">#REF!</definedName>
    <definedName name="September09Billed" localSheetId="20"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3"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6">#REF!</definedName>
    <definedName name="SFC">#REF!</definedName>
    <definedName name="SFD">#REF!</definedName>
    <definedName name="sffsfa" localSheetId="20"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3"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0"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3"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6">#REF!</definedName>
    <definedName name="SFV">#REF!</definedName>
    <definedName name="shedulecc1">[11]Model!$A$1:$IV$68</definedName>
    <definedName name="Sheet1" localSheetId="20"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3"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12">Collapse_Columns</definedName>
    <definedName name="Sheet1NvsInstanceHook" localSheetId="14">Collapse_Columns</definedName>
    <definedName name="Sheet1NvsInstanceHook" localSheetId="15">Collapse_Columns</definedName>
    <definedName name="Sheet1NvsInstanceHook" localSheetId="16">Collapse_Columns</definedName>
    <definedName name="Sheet1NvsInstanceHook">Collapse_Columns</definedName>
    <definedName name="shit" hidden="1">{"PRINT",#N/A,TRUE,"APPA";"PRINT",#N/A,TRUE,"APS";"PRINT",#N/A,TRUE,"BHPL";"PRINT",#N/A,TRUE,"BHPL2";"PRINT",#N/A,TRUE,"CDWR";"PRINT",#N/A,TRUE,"EWEB";"PRINT",#N/A,TRUE,"LADWP";"PRINT",#N/A,TRUE,"NEVBASE"}</definedName>
    <definedName name="shiva" localSheetId="20"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8"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 localSheetId="16">#REF!</definedName>
    <definedName name="sixthyear">#REF!</definedName>
    <definedName name="slldk" localSheetId="20"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3"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6">#REF!</definedName>
    <definedName name="So._Missouri">#REF!</definedName>
    <definedName name="So._Missouri_YR_2005" localSheetId="16">'[35]Aday IS EG Subs'!#REF!</definedName>
    <definedName name="So._Missouri_YR_2005">'[35]Aday IS EG Subs'!#REF!</definedName>
    <definedName name="So._Missouri_YR_2006" localSheetId="16">'[35]Aday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0" hidden="1">#REF!</definedName>
    <definedName name="solver_opt" localSheetId="14" hidden="1">#REF!</definedName>
    <definedName name="solver_opt" localSheetId="13" hidden="1">#REF!</definedName>
    <definedName name="solver_opt" localSheetId="19" hidden="1">#REF!</definedName>
    <definedName name="solver_opt" hidden="1">#REF!</definedName>
    <definedName name="solver_typ" hidden="1">1</definedName>
    <definedName name="solver_val" hidden="1">0</definedName>
    <definedName name="SoMo2003" localSheetId="16">#REF!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6">#REF!</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14">{"'Metretek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'[11]QRE''s'!$D$8</definedName>
    <definedName name="start85">'[11]QRE''s'!$E$8</definedName>
    <definedName name="start86">'[11]QRE''s'!$F$8</definedName>
    <definedName name="start87">'[11]QRE''s'!$G$8</definedName>
    <definedName name="start88">'[11]QRE''s'!$H$8</definedName>
    <definedName name="start89">'[11]QRE''s'!$I$8</definedName>
    <definedName name="start90">'[11]QRE''s'!$J$8</definedName>
    <definedName name="start91">'[11]QRE''s'!$K$8</definedName>
    <definedName name="start92">'[11]QRE''s'!$L$8</definedName>
    <definedName name="start93">'[11]QRE''s'!$M$8</definedName>
    <definedName name="start94">'[11]QRE''s'!$N$8</definedName>
    <definedName name="start95">'[11]QRE''s'!$O$8</definedName>
    <definedName name="start96">'[11]QRE''s'!$P$8</definedName>
    <definedName name="start97">'[11]QRE''s'!$Q$8</definedName>
    <definedName name="start98">'[11]QRE''s'!$R$8</definedName>
    <definedName name="start99" localSheetId="16">#REF!</definedName>
    <definedName name="start99">#REF!</definedName>
    <definedName name="STARTCR">#REF!</definedName>
    <definedName name="STARTDR">#REF!</definedName>
    <definedName name="State">[90]List!$A$2:$A$53</definedName>
    <definedName name="StateDef" localSheetId="14">#REF!</definedName>
    <definedName name="StateDef" localSheetId="15">#REF!</definedName>
    <definedName name="StateDef" localSheetId="16">#REF!</definedName>
    <definedName name="StateDef">#REF!</definedName>
    <definedName name="stats">#REF!</definedName>
    <definedName name="statsrevised" localSheetId="20"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8"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'[91]Addt''l 1040 Exclusions'!$A$5:$U$44</definedName>
    <definedName name="STnabri" localSheetId="14">#REF!</definedName>
    <definedName name="STnabri" localSheetId="15">#REF!</definedName>
    <definedName name="STnabri" localSheetId="16">#REF!</definedName>
    <definedName name="STnabri">#REF!</definedName>
    <definedName name="Stor2003" localSheetId="14">#REF!</definedName>
    <definedName name="Stor2003" localSheetId="15">#REF!</definedName>
    <definedName name="Stor2003" localSheetId="16">#REF!</definedName>
    <definedName name="Stor2003">#REF!</definedName>
    <definedName name="Stor2004" localSheetId="16">#REF!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#REF!</definedName>
    <definedName name="STsai" localSheetId="16">#REF!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6">#REF!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16">#REF!</definedName>
    <definedName name="Subtotal_Equity">#REF!</definedName>
    <definedName name="Subtotal_Funds_from_Operations" localSheetId="16">#REF!</definedName>
    <definedName name="Subtotal_Funds_from_Operations">#REF!</definedName>
    <definedName name="Subtotal_Funds_from_Operations_CPM" localSheetId="16">#REF!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[11]Model!$A$202:$IV$207</definedName>
    <definedName name="SUMMARYC">#REF!</definedName>
    <definedName name="SUMMARYOFBOOKINCOME" localSheetId="16">#REF!</definedName>
    <definedName name="SUMMARYOFBOOKINCOME">#REF!</definedName>
    <definedName name="support" localSheetId="20"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8"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hidden="1">{#N/A,#N/A,FALSE,"O&amp;M by processes";#N/A,#N/A,FALSE,"Elec Act vs Bud";#N/A,#N/A,FALSE,"G&amp;A";#N/A,#N/A,FALSE,"BGS";#N/A,#N/A,FALSE,"Res Cost"}</definedName>
    <definedName name="SUPPORTACT">'[4]Curr adj - depn basis diff'!#REF!</definedName>
    <definedName name="supporti" localSheetId="20"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8"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6">#REF!</definedName>
    <definedName name="SUT">#REF!</definedName>
    <definedName name="suz">'[15]BC 2 2005BC'!#REF!</definedName>
    <definedName name="Swap_Amort">'[41]Keystone Swap Amort Sched'!$A$1:$F$241</definedName>
    <definedName name="SWITCH">[3]Assump!#REF!</definedName>
    <definedName name="Syndeco_Realty" localSheetId="16">#REF!</definedName>
    <definedName name="Syndeco_Realty">#REF!</definedName>
    <definedName name="Syndeco_Realty_YR_2005" localSheetId="16">'[35]Aday IS DECo &amp; Other'!#REF!</definedName>
    <definedName name="Syndeco_Realty_YR_2005">'[35]Aday IS DECo &amp; Other'!#REF!</definedName>
    <definedName name="Syndeco_Realty_YR_2006" localSheetId="16">'[35]Aday IS DECo &amp; Other'!#REF!</definedName>
    <definedName name="Syndeco_Realty_YR_2006">'[35]Aday IS DECo &amp; Other'!#REF!</definedName>
    <definedName name="Syndeco_Realty_YR_2007" localSheetId="16">'[35]Aday IS DECo &amp; Other'!#REF!</definedName>
    <definedName name="Syndeco_Realty_YR_2007">'[35]Aday IS DECo &amp; Other'!#REF!</definedName>
    <definedName name="Syndeco_Realty_YR_2008" localSheetId="16">'[35]Aday IS DECo &amp; Other'!#REF!</definedName>
    <definedName name="Syndeco_Realty_YR_2008">'[35]Aday IS DECo &amp; Other'!#REF!</definedName>
    <definedName name="Synfuel_Gain__Loss__CPM" localSheetId="16">#REF!</definedName>
    <definedName name="Synfuel_Gain__Loss__CPM">#REF!</definedName>
    <definedName name="sysOpImprov" localSheetId="16">[48]Input!#REF!</definedName>
    <definedName name="sysOpImprov">[48]Input!#REF!</definedName>
    <definedName name="sysOpYears" localSheetId="16">[48]Input!#REF!</definedName>
    <definedName name="sysOpYears">[48]Input!#REF!</definedName>
    <definedName name="t_and_d_exp" localSheetId="16">'[37]Input Page'!#REF!</definedName>
    <definedName name="t_and_d_exp">'[37]Input Page'!#REF!</definedName>
    <definedName name="TABLE" localSheetId="16">#REF!</definedName>
    <definedName name="TABLE">#REF!</definedName>
    <definedName name="TABLE_A" localSheetId="16">#REF!</definedName>
    <definedName name="TABLE_A">#REF!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16">#REF!</definedName>
    <definedName name="Tax_Credits_CPM">#REF!</definedName>
    <definedName name="Tax_Rate" localSheetId="16">#REF!</definedName>
    <definedName name="Tax_Rate">#REF!</definedName>
    <definedName name="Tax1997b">#REF!</definedName>
    <definedName name="TAXES" localSheetId="16">#REF!</definedName>
    <definedName name="TAXES">#REF!</definedName>
    <definedName name="Taxrate">'[92]Case study '!$C$28</definedName>
    <definedName name="TAXREMOV" localSheetId="14">#REF!</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'[11]Macro Tables'!$I$5:$I$16</definedName>
    <definedName name="tblHelp">'[11]Macro Tables'!$N$5:$N$16</definedName>
    <definedName name="tblReports">'[11]Macro Tables'!$B$5:$B$16</definedName>
    <definedName name="tblWorksheets">'[11]Macro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16">#REF!</definedName>
    <definedName name="TEFA">#REF!</definedName>
    <definedName name="Temp_Investment___Affiliate" localSheetId="16">#REF!</definedName>
    <definedName name="Temp_Investment___Affiliate">#REF!</definedName>
    <definedName name="TEN">#N/A</definedName>
    <definedName name="TEQ">'[26]C. Input'!$F$277</definedName>
    <definedName name="TEST" localSheetId="20" hidden="1">{#N/A,#N/A,FALSE,"EMPPAY"}</definedName>
    <definedName name="TEST" localSheetId="14" hidden="1">{#N/A,#N/A,FALSE,"EMPPAY"}</definedName>
    <definedName name="test" localSheetId="15">{"'Metretek HTML'!$A$7:$W$42"}</definedName>
    <definedName name="TEST" localSheetId="13" hidden="1">{#N/A,#N/A,FALSE,"EMPPAY"}</definedName>
    <definedName name="test" localSheetId="16">{"'Metretek HTML'!$A$7:$W$42"}</definedName>
    <definedName name="TEST" localSheetId="18" hidden="1">{#N/A,#N/A,FALSE,"EMPPAY"}</definedName>
    <definedName name="TEST" localSheetId="19" hidden="1">{#N/A,#N/A,FALSE,"EMPPAY"}</definedName>
    <definedName name="test">{"'Metretek HTML'!$A$7:$W$42"}</definedName>
    <definedName name="TEST0">#REF!</definedName>
    <definedName name="TEST1">#REF!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6">#REF!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'[53]190100'!#REF!</definedName>
    <definedName name="TESTKEYS" localSheetId="16">#REF!</definedName>
    <definedName name="TESTKEYS">#REF!</definedName>
    <definedName name="TESTVKEY">#REF!</definedName>
    <definedName name="TEXT" localSheetId="14">{"'Metretek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[93]Comp!#REF!</definedName>
    <definedName name="Time" hidden="1">"b1"</definedName>
    <definedName name="TITLE">#REF!</definedName>
    <definedName name="TITLES" localSheetId="16">#REF!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16">#REF!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0"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8"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8"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8"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8"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8"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8"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8"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16">#REF!</definedName>
    <definedName name="total">#REF!</definedName>
    <definedName name="Total_Assets" localSheetId="16">#REF!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16">#REF!</definedName>
    <definedName name="Total_Non_Utility_Expenditures">#REF!</definedName>
    <definedName name="Total_Operating_Revenues" localSheetId="16">#REF!</definedName>
    <definedName name="Total_Operating_Revenues">#REF!</definedName>
    <definedName name="Total_Other_Assets" localSheetId="16">#REF!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'[11]QRE''s'!$D$96</definedName>
    <definedName name="total85">'[11]QRE''s'!$E$96</definedName>
    <definedName name="total86">'[11]QRE''s'!$F$96</definedName>
    <definedName name="total87">'[11]QRE''s'!$G$96</definedName>
    <definedName name="total88">'[11]QRE''s'!$H$96</definedName>
    <definedName name="total89">'[11]QRE''s'!$I$96</definedName>
    <definedName name="total90">'[11]QRE''s'!$J$96</definedName>
    <definedName name="total91">'[11]QRE''s'!$K$96</definedName>
    <definedName name="total92">'[11]QRE''s'!$L$96</definedName>
    <definedName name="total93">'[11]QRE''s'!$M$96</definedName>
    <definedName name="total94">'[11]QRE''s'!$N$96</definedName>
    <definedName name="total95">'[11]QRE''s'!$O$96</definedName>
    <definedName name="total96">'[11]QRE''s'!$P$96</definedName>
    <definedName name="total97">'[11]QRE''s'!$Q$96</definedName>
    <definedName name="total98">'[11]QRE''s'!$R$96</definedName>
    <definedName name="total99" localSheetId="16">#REF!</definedName>
    <definedName name="total99">#REF!</definedName>
    <definedName name="TOTALACT" localSheetId="16">'[4]Curr adj - depn basis diff'!#REF!</definedName>
    <definedName name="TOTALACT">'[4]Curr adj - depn basis diff'!#REF!</definedName>
    <definedName name="TotalAssets" localSheetId="16">#REF!</definedName>
    <definedName name="TotalAssets">#REF!</definedName>
    <definedName name="TotalCapitalization" localSheetId="16">#REF!</definedName>
    <definedName name="TotalCapitalization">#REF!</definedName>
    <definedName name="TotalCapLiab" localSheetId="16">#REF!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'[94]MISO Cover'!$I$193</definedName>
    <definedName name="TP_Footer_Path" localSheetId="20" hidden="1">"S:\74639\03RET\(417) 2004 Cost Projection\"</definedName>
    <definedName name="TP_Footer_Path" localSheetId="14" hidden="1">"S:\74639\03RET\(417) 2004 Cost Projection\"</definedName>
    <definedName name="TP_Footer_Path" localSheetId="13" hidden="1">"S:\74639\03RET\(417) 2004 Cost Projection\"</definedName>
    <definedName name="TP_Footer_Path" localSheetId="18" hidden="1">"S:\74639\03RET\(417) 2004 Cost Projection\"</definedName>
    <definedName name="TP_Footer_Path" localSheetId="19" hidden="1">"S:\74639\03RET\(417) 2004 Cost Projection\"</definedName>
    <definedName name="TP_Footer_Path">"S:\04291\05ret\othsys\team\disclosure\"</definedName>
    <definedName name="TP_Footer_Path1" hidden="1">"S:\74639\03RET\(852) Pension Val - OOS\Contribution Allocations\"</definedName>
    <definedName name="TP_Footer_User" localSheetId="20" hidden="1">"Mary Lou Barrios"</definedName>
    <definedName name="TP_Footer_User" localSheetId="14" hidden="1">"Mary Lou Barrios"</definedName>
    <definedName name="TP_Footer_User" localSheetId="13" hidden="1">"Mary Lou Barrios"</definedName>
    <definedName name="TP_Footer_User" localSheetId="18" hidden="1">"Mary Lou Barrios"</definedName>
    <definedName name="TP_Footer_User" localSheetId="19"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16">#REF!</definedName>
    <definedName name="Trading___Mkting_Growth_YR_2003">#REF!</definedName>
    <definedName name="Trading___Mkting_Growth_YR_2004" localSheetId="16">#REF!</definedName>
    <definedName name="Trading___Mkting_Growth_YR_2004">#REF!</definedName>
    <definedName name="Trading___Mkting_Growth_YR_2005" localSheetId="16">#REF!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 localSheetId="16">[23]December!#REF!</definedName>
    <definedName name="Trueup">[23]December!#REF!</definedName>
    <definedName name="TRWP_43" localSheetId="16">#REF!</definedName>
    <definedName name="TRWP_43">#REF!</definedName>
    <definedName name="TRWP16" localSheetId="16">#REF!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0"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3"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6">#REF!</definedName>
    <definedName name="UE_IL_EZ_parcels">#REF!</definedName>
    <definedName name="Unamortized_Investment_Tax_Credit" localSheetId="16">#REF!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16">#REF!</definedName>
    <definedName name="UTIL">#REF!</definedName>
    <definedName name="Utility_Plant_Expenditures">#REF!</definedName>
    <definedName name="Utility_Plant_Retirements__input">#REF!</definedName>
    <definedName name="UTILRANGE">#REF!</definedName>
    <definedName name="v">[95]Cover!$A$9</definedName>
    <definedName name="valDate">[46]Inputs!$B$1</definedName>
    <definedName name="Value" hidden="1">{"assumptions",#N/A,FALSE,"Scenario 1";"valuation",#N/A,FALSE,"Scenario 1"}</definedName>
    <definedName name="vcbcvbcv" localSheetId="20"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3"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6">#REF!</definedName>
    <definedName name="Vector_Pipeline">#REF!</definedName>
    <definedName name="Vector_Pipeline_YR_2005" localSheetId="16">'[35]Aday IS EG Subs'!#REF!</definedName>
    <definedName name="Vector_Pipeline_YR_2005">'[35]Aday IS EG Subs'!#REF!</definedName>
    <definedName name="Vector_Pipeline_YR_2006" localSheetId="16">'[35]Aday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0" hidden="1">"a1"</definedName>
    <definedName name="Version" localSheetId="14" hidden="1">"a1"</definedName>
    <definedName name="Version" localSheetId="13" hidden="1">"a1"</definedName>
    <definedName name="Version" localSheetId="18" hidden="1">"a1"</definedName>
    <definedName name="Version" localSheetId="19" hidden="1">"a1"</definedName>
    <definedName name="version">[96]Cover!$A$9</definedName>
    <definedName name="VSPAE">'[26]C. Input'!#REF!</definedName>
    <definedName name="VSPRB">'[26]C. Input'!#REF!</definedName>
    <definedName name="WATERACT">'[4]Curr adj - depn basis diff'!#REF!</definedName>
    <definedName name="WCCGCR2">[89]Rates!$B$96:$C$190</definedName>
    <definedName name="we" localSheetId="14">{"'Metretek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0"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3"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0"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8"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8"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8"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8"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8"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8"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8"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'[97]WO Info'!$A$1:$F$17972</definedName>
    <definedName name="Work_Performed_report" localSheetId="14">#REF!</definedName>
    <definedName name="Work_Performed_report" localSheetId="15">#REF!</definedName>
    <definedName name="Work_Performed_report" localSheetId="16">#REF!</definedName>
    <definedName name="Work_Performed_report">#REF!</definedName>
    <definedName name="Working_Capital_Changes" localSheetId="14">#REF!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0"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8"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0" hidden="1">{#N/A,#N/A,FALSE,"CURRENT"}</definedName>
    <definedName name="wrn.722." localSheetId="14" hidden="1">{#N/A,#N/A,FALSE,"CURRENT"}</definedName>
    <definedName name="wrn.722." localSheetId="15" hidden="1">{#N/A,#N/A,FALSE,"CURRENT"}</definedName>
    <definedName name="wrn.722." localSheetId="13" hidden="1">{#N/A,#N/A,FALSE,"CURRENT"}</definedName>
    <definedName name="wrn.722." localSheetId="16" hidden="1">{#N/A,#N/A,FALSE,"CURRENT"}</definedName>
    <definedName name="wrn.722." localSheetId="18" hidden="1">{#N/A,#N/A,FALSE,"CURRENT"}</definedName>
    <definedName name="wrn.722." localSheetId="19" hidden="1">{#N/A,#N/A,FALSE,"CURRENT"}</definedName>
    <definedName name="wrn.722." hidden="1">{#N/A,#N/A,FALSE,"CURRENT"}</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0" hidden="1">{"AGT",#N/A,FALSE,"Revenue"}</definedName>
    <definedName name="wrn.AGT." localSheetId="14" hidden="1">{"AGT",#N/A,FALSE,"Revenue"}</definedName>
    <definedName name="wrn.AGT." localSheetId="15" hidden="1">{"AGT",#N/A,FALSE,"Revenue"}</definedName>
    <definedName name="wrn.AGT." localSheetId="13" hidden="1">{"AGT",#N/A,FALSE,"Revenue"}</definedName>
    <definedName name="wrn.AGT." localSheetId="16" hidden="1">{"AGT",#N/A,FALSE,"Revenue"}</definedName>
    <definedName name="wrn.AGT." localSheetId="18" hidden="1">{"AGT",#N/A,FALSE,"Revenue"}</definedName>
    <definedName name="wrn.AGT." localSheetId="19" hidden="1">{"AGT",#N/A,FALSE,"Revenue"}</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localSheetId="20" hidden="1">{#N/A,#N/A,FALSE,"ARREC"}</definedName>
    <definedName name="wrn.ARREC." localSheetId="14" hidden="1">{#N/A,#N/A,FALSE,"ARREC"}</definedName>
    <definedName name="wrn.ARREC." localSheetId="15" hidden="1">{#N/A,#N/A,FALSE,"ARREC"}</definedName>
    <definedName name="wrn.ARREC." localSheetId="13" hidden="1">{#N/A,#N/A,FALSE,"ARREC"}</definedName>
    <definedName name="wrn.ARREC." hidden="1">{#N/A,#N/A,FALSE,"ARREC"}</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8"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0"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8"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0"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8"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0"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3" hidden="1">{"Retail CP pg1",#N/A,FALSE,"FACTOR3";"Retail CP pg2",#N/A,FALSE,"FACTOR3";"Retail CP pg3",#N/A,FALSE,"FACTOR3"}</definedName>
    <definedName name="wrn.CP._.Demand." hidden="1">{"Retail CP pg1",#N/A,FALSE,"FACTOR3";"Retail CP pg2",#N/A,FALSE,"FACTOR3";"Retail CP pg3",#N/A,FALSE,"FACTOR3"}</definedName>
    <definedName name="wrn.CP._.Demand2." localSheetId="20"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3" hidden="1">{"Retail CP pg1",#N/A,FALSE,"FACTOR3";"Retail CP pg2",#N/A,FALSE,"FACTOR3";"Retail CP pg3",#N/A,FALSE,"FACTOR3"}</definedName>
    <definedName name="wrn.CP._.Demand2." hidden="1">{"Retail CP pg1",#N/A,FALSE,"FACTOR3";"Retail CP pg2",#N/A,FALSE,"FACTOR3";"Retail CP pg3",#N/A,FALSE,"FACTOR3"}</definedName>
    <definedName name="wrn.Data._.dump." localSheetId="20" hidden="1">{"Input Data",#N/A,FALSE,"Input";"Income and Cash Flow",#N/A,FALSE,"Calculations"}</definedName>
    <definedName name="wrn.Data._.dump." localSheetId="14" hidden="1">{"Input Data",#N/A,FALSE,"Input";"Income and Cash Flow",#N/A,FALSE,"Calculations"}</definedName>
    <definedName name="wrn.Data._.dump." localSheetId="15" hidden="1">{"Input Data",#N/A,FALSE,"Input";"Income and Cash Flow",#N/A,FALSE,"Calculations"}</definedName>
    <definedName name="wrn.Data._.dump." localSheetId="13" hidden="1">{"Input Data",#N/A,FALSE,"Input";"Income and Cash Flow",#N/A,FALSE,"Calculations"}</definedName>
    <definedName name="wrn.Data._.dump." localSheetId="16" hidden="1">{"Input Data",#N/A,FALSE,"Input";"Income and Cash Flow",#N/A,FALSE,"Calculations"}</definedName>
    <definedName name="wrn.Data._.dump." localSheetId="18" hidden="1">{"Input Data",#N/A,FALSE,"Input";"Income and Cash Flow",#N/A,FALSE,"Calculations"}</definedName>
    <definedName name="wrn.Data._.dump." localSheetId="19" hidden="1">{"Input Data",#N/A,FALSE,"Input";"Income and Cash Flow",#N/A,FALSE,"Calculations"}</definedName>
    <definedName name="wrn.Data._.dump." hidden="1">{"Input Data",#N/A,FALSE,"Input";"Income and Cash Flow",#N/A,FALSE,"Calculations"}</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8"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0" hidden="1">{#N/A,#N/A,FALSE,"EMPPAY"}</definedName>
    <definedName name="wrn.EMPPAY." localSheetId="14" hidden="1">{#N/A,#N/A,FALSE,"EMPPAY"}</definedName>
    <definedName name="wrn.EMPPAY." localSheetId="15" hidden="1">{#N/A,#N/A,FALSE,"EMPPAY"}</definedName>
    <definedName name="wrn.EMPPAY." localSheetId="13" hidden="1">{#N/A,#N/A,FALSE,"EMPPAY"}</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8"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0" hidden="1">{"Print Empty Template",#N/A,FALSE,"Input"}</definedName>
    <definedName name="wrn.For._.filling._.out._.assessments." localSheetId="14" hidden="1">{"Print Empty Template",#N/A,FALSE,"Input"}</definedName>
    <definedName name="wrn.For._.filling._.out._.assessments." localSheetId="15" hidden="1">{"Print Empty Template",#N/A,FALSE,"Input"}</definedName>
    <definedName name="wrn.For._.filling._.out._.assessments." localSheetId="13" hidden="1">{"Print Empty Template",#N/A,FALSE,"Input"}</definedName>
    <definedName name="wrn.For._.filling._.out._.assessments." localSheetId="16" hidden="1">{"Print Empty Template",#N/A,FALSE,"Input"}</definedName>
    <definedName name="wrn.For._.filling._.out._.assessments." localSheetId="18" hidden="1">{"Print Empty Template",#N/A,FALSE,"Input"}</definedName>
    <definedName name="wrn.For._.filling._.out._.assessments." localSheetId="19" hidden="1">{"Print Empty Template",#N/A,FALSE,"Input"}</definedName>
    <definedName name="wrn.For._.filling._.out._.assessments." hidden="1">{"Print Empty Template",#N/A,FALSE,"Input"}</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8"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14"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0"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3"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14"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0" hidden="1">{#N/A,#N/A,FALSE,"Work performed";#N/A,#N/A,FALSE,"Resources"}</definedName>
    <definedName name="wrn.Report." localSheetId="14" hidden="1">{#N/A,#N/A,FALSE,"Work performed";#N/A,#N/A,FALSE,"Resources"}</definedName>
    <definedName name="wrn.Report." localSheetId="15" hidden="1">{#N/A,#N/A,FALSE,"Work performed";#N/A,#N/A,FALSE,"Resources"}</definedName>
    <definedName name="wrn.Report." localSheetId="13" hidden="1">{#N/A,#N/A,FALSE,"Work performed";#N/A,#N/A,FALSE,"Resources"}</definedName>
    <definedName name="wrn.Report." localSheetId="16" hidden="1">{#N/A,#N/A,FALSE,"Work performed";#N/A,#N/A,FALSE,"Resources"}</definedName>
    <definedName name="wrn.Report." localSheetId="18" hidden="1">{#N/A,#N/A,FALSE,"Work performed";#N/A,#N/A,FALSE,"Resources"}</definedName>
    <definedName name="wrn.Report." localSheetId="19" hidden="1">{#N/A,#N/A,FALSE,"Work performed";#N/A,#N/A,FALSE,"Resources"}</definedName>
    <definedName name="wrn.Report." hidden="1">{#N/A,#N/A,FALSE,"Work performed";#N/A,#N/A,FALSE,"Resources"}</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8"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localSheetId="20" hidden="1">{#N/A,#N/A,FALSE,"Work performed";#N/A,#N/A,FALSE,"Resources"}</definedName>
    <definedName name="wrn.Supporting._.Calculations." localSheetId="14" hidden="1">{#N/A,#N/A,FALSE,"Work performed";#N/A,#N/A,FALSE,"Resources"}</definedName>
    <definedName name="wrn.Supporting._.Calculations." localSheetId="15" hidden="1">{#N/A,#N/A,FALSE,"Work performed";#N/A,#N/A,FALSE,"Resources"}</definedName>
    <definedName name="wrn.Supporting._.Calculations." localSheetId="13" hidden="1">{#N/A,#N/A,FALSE,"Work performed";#N/A,#N/A,FALSE,"Resources"}</definedName>
    <definedName name="wrn.Supporting._.Calculations." localSheetId="16" hidden="1">{#N/A,#N/A,FALSE,"Work performed";#N/A,#N/A,FALSE,"Resources"}</definedName>
    <definedName name="wrn.Supporting._.Calculations." localSheetId="18" hidden="1">{#N/A,#N/A,FALSE,"Work performed";#N/A,#N/A,FALSE,"Resources"}</definedName>
    <definedName name="wrn.Supporting._.Calculations." localSheetId="19" hidden="1">{#N/A,#N/A,FALSE,"Work performed";#N/A,#N/A,FALSE,"Resources"}</definedName>
    <definedName name="wrn.Supporting._.Calculations." hidden="1">{#N/A,#N/A,FALSE,"Work performed";#N/A,#N/A,FALSE,"Resources"}</definedName>
    <definedName name="wrn.Tax._.Accrual." localSheetId="20"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8" hidden="1">{#N/A,#N/A,TRUE,"TAXPROV";#N/A,#N/A,TRUE,"FLOWTHRU";#N/A,#N/A,TRUE,"SCHEDULE M'S";#N/A,#N/A,TRUE,"PLANT M'S";#N/A,#N/A,TRUE,"TAXJE"}</definedName>
    <definedName name="wrn.Tax._.Accrual." localSheetId="19" hidden="1">{#N/A,#N/A,TRUE,"TAXPROV";#N/A,#N/A,TRUE,"FLOWTHRU";#N/A,#N/A,TRUE,"SCHEDULE M'S";#N/A,#N/A,TRUE,"PLANT M'S";#N/A,#N/A,TRUE,"TAXJE"}</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'[94]MISO Cover'!$I$201</definedName>
    <definedName name="xa" localSheetId="14">{"'Metretek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14">{"'Metretek HTML'!$A$7:$W$42"}</definedName>
    <definedName name="xls" localSheetId="15">{"'Metretek HTML'!$A$7:$W$42"}</definedName>
    <definedName name="xls" localSheetId="16">{"'Metretek HTML'!$A$7:$W$42"}</definedName>
    <definedName name="xls">{"'Metretek HTML'!$A$7:$W$42"}</definedName>
    <definedName name="XO" localSheetId="14">{"'Metretek HTML'!$A$7:$W$42"}</definedName>
    <definedName name="XO" localSheetId="15">{"'Metretek HTML'!$A$7:$W$42"}</definedName>
    <definedName name="XO" localSheetId="16">{"'Metretek HTML'!$A$7:$W$42"}</definedName>
    <definedName name="XO">{"'Metretek HTML'!$A$7:$W$42"}</definedName>
    <definedName name="xs" localSheetId="14">{"'Metretek HTML'!$A$7:$W$42"}</definedName>
    <definedName name="xs" localSheetId="15">{"'Metretek HTML'!$A$7:$W$42"}</definedName>
    <definedName name="xs" localSheetId="16">{"'Metretek HTML'!$A$7:$W$42"}</definedName>
    <definedName name="xs">{"'Metretek HTML'!$A$7:$W$42"}</definedName>
    <definedName name="xTc">'[98]PMG Annual'!#REF!</definedName>
    <definedName name="xx" localSheetId="20" hidden="1">{#N/A,#N/A,FALSE,"EMPPAY"}</definedName>
    <definedName name="xx" localSheetId="14" hidden="1">{#N/A,#N/A,FALSE,"EMPPAY"}</definedName>
    <definedName name="xx" localSheetId="15">{"'Metretek HTML'!$A$7:$W$42"}</definedName>
    <definedName name="xx" localSheetId="13" hidden="1">{#N/A,#N/A,FALSE,"EMPPAY"}</definedName>
    <definedName name="xx" localSheetId="16">{"'Metretek HTML'!$A$7:$W$42"}</definedName>
    <definedName name="xx" localSheetId="18" hidden="1">{#N/A,#N/A,FALSE,"EMPPAY"}</definedName>
    <definedName name="xx" localSheetId="19" hidden="1">{#N/A,#N/A,FALSE,"EMPPAY"}</definedName>
    <definedName name="xx">{"'Metretek HTML'!$A$7:$W$42"}</definedName>
    <definedName name="xxx" localSheetId="20"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8"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8"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14">{"'Metretek HTML'!$A$7:$W$42"}</definedName>
    <definedName name="xxxxxxx" localSheetId="15">{"'Metretek HTML'!$A$7:$W$42"}</definedName>
    <definedName name="xxxxxxx" localSheetId="16">{"'Metretek HTML'!$A$7:$W$42"}</definedName>
    <definedName name="xxxxxxx">{"'Metretek HTML'!$A$7:$W$42"}</definedName>
    <definedName name="XXXXXXXXXXXXXX" localSheetId="14">{"'Metretek HTML'!$A$7:$W$42"}</definedName>
    <definedName name="XXXXXXXXXXXXXX" localSheetId="15">{"'Metretek HTML'!$A$7:$W$42"}</definedName>
    <definedName name="XXXXXXXXXXXXXX" localSheetId="16">{"'Metretek HTML'!$A$7:$W$42"}</definedName>
    <definedName name="XXXXXXXXXXXXXX">{"'Metretek HTML'!$A$7:$W$42"}</definedName>
    <definedName name="xy" localSheetId="14">{"'Metretek HTML'!$A$7:$W$42"}</definedName>
    <definedName name="xy" localSheetId="15">{"'Metretek HTML'!$A$7:$W$42"}</definedName>
    <definedName name="xy" localSheetId="16">{"'Metretek HTML'!$A$7:$W$42"}</definedName>
    <definedName name="xy">{"'Metretek HTML'!$A$7:$W$42"}</definedName>
    <definedName name="XZ" localSheetId="14">{"'Metretek HTML'!$A$7:$W$42"}</definedName>
    <definedName name="XZ" localSheetId="15">{"'Metretek HTML'!$A$7:$W$42"}</definedName>
    <definedName name="XZ" localSheetId="16">{"'Metretek HTML'!$A$7:$W$42"}</definedName>
    <definedName name="XZ">{"'Metretek HTML'!$A$7:$W$42"}</definedName>
    <definedName name="y" localSheetId="20"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3"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6">#REF!</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[99]INPUTS!$C$17</definedName>
    <definedName name="yeartodate">[74]RPT80MAR!$A$84:$D$158</definedName>
    <definedName name="YEDATE" localSheetId="16">#REF!</definedName>
    <definedName name="YEDATE">#REF!</definedName>
    <definedName name="YR_2005" localSheetId="16">'[35]Aday IS EG Subs'!#REF!</definedName>
    <definedName name="YR_2005">'[35]Aday IS EG Subs'!#REF!</definedName>
    <definedName name="YR_2006" localSheetId="16">'[35]Aday IS EG Subs'!#REF!</definedName>
    <definedName name="YR_2006">'[35]Aday IS EG Subs'!#REF!</definedName>
    <definedName name="YR_2007" localSheetId="16">'[35]Aday IS EG Subs'!#REF!</definedName>
    <definedName name="YR_2007">'[35]Aday IS EG Subs'!#REF!</definedName>
    <definedName name="YR_2008" localSheetId="16">'[35]Aday IS EG Subs'!#REF!</definedName>
    <definedName name="YR_2008">'[35]Aday IS EG Subs'!#REF!</definedName>
    <definedName name="yrtm1">[11]Print!$I$31</definedName>
    <definedName name="yrtm2">[11]Print!$G$31</definedName>
    <definedName name="yrtm3">[11]Print!$E$31</definedName>
    <definedName name="yrtm4">[11]Print!$C$31</definedName>
    <definedName name="yryryrr" localSheetId="20"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3"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6">#REF!</definedName>
    <definedName name="ytd">#REF!</definedName>
    <definedName name="yy" localSheetId="14">{"'Metretek HTML'!$A$7:$W$42"}</definedName>
    <definedName name="yy" localSheetId="15">{"'Metretek HTML'!$A$7:$W$42"}</definedName>
    <definedName name="yy" localSheetId="16">{"'Metretek HTML'!$A$7:$W$42"}</definedName>
    <definedName name="yy">{"'Metretek HTML'!$A$7:$W$42"}</definedName>
    <definedName name="z" localSheetId="20"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3"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6" hidden="1">'7 - Cap Add WS'!$Q:$AB</definedName>
    <definedName name="Z_28948E05_8F34_4F1E_96FB_A80A6A844600_.wvu.PrintTitles" localSheetId="16" hidden="1">'7 - Cap Add WS'!$C:$D</definedName>
    <definedName name="Z_63011E91_4609_4523_98FE_FD252E915668_.wvu.Cols" localSheetId="16" hidden="1">'7 - Cap Add WS'!$Q:$AB</definedName>
    <definedName name="Z_63011E91_4609_4523_98FE_FD252E915668_.wvu.PrintArea" localSheetId="16" hidden="1">'7 - Cap Add WS'!$C$1:$BH$80</definedName>
    <definedName name="Z_63011E91_4609_4523_98FE_FD252E915668_.wvu.PrintTitles" localSheetId="16" hidden="1">'7 - Cap Add WS'!$C:$D</definedName>
    <definedName name="Z_71B42B22_A376_44B5_B0C1_23FC1AA3DBA2_.wvu.Cols" localSheetId="16" hidden="1">'7 - Cap Add WS'!$Q:$AB</definedName>
    <definedName name="Z_71B42B22_A376_44B5_B0C1_23FC1AA3DBA2_.wvu.PrintTitles" localSheetId="16" hidden="1">'7 - Cap Add WS'!$C:$D</definedName>
    <definedName name="Z_B647CB7F_C846_4278_B6B1_1EF7F3C004F5_.wvu.Cols" localSheetId="16" hidden="1">'7 - Cap Add WS'!$Q:$AB</definedName>
    <definedName name="Z_B647CB7F_C846_4278_B6B1_1EF7F3C004F5_.wvu.PrintTitles" localSheetId="16" hidden="1">'7 - Cap Add WS'!$C:$D</definedName>
    <definedName name="Z_DC91DEF3_837B_4BB9_A81E_3B78C5914E6C_.wvu.Cols" localSheetId="16" hidden="1">'7 - Cap Add WS'!$Q:$AB</definedName>
    <definedName name="Z_DC91DEF3_837B_4BB9_A81E_3B78C5914E6C_.wvu.PrintTitles" localSheetId="16" hidden="1">'7 - Cap Add WS'!$C:$D</definedName>
    <definedName name="Z_E6D9E970_926F_4F3B_8D36_41EB74ECFD6A_.wvu.PrintArea" localSheetId="13" hidden="1">'6-Project Rev Req'!$A$1:$Q$116</definedName>
    <definedName name="Z_E6D9E970_926F_4F3B_8D36_41EB74ECFD6A_.wvu.Rows" localSheetId="10" hidden="1">'5 - Cost Support 1'!$24:$24</definedName>
    <definedName name="Z_F04A2B9A_C6FE_4FEB_AD1E_2CF9AC309BE4_.wvu.PrintArea" localSheetId="14" hidden="1">'6A-Project True-up'!$A$1:$L$22</definedName>
    <definedName name="Z_F04A2B9A_C6FE_4FEB_AD1E_2CF9AC309BE4_.wvu.PrintArea" localSheetId="13" hidden="1">'6-Project Rev Req'!$A$1:$Q$112</definedName>
    <definedName name="Z_F04A2B9A_C6FE_4FEB_AD1E_2CF9AC309BE4_.wvu.PrintArea" localSheetId="18" hidden="1">'9 - Rate Base'!$A$1:$M$49</definedName>
    <definedName name="Z_F04A2B9A_C6FE_4FEB_AD1E_2CF9AC309BE4_.wvu.PrintArea" localSheetId="19" hidden="1">'9A - Gross Plant &amp; ARO'!$A$1:$O$25</definedName>
    <definedName name="Z_FAAD9AAC_1337_43AB_BF1F_CCF9DFCF5B78_.wvu.Cols" localSheetId="16" hidden="1">'7 - Cap Add WS'!$Q:$AB</definedName>
    <definedName name="Z_FAAD9AAC_1337_43AB_BF1F_CCF9DFCF5B78_.wvu.PrintTitles" localSheetId="16" hidden="1">'7 - Cap Add WS'!$C:$D</definedName>
    <definedName name="zaph" localSheetId="14">#REF!</definedName>
    <definedName name="zaph" localSheetId="15">#REF!</definedName>
    <definedName name="zaph" localSheetId="16">#REF!</definedName>
    <definedName name="zaph">#REF!</definedName>
    <definedName name="zero">0</definedName>
    <definedName name="Zone_Inputs">'[67]Attachment O'!$I$19,'[67]Attachment O'!$I$24,'[67]Attachment O'!$D$36:$D$37,'[67]Attachment O'!$D$82:$D$86,'[67]Attachment O'!$D$90:$D$94,'[67]Attachment O'!$D$106:$D$112,'[67]Attachment O'!$D$116,'[67]Attachment O'!$D$120:$D$121,'[67]Attachment O'!$D$139:$D$146,'[67]Attachment O'!$D$150:$D$154,'[67]Attachment O'!$D$159:$D$160,'[67]Attachment O'!$D$162:$D$165,'[67]Attachment O'!$D$174,'[67]Attachment O'!$D$174,'[67]Attachment O'!$D$178,'[67]Attachment O'!$I$188,'[67]Attachment O'!$D$188,'[67]Attachment O'!$D$192,'[67]Attachment O'!$I$192,'[67]Attachment O'!$I$207:$I$208,'[67]Attachment O'!$D$214:$D$217,'[67]Attachment O'!$D$221:$D$223,'[67]Attachment O'!$I$227,'[67]Attachment O'!$I$229,'[67]Attachment O'!$I$232,'[67]Attachment O'!$D$238:$D$239,'[67]Attachment O'!$I$243,'[67]Attachment O'!$I$246:$I$249,'[67]Attachment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4" i="53" l="1"/>
  <c r="M54" i="53"/>
  <c r="H277" i="50"/>
  <c r="F277" i="50"/>
  <c r="H129" i="50"/>
  <c r="L227" i="9" l="1"/>
  <c r="J60" i="52" l="1"/>
  <c r="J59" i="52"/>
  <c r="J58" i="52"/>
  <c r="J57" i="52"/>
  <c r="J56" i="52"/>
  <c r="J55" i="52"/>
  <c r="J54" i="52"/>
  <c r="J53" i="52"/>
  <c r="J52" i="52"/>
  <c r="J51" i="52"/>
  <c r="J50" i="52"/>
  <c r="J49" i="52"/>
  <c r="D22" i="19" l="1"/>
  <c r="D23" i="19"/>
  <c r="D24" i="19"/>
  <c r="D25" i="19"/>
  <c r="D26" i="19"/>
  <c r="D27" i="19"/>
  <c r="D28" i="19"/>
  <c r="D29" i="19"/>
  <c r="D30" i="19"/>
  <c r="D31" i="19"/>
  <c r="D32" i="19"/>
  <c r="D33" i="19"/>
  <c r="D21" i="19"/>
  <c r="C22" i="19"/>
  <c r="C23" i="19"/>
  <c r="C24" i="19"/>
  <c r="C25" i="19"/>
  <c r="C26" i="19"/>
  <c r="C27" i="19"/>
  <c r="C28" i="19"/>
  <c r="C29" i="19"/>
  <c r="C30" i="19"/>
  <c r="C31" i="19"/>
  <c r="C32" i="19"/>
  <c r="C33" i="19"/>
  <c r="C21" i="19"/>
  <c r="I21" i="33" l="1"/>
  <c r="H150" i="1" l="1"/>
  <c r="BB60" i="48" l="1"/>
  <c r="BB61" i="48" s="1"/>
  <c r="BA60" i="48"/>
  <c r="BA61" i="48" s="1"/>
  <c r="BB74" i="48"/>
  <c r="BB75" i="48" s="1"/>
  <c r="BB72" i="48"/>
  <c r="BB73" i="48" s="1"/>
  <c r="BB70" i="48"/>
  <c r="BB71" i="48" s="1"/>
  <c r="BB68" i="48"/>
  <c r="BB69" i="48" s="1"/>
  <c r="BB66" i="48"/>
  <c r="BB67" i="48" s="1"/>
  <c r="BB64" i="48"/>
  <c r="BB65" i="48" s="1"/>
  <c r="BB62" i="48"/>
  <c r="BB63" i="48" s="1"/>
  <c r="BA32" i="48"/>
  <c r="BC61" i="48" l="1"/>
  <c r="BA62" i="48" s="1"/>
  <c r="BC60" i="48"/>
  <c r="BA63" i="48" l="1"/>
  <c r="BC63" i="48" s="1"/>
  <c r="BC62" i="48"/>
  <c r="BA64" i="48" l="1"/>
  <c r="BA65" i="48" l="1"/>
  <c r="BC65" i="48" s="1"/>
  <c r="BC64" i="48"/>
  <c r="BA66" i="48" l="1"/>
  <c r="BA67" i="48" l="1"/>
  <c r="BC67" i="48" s="1"/>
  <c r="BC66" i="48"/>
  <c r="BA68" i="48" l="1"/>
  <c r="BA69" i="48" l="1"/>
  <c r="BC69" i="48" s="1"/>
  <c r="BC68" i="48"/>
  <c r="BA70" i="48" l="1"/>
  <c r="BA71" i="48" l="1"/>
  <c r="BC71" i="48" s="1"/>
  <c r="BC70" i="48"/>
  <c r="BA72" i="48" l="1"/>
  <c r="BA73" i="48" l="1"/>
  <c r="BC73" i="48" s="1"/>
  <c r="BC72" i="48"/>
  <c r="BA74" i="48" l="1"/>
  <c r="BA75" i="48" l="1"/>
  <c r="BC75" i="48" s="1"/>
  <c r="BC74" i="48"/>
  <c r="D66" i="13" l="1"/>
  <c r="C66" i="13"/>
  <c r="E81" i="13" l="1"/>
  <c r="J31" i="13"/>
  <c r="K31" i="13" s="1"/>
  <c r="I13" i="33" l="1"/>
  <c r="F54" i="14"/>
  <c r="D54" i="14"/>
  <c r="G54" i="14" s="1"/>
  <c r="I138" i="51" l="1"/>
  <c r="H138" i="51"/>
  <c r="G138" i="51"/>
  <c r="F138" i="51"/>
  <c r="I136" i="51"/>
  <c r="H136" i="51"/>
  <c r="G136" i="51"/>
  <c r="F136" i="51"/>
  <c r="H310" i="51"/>
  <c r="I309" i="51"/>
  <c r="H290" i="51"/>
  <c r="I289" i="51"/>
  <c r="H246" i="51"/>
  <c r="I245" i="51"/>
  <c r="H219" i="51"/>
  <c r="I218" i="51"/>
  <c r="H171" i="51"/>
  <c r="I170" i="51"/>
  <c r="H144" i="51"/>
  <c r="I143" i="51"/>
  <c r="H100" i="51"/>
  <c r="I99" i="51"/>
  <c r="I68" i="51"/>
  <c r="I67" i="51"/>
  <c r="I66" i="51"/>
  <c r="H68" i="51"/>
  <c r="H67" i="51"/>
  <c r="H66" i="51"/>
  <c r="G68" i="51"/>
  <c r="G67" i="51"/>
  <c r="G66" i="51"/>
  <c r="F66" i="51"/>
  <c r="F68" i="51"/>
  <c r="F67" i="51"/>
  <c r="E45" i="51"/>
  <c r="E46" i="51"/>
  <c r="E47" i="51"/>
  <c r="E48" i="51"/>
  <c r="E49" i="51"/>
  <c r="E50" i="51"/>
  <c r="E51" i="51"/>
  <c r="E52" i="51"/>
  <c r="E53" i="51"/>
  <c r="E54" i="51"/>
  <c r="E55" i="51"/>
  <c r="E56" i="51"/>
  <c r="E57" i="51"/>
  <c r="E42" i="51"/>
  <c r="E43" i="51"/>
  <c r="E44" i="51"/>
  <c r="E41" i="51"/>
  <c r="C79" i="19" l="1"/>
  <c r="H207" i="1" l="1"/>
  <c r="H51" i="18" l="1"/>
  <c r="G51" i="18"/>
  <c r="I18" i="9" l="1"/>
  <c r="I17" i="9"/>
  <c r="I15" i="9"/>
  <c r="I13" i="9"/>
  <c r="I11" i="9"/>
  <c r="I9" i="9"/>
  <c r="I8" i="9"/>
  <c r="I7" i="9"/>
  <c r="G44" i="9"/>
  <c r="T119" i="9"/>
  <c r="Y119" i="9" s="1"/>
  <c r="G220" i="9" l="1"/>
  <c r="H220" i="9"/>
  <c r="H216" i="9"/>
  <c r="G21" i="33"/>
  <c r="I18" i="33"/>
  <c r="P31" i="10"/>
  <c r="P29" i="10"/>
  <c r="P27" i="10"/>
  <c r="P25" i="10"/>
  <c r="P23" i="10"/>
  <c r="P21" i="10"/>
  <c r="P19" i="10"/>
  <c r="P17" i="10"/>
  <c r="P15" i="10"/>
  <c r="P13" i="10"/>
  <c r="P11" i="10"/>
  <c r="P9" i="10"/>
  <c r="L213" i="52"/>
  <c r="L209" i="52"/>
  <c r="L193" i="52"/>
  <c r="L180" i="52"/>
  <c r="L176" i="52"/>
  <c r="L160" i="52"/>
  <c r="L147" i="52"/>
  <c r="L143" i="52"/>
  <c r="L127" i="52"/>
  <c r="L80" i="52"/>
  <c r="L96" i="52" l="1"/>
  <c r="L47" i="52"/>
  <c r="L30" i="52" l="1"/>
  <c r="O143" i="53" l="1"/>
  <c r="O142" i="53"/>
  <c r="O141" i="53"/>
  <c r="O140" i="53"/>
  <c r="M143" i="53"/>
  <c r="M142" i="53"/>
  <c r="M141" i="53"/>
  <c r="M140" i="53"/>
  <c r="K143" i="53"/>
  <c r="K142" i="53"/>
  <c r="K141" i="53"/>
  <c r="K140" i="53"/>
  <c r="C140" i="53"/>
  <c r="Q47" i="53"/>
  <c r="Q65" i="53" s="1"/>
  <c r="Q84" i="53" s="1"/>
  <c r="Q99" i="53" s="1"/>
  <c r="Q136" i="53" s="1"/>
  <c r="M47" i="53"/>
  <c r="M65" i="53" s="1"/>
  <c r="M84" i="53" s="1"/>
  <c r="M99" i="53" s="1"/>
  <c r="M136" i="53" s="1"/>
  <c r="Q157" i="53" l="1"/>
  <c r="Q171" i="53" s="1"/>
  <c r="M157" i="53"/>
  <c r="M171" i="53" s="1"/>
  <c r="D20" i="7"/>
  <c r="E26" i="5"/>
  <c r="H138" i="50"/>
  <c r="G138" i="50"/>
  <c r="F138" i="50"/>
  <c r="H136" i="50"/>
  <c r="G136" i="50"/>
  <c r="F136" i="50"/>
  <c r="E37" i="50"/>
  <c r="E38" i="50"/>
  <c r="E39" i="50"/>
  <c r="E40" i="50"/>
  <c r="E41" i="50"/>
  <c r="E42" i="50"/>
  <c r="E43" i="50"/>
  <c r="E44" i="50"/>
  <c r="E45" i="50"/>
  <c r="E46" i="50"/>
  <c r="E47" i="50"/>
  <c r="E48" i="50"/>
  <c r="E49" i="50"/>
  <c r="E50" i="50"/>
  <c r="E51" i="50"/>
  <c r="E52" i="50"/>
  <c r="E53" i="50"/>
  <c r="E54" i="50"/>
  <c r="E55" i="50"/>
  <c r="E56" i="50"/>
  <c r="E57" i="50"/>
  <c r="E58" i="50"/>
  <c r="E59" i="50"/>
  <c r="E60" i="50"/>
  <c r="I68" i="50"/>
  <c r="H68" i="50"/>
  <c r="G68" i="50"/>
  <c r="F68" i="50"/>
  <c r="I67" i="50"/>
  <c r="H67" i="50"/>
  <c r="G67" i="50"/>
  <c r="F67" i="50"/>
  <c r="I66" i="50"/>
  <c r="H66" i="50"/>
  <c r="G66" i="50"/>
  <c r="F66" i="50"/>
  <c r="F63" i="50"/>
  <c r="G63" i="50"/>
  <c r="H63" i="50"/>
  <c r="I63" i="50"/>
  <c r="F272" i="1" l="1"/>
  <c r="F270" i="1"/>
  <c r="F268" i="1"/>
  <c r="F267" i="1"/>
  <c r="F266" i="1"/>
  <c r="F259" i="1"/>
  <c r="F258" i="1"/>
  <c r="A84" i="8"/>
  <c r="A82" i="8"/>
  <c r="A80" i="8"/>
  <c r="A79" i="8"/>
  <c r="A78" i="8"/>
  <c r="G80" i="8" s="1"/>
  <c r="A77" i="8"/>
  <c r="A76" i="8"/>
  <c r="A75" i="8"/>
  <c r="A74" i="8"/>
  <c r="A71" i="8"/>
  <c r="A70" i="8"/>
  <c r="A69" i="8"/>
  <c r="G71" i="8" s="1"/>
  <c r="A66" i="8"/>
  <c r="G70" i="8" s="1"/>
  <c r="A65" i="8"/>
  <c r="G82" i="8" s="1"/>
  <c r="A64" i="8"/>
  <c r="A63" i="8"/>
  <c r="A62" i="8"/>
  <c r="A61" i="8"/>
  <c r="E301" i="51"/>
  <c r="G78" i="8" l="1"/>
  <c r="G84" i="8"/>
  <c r="G79" i="8"/>
  <c r="E154" i="51"/>
  <c r="E154" i="50"/>
  <c r="E95" i="1"/>
  <c r="E94" i="1"/>
  <c r="E90" i="1"/>
  <c r="E89" i="1"/>
  <c r="E88" i="1"/>
  <c r="E87" i="1"/>
  <c r="E86" i="1"/>
  <c r="F98" i="1"/>
  <c r="F96" i="1"/>
  <c r="F91" i="1"/>
  <c r="H224" i="1" l="1"/>
  <c r="E224" i="1" s="1"/>
  <c r="A275" i="9" l="1"/>
  <c r="A274" i="9"/>
  <c r="F265" i="1" s="1"/>
  <c r="G77" i="8" s="1"/>
  <c r="A273" i="9"/>
  <c r="F264" i="1" s="1"/>
  <c r="G76" i="8" s="1"/>
  <c r="A272" i="9"/>
  <c r="F263" i="1" s="1"/>
  <c r="G75" i="8" s="1"/>
  <c r="A270" i="9"/>
  <c r="F262" i="1" s="1"/>
  <c r="G74" i="8" s="1"/>
  <c r="F24" i="49"/>
  <c r="F23" i="49" s="1"/>
  <c r="F22" i="49" s="1"/>
  <c r="F21" i="49" s="1"/>
  <c r="F20" i="49" s="1"/>
  <c r="F19" i="49" s="1"/>
  <c r="G15" i="49"/>
  <c r="G16" i="49" s="1"/>
  <c r="G17" i="49" s="1"/>
  <c r="G18" i="49" s="1"/>
  <c r="G19" i="49" s="1"/>
  <c r="G20" i="49" s="1"/>
  <c r="G21" i="49" s="1"/>
  <c r="G22" i="49" s="1"/>
  <c r="G23" i="49" s="1"/>
  <c r="G24" i="49" s="1"/>
  <c r="G25" i="49" s="1"/>
  <c r="E277" i="50"/>
  <c r="E301" i="50"/>
  <c r="F156" i="49"/>
  <c r="F155" i="49" s="1"/>
  <c r="F154" i="49" s="1"/>
  <c r="F153" i="49" s="1"/>
  <c r="F152" i="49" s="1"/>
  <c r="F151" i="49" s="1"/>
  <c r="G147" i="49"/>
  <c r="G148" i="49" s="1"/>
  <c r="G149" i="49" s="1"/>
  <c r="G150" i="49" s="1"/>
  <c r="G151" i="49" s="1"/>
  <c r="G152" i="49" s="1"/>
  <c r="G153" i="49" s="1"/>
  <c r="G154" i="49" s="1"/>
  <c r="G155" i="49" s="1"/>
  <c r="G156" i="49" s="1"/>
  <c r="G157" i="49" s="1"/>
  <c r="F123" i="49"/>
  <c r="F122" i="49" s="1"/>
  <c r="F121" i="49" s="1"/>
  <c r="F120" i="49" s="1"/>
  <c r="F119" i="49" s="1"/>
  <c r="F118" i="49" s="1"/>
  <c r="G114" i="49"/>
  <c r="G115" i="49" s="1"/>
  <c r="G116" i="49" s="1"/>
  <c r="G117" i="49" s="1"/>
  <c r="G118" i="49" s="1"/>
  <c r="G119" i="49" s="1"/>
  <c r="G120" i="49" s="1"/>
  <c r="G121" i="49" s="1"/>
  <c r="G122" i="49" s="1"/>
  <c r="G123" i="49" s="1"/>
  <c r="G124" i="49" s="1"/>
  <c r="F90" i="49"/>
  <c r="F89" i="49" s="1"/>
  <c r="F88" i="49" s="1"/>
  <c r="F87" i="49" s="1"/>
  <c r="F86" i="49" s="1"/>
  <c r="F85" i="49" s="1"/>
  <c r="G81" i="49"/>
  <c r="G82" i="49" s="1"/>
  <c r="G83" i="49" s="1"/>
  <c r="G84" i="49" s="1"/>
  <c r="G85" i="49" s="1"/>
  <c r="G86" i="49" s="1"/>
  <c r="G87" i="49" s="1"/>
  <c r="G88" i="49" s="1"/>
  <c r="G89" i="49" s="1"/>
  <c r="G90" i="49" s="1"/>
  <c r="G91" i="49" s="1"/>
  <c r="F57" i="49"/>
  <c r="F56" i="49" s="1"/>
  <c r="F55" i="49" s="1"/>
  <c r="F54" i="49" s="1"/>
  <c r="F53" i="49" s="1"/>
  <c r="F52" i="49" s="1"/>
  <c r="G48" i="49"/>
  <c r="G49" i="49" s="1"/>
  <c r="G50" i="49" s="1"/>
  <c r="G51" i="49" s="1"/>
  <c r="G52" i="49" s="1"/>
  <c r="G53" i="49" s="1"/>
  <c r="G54" i="49" s="1"/>
  <c r="G55" i="49" s="1"/>
  <c r="G56" i="49" s="1"/>
  <c r="G57" i="49" s="1"/>
  <c r="G58" i="49" s="1"/>
  <c r="D86" i="1" l="1"/>
  <c r="G12" i="54" l="1"/>
  <c r="I12" i="54"/>
  <c r="L12" i="54"/>
  <c r="O12" i="54"/>
  <c r="G13" i="54"/>
  <c r="I13" i="54"/>
  <c r="L13" i="54"/>
  <c r="M13" i="54" s="1"/>
  <c r="O13" i="54"/>
  <c r="G14" i="54"/>
  <c r="I14" i="54"/>
  <c r="L14" i="54"/>
  <c r="M14" i="54" s="1"/>
  <c r="O14" i="54"/>
  <c r="G15" i="54"/>
  <c r="I15" i="54"/>
  <c r="L15" i="54"/>
  <c r="M15" i="54" s="1"/>
  <c r="O15" i="54"/>
  <c r="G16" i="54"/>
  <c r="I16" i="54"/>
  <c r="J16" i="54" s="1"/>
  <c r="L16" i="54"/>
  <c r="M16" i="54" s="1"/>
  <c r="O16" i="54"/>
  <c r="G17" i="54"/>
  <c r="I17" i="54"/>
  <c r="L17" i="54"/>
  <c r="M17" i="54" s="1"/>
  <c r="O17" i="54"/>
  <c r="G18" i="54"/>
  <c r="I18" i="54"/>
  <c r="L18" i="54"/>
  <c r="M18" i="54" s="1"/>
  <c r="O18" i="54"/>
  <c r="G19" i="54"/>
  <c r="I19" i="54"/>
  <c r="L19" i="54"/>
  <c r="M19" i="54" s="1"/>
  <c r="O19" i="54"/>
  <c r="G20" i="54"/>
  <c r="I20" i="54"/>
  <c r="L20" i="54"/>
  <c r="M20" i="54"/>
  <c r="O20" i="54"/>
  <c r="G21" i="54"/>
  <c r="I21" i="54"/>
  <c r="J21" i="54"/>
  <c r="L21" i="54"/>
  <c r="M21" i="54" s="1"/>
  <c r="O21" i="54"/>
  <c r="G22" i="54"/>
  <c r="I22" i="54"/>
  <c r="L22" i="54"/>
  <c r="M22" i="54" s="1"/>
  <c r="O22" i="54"/>
  <c r="G23" i="54"/>
  <c r="I23" i="54"/>
  <c r="L23" i="54"/>
  <c r="M23" i="54" s="1"/>
  <c r="O23" i="54"/>
  <c r="G24" i="54"/>
  <c r="I24" i="54"/>
  <c r="L24" i="54"/>
  <c r="M24" i="54" s="1"/>
  <c r="O24" i="54"/>
  <c r="G25" i="54"/>
  <c r="I25" i="54"/>
  <c r="L25" i="54"/>
  <c r="M25" i="54" s="1"/>
  <c r="O25" i="54"/>
  <c r="G26" i="54"/>
  <c r="I26" i="54"/>
  <c r="L26" i="54"/>
  <c r="M26" i="54" s="1"/>
  <c r="O26" i="54"/>
  <c r="G27" i="54"/>
  <c r="I27" i="54"/>
  <c r="L27" i="54"/>
  <c r="M27" i="54" s="1"/>
  <c r="O27" i="54"/>
  <c r="G28" i="54"/>
  <c r="I28" i="54"/>
  <c r="L28" i="54"/>
  <c r="M28" i="54" s="1"/>
  <c r="O28" i="54"/>
  <c r="G29" i="54"/>
  <c r="I29" i="54"/>
  <c r="L29" i="54"/>
  <c r="M29" i="54"/>
  <c r="O29" i="54"/>
  <c r="G30" i="54"/>
  <c r="I30" i="54"/>
  <c r="L30" i="54"/>
  <c r="M30" i="54" s="1"/>
  <c r="O30" i="54"/>
  <c r="G31" i="54"/>
  <c r="J31" i="54" s="1"/>
  <c r="I31" i="54"/>
  <c r="L31" i="54"/>
  <c r="M31" i="54" s="1"/>
  <c r="O31" i="54"/>
  <c r="G32" i="54"/>
  <c r="I32" i="54"/>
  <c r="L32" i="54"/>
  <c r="M32" i="54"/>
  <c r="O32" i="54"/>
  <c r="G33" i="54"/>
  <c r="I33" i="54"/>
  <c r="L33" i="54"/>
  <c r="M33" i="54" s="1"/>
  <c r="O33" i="54"/>
  <c r="G34" i="54"/>
  <c r="I34" i="54"/>
  <c r="L34" i="54"/>
  <c r="M34" i="54" s="1"/>
  <c r="O34" i="54"/>
  <c r="G35" i="54"/>
  <c r="I35" i="54"/>
  <c r="L35" i="54"/>
  <c r="M35" i="54"/>
  <c r="P35" i="54" s="1"/>
  <c r="O35" i="54"/>
  <c r="G36" i="54"/>
  <c r="I36" i="54"/>
  <c r="L36" i="54"/>
  <c r="M36" i="54" s="1"/>
  <c r="O36" i="54"/>
  <c r="G37" i="54"/>
  <c r="I37" i="54"/>
  <c r="L37" i="54"/>
  <c r="M37" i="54" s="1"/>
  <c r="O37" i="54"/>
  <c r="G38" i="54"/>
  <c r="I38" i="54"/>
  <c r="L38" i="54"/>
  <c r="M38" i="54" s="1"/>
  <c r="O38" i="54"/>
  <c r="G39" i="54"/>
  <c r="I39" i="54"/>
  <c r="L39" i="54"/>
  <c r="M39" i="54" s="1"/>
  <c r="O39" i="54"/>
  <c r="G40" i="54"/>
  <c r="I40" i="54"/>
  <c r="L40" i="54"/>
  <c r="M40" i="54"/>
  <c r="O40" i="54"/>
  <c r="G41" i="54"/>
  <c r="J41" i="54" s="1"/>
  <c r="I41" i="54"/>
  <c r="L41" i="54"/>
  <c r="M41" i="54" s="1"/>
  <c r="O41" i="54"/>
  <c r="G42" i="54"/>
  <c r="I42" i="54"/>
  <c r="L42" i="54"/>
  <c r="M42" i="54"/>
  <c r="O42" i="54"/>
  <c r="G43" i="54"/>
  <c r="I43" i="54"/>
  <c r="L43" i="54"/>
  <c r="M43" i="54" s="1"/>
  <c r="P43" i="54" s="1"/>
  <c r="O43" i="54"/>
  <c r="G44" i="54"/>
  <c r="I44" i="54"/>
  <c r="L44" i="54"/>
  <c r="M44" i="54" s="1"/>
  <c r="P44" i="54" s="1"/>
  <c r="O44" i="54"/>
  <c r="G45" i="54"/>
  <c r="I45" i="54"/>
  <c r="L45" i="54"/>
  <c r="M45" i="54" s="1"/>
  <c r="P45" i="54" s="1"/>
  <c r="O45" i="54"/>
  <c r="G46" i="54"/>
  <c r="I46" i="54"/>
  <c r="L46" i="54"/>
  <c r="M46" i="54"/>
  <c r="O46" i="54"/>
  <c r="G47" i="54"/>
  <c r="J47" i="54" s="1"/>
  <c r="I47" i="54"/>
  <c r="L47" i="54"/>
  <c r="M47" i="54"/>
  <c r="P47" i="54" s="1"/>
  <c r="O47" i="54"/>
  <c r="G48" i="54"/>
  <c r="I48" i="54"/>
  <c r="L48" i="54"/>
  <c r="M48" i="54"/>
  <c r="O48" i="54"/>
  <c r="G49" i="54"/>
  <c r="J49" i="54" s="1"/>
  <c r="I49" i="54"/>
  <c r="L49" i="54"/>
  <c r="M49" i="54"/>
  <c r="P49" i="54" s="1"/>
  <c r="O49" i="54"/>
  <c r="G50" i="54"/>
  <c r="I50" i="54"/>
  <c r="L50" i="54"/>
  <c r="M50" i="54"/>
  <c r="O50" i="54"/>
  <c r="G51" i="54"/>
  <c r="J51" i="54" s="1"/>
  <c r="I51" i="54"/>
  <c r="L51" i="54"/>
  <c r="M51" i="54"/>
  <c r="P51" i="54" s="1"/>
  <c r="O51" i="54"/>
  <c r="G52" i="54"/>
  <c r="I52" i="54"/>
  <c r="L52" i="54"/>
  <c r="M52" i="54"/>
  <c r="O52" i="54"/>
  <c r="G53" i="54"/>
  <c r="J53" i="54" s="1"/>
  <c r="I53" i="54"/>
  <c r="L53" i="54"/>
  <c r="M53" i="54"/>
  <c r="P53" i="54" s="1"/>
  <c r="O53" i="54"/>
  <c r="G54" i="54"/>
  <c r="I54" i="54"/>
  <c r="L54" i="54"/>
  <c r="M54" i="54"/>
  <c r="O54" i="54"/>
  <c r="G55" i="54"/>
  <c r="I55" i="54"/>
  <c r="L55" i="54"/>
  <c r="M55" i="54" s="1"/>
  <c r="O55" i="54"/>
  <c r="G56" i="54"/>
  <c r="I56" i="54"/>
  <c r="L56" i="54"/>
  <c r="M56" i="54" s="1"/>
  <c r="O56" i="54"/>
  <c r="G57" i="54"/>
  <c r="I57" i="54"/>
  <c r="L57" i="54"/>
  <c r="M57" i="54" s="1"/>
  <c r="O57" i="54"/>
  <c r="G58" i="54"/>
  <c r="I58" i="54"/>
  <c r="L58" i="54"/>
  <c r="M58" i="54" s="1"/>
  <c r="O58" i="54"/>
  <c r="G59" i="54"/>
  <c r="I59" i="54"/>
  <c r="L59" i="54"/>
  <c r="M59" i="54"/>
  <c r="O59" i="54"/>
  <c r="G60" i="54"/>
  <c r="I60" i="54"/>
  <c r="L60" i="54"/>
  <c r="M60" i="54" s="1"/>
  <c r="O60" i="54"/>
  <c r="G61" i="54"/>
  <c r="I61" i="54"/>
  <c r="L61" i="54"/>
  <c r="M61" i="54"/>
  <c r="O61" i="54"/>
  <c r="G62" i="54"/>
  <c r="I62" i="54"/>
  <c r="L62" i="54"/>
  <c r="M62" i="54" s="1"/>
  <c r="P62" i="54" s="1"/>
  <c r="O62" i="54"/>
  <c r="G63" i="54"/>
  <c r="I63" i="54"/>
  <c r="L63" i="54"/>
  <c r="M63" i="54" s="1"/>
  <c r="P63" i="54" s="1"/>
  <c r="O63" i="54"/>
  <c r="G64" i="54"/>
  <c r="I64" i="54"/>
  <c r="L64" i="54"/>
  <c r="M64" i="54" s="1"/>
  <c r="O64" i="54"/>
  <c r="G65" i="54"/>
  <c r="I65" i="54"/>
  <c r="L65" i="54"/>
  <c r="M65" i="54" s="1"/>
  <c r="O65" i="54"/>
  <c r="G66" i="54"/>
  <c r="I66" i="54"/>
  <c r="L66" i="54"/>
  <c r="M66" i="54"/>
  <c r="O66" i="54"/>
  <c r="G67" i="54"/>
  <c r="I67" i="54"/>
  <c r="L67" i="54"/>
  <c r="M67" i="54" s="1"/>
  <c r="O67" i="54"/>
  <c r="G68" i="54"/>
  <c r="I68" i="54"/>
  <c r="L68" i="54"/>
  <c r="M68" i="54"/>
  <c r="O68" i="54"/>
  <c r="G69" i="54"/>
  <c r="I69" i="54"/>
  <c r="L69" i="54"/>
  <c r="M69" i="54" s="1"/>
  <c r="O69" i="54"/>
  <c r="G70" i="54"/>
  <c r="I70" i="54"/>
  <c r="L70" i="54"/>
  <c r="M70" i="54"/>
  <c r="O70" i="54"/>
  <c r="G71" i="54"/>
  <c r="I71" i="54"/>
  <c r="L71" i="54"/>
  <c r="M71" i="54" s="1"/>
  <c r="P71" i="54" s="1"/>
  <c r="O71" i="54"/>
  <c r="G72" i="54"/>
  <c r="I72" i="54"/>
  <c r="L72" i="54"/>
  <c r="M72" i="54" s="1"/>
  <c r="P72" i="54" s="1"/>
  <c r="O72" i="54"/>
  <c r="G73" i="54"/>
  <c r="I73" i="54"/>
  <c r="L73" i="54"/>
  <c r="M73" i="54" s="1"/>
  <c r="O73" i="54"/>
  <c r="G74" i="54"/>
  <c r="I74" i="54"/>
  <c r="L74" i="54"/>
  <c r="M74" i="54" s="1"/>
  <c r="P74" i="54" s="1"/>
  <c r="O74" i="54"/>
  <c r="G75" i="54"/>
  <c r="I75" i="54"/>
  <c r="L75" i="54"/>
  <c r="M75" i="54" s="1"/>
  <c r="O75" i="54"/>
  <c r="G76" i="54"/>
  <c r="I76" i="54"/>
  <c r="L76" i="54"/>
  <c r="M76" i="54" s="1"/>
  <c r="O76" i="54"/>
  <c r="G77" i="54"/>
  <c r="I77" i="54"/>
  <c r="L77" i="54"/>
  <c r="M77" i="54"/>
  <c r="O77" i="54"/>
  <c r="G78" i="54"/>
  <c r="I78" i="54"/>
  <c r="L78" i="54"/>
  <c r="M78" i="54" s="1"/>
  <c r="O78" i="54"/>
  <c r="G79" i="54"/>
  <c r="I79" i="54"/>
  <c r="L79" i="54"/>
  <c r="M79" i="54" s="1"/>
  <c r="O79" i="54"/>
  <c r="G80" i="54"/>
  <c r="I80" i="54"/>
  <c r="L80" i="54"/>
  <c r="M80" i="54" s="1"/>
  <c r="O80" i="54"/>
  <c r="G81" i="54"/>
  <c r="I81" i="54"/>
  <c r="L81" i="54"/>
  <c r="M81" i="54"/>
  <c r="O81" i="54"/>
  <c r="G82" i="54"/>
  <c r="I82" i="54"/>
  <c r="L82" i="54"/>
  <c r="M82" i="54" s="1"/>
  <c r="O82" i="54"/>
  <c r="G83" i="54"/>
  <c r="I83" i="54"/>
  <c r="L83" i="54"/>
  <c r="M83" i="54"/>
  <c r="P83" i="54" s="1"/>
  <c r="O83" i="54"/>
  <c r="G84" i="54"/>
  <c r="I84" i="54"/>
  <c r="J84" i="54"/>
  <c r="L84" i="54"/>
  <c r="M84" i="54" s="1"/>
  <c r="O84" i="54"/>
  <c r="G85" i="54"/>
  <c r="I85" i="54"/>
  <c r="L85" i="54"/>
  <c r="M85" i="54"/>
  <c r="O85" i="54"/>
  <c r="G86" i="54"/>
  <c r="I86" i="54"/>
  <c r="L86" i="54"/>
  <c r="M86" i="54" s="1"/>
  <c r="O86" i="54"/>
  <c r="G87" i="54"/>
  <c r="I87" i="54"/>
  <c r="L87" i="54"/>
  <c r="M87" i="54" s="1"/>
  <c r="O87" i="54"/>
  <c r="G88" i="54"/>
  <c r="I88" i="54"/>
  <c r="L88" i="54"/>
  <c r="M88" i="54" s="1"/>
  <c r="O88" i="54"/>
  <c r="G89" i="54"/>
  <c r="I89" i="54"/>
  <c r="L89" i="54"/>
  <c r="M89" i="54" s="1"/>
  <c r="O89" i="54"/>
  <c r="M90" i="54"/>
  <c r="O90" i="54"/>
  <c r="F91" i="54"/>
  <c r="H91" i="54"/>
  <c r="N91" i="54"/>
  <c r="N172" i="54" s="1"/>
  <c r="T91" i="54"/>
  <c r="G95" i="54"/>
  <c r="I95" i="54"/>
  <c r="L95" i="54"/>
  <c r="M95" i="54" s="1"/>
  <c r="O95" i="54"/>
  <c r="G96" i="54"/>
  <c r="I96" i="54"/>
  <c r="L96" i="54"/>
  <c r="M96" i="54" s="1"/>
  <c r="O96" i="54"/>
  <c r="G97" i="54"/>
  <c r="I97" i="54"/>
  <c r="L97" i="54"/>
  <c r="M97" i="54" s="1"/>
  <c r="O97" i="54"/>
  <c r="G98" i="54"/>
  <c r="I98" i="54"/>
  <c r="L98" i="54"/>
  <c r="M98" i="54" s="1"/>
  <c r="O98" i="54"/>
  <c r="G99" i="54"/>
  <c r="I99" i="54"/>
  <c r="L99" i="54"/>
  <c r="M99" i="54" s="1"/>
  <c r="O99" i="54"/>
  <c r="G100" i="54"/>
  <c r="I100" i="54"/>
  <c r="J100" i="54" s="1"/>
  <c r="L100" i="54"/>
  <c r="M100" i="54" s="1"/>
  <c r="P100" i="54" s="1"/>
  <c r="O100" i="54"/>
  <c r="G101" i="54"/>
  <c r="I101" i="54"/>
  <c r="L101" i="54"/>
  <c r="M101" i="54" s="1"/>
  <c r="P101" i="54" s="1"/>
  <c r="O101" i="54"/>
  <c r="G102" i="54"/>
  <c r="I102" i="54"/>
  <c r="L102" i="54"/>
  <c r="M102" i="54" s="1"/>
  <c r="O102" i="54"/>
  <c r="G103" i="54"/>
  <c r="I103" i="54"/>
  <c r="L103" i="54"/>
  <c r="M103" i="54" s="1"/>
  <c r="O103" i="54"/>
  <c r="G104" i="54"/>
  <c r="I104" i="54"/>
  <c r="L104" i="54"/>
  <c r="M104" i="54" s="1"/>
  <c r="O104" i="54"/>
  <c r="G105" i="54"/>
  <c r="I105" i="54"/>
  <c r="L105" i="54"/>
  <c r="M105" i="54" s="1"/>
  <c r="O105" i="54"/>
  <c r="G106" i="54"/>
  <c r="I106" i="54"/>
  <c r="L106" i="54"/>
  <c r="M106" i="54" s="1"/>
  <c r="O106" i="54"/>
  <c r="G107" i="54"/>
  <c r="I107" i="54"/>
  <c r="L107" i="54"/>
  <c r="M107" i="54" s="1"/>
  <c r="O107" i="54"/>
  <c r="G108" i="54"/>
  <c r="J108" i="54" s="1"/>
  <c r="I108" i="54"/>
  <c r="L108" i="54"/>
  <c r="M108" i="54" s="1"/>
  <c r="O108" i="54"/>
  <c r="G109" i="54"/>
  <c r="I109" i="54"/>
  <c r="L109" i="54"/>
  <c r="M109" i="54"/>
  <c r="O109" i="54"/>
  <c r="G110" i="54"/>
  <c r="I110" i="54"/>
  <c r="L110" i="54"/>
  <c r="M110" i="54" s="1"/>
  <c r="O110" i="54"/>
  <c r="F111" i="54"/>
  <c r="H111" i="54"/>
  <c r="N111" i="54"/>
  <c r="T111" i="54"/>
  <c r="V111" i="54"/>
  <c r="G114" i="54"/>
  <c r="I114" i="54"/>
  <c r="L114" i="54"/>
  <c r="M114" i="54" s="1"/>
  <c r="O114" i="54"/>
  <c r="G115" i="54"/>
  <c r="I115" i="54"/>
  <c r="L115" i="54"/>
  <c r="M115" i="54" s="1"/>
  <c r="O115" i="54"/>
  <c r="G116" i="54"/>
  <c r="I116" i="54"/>
  <c r="J116" i="54" s="1"/>
  <c r="L116" i="54"/>
  <c r="M116" i="54" s="1"/>
  <c r="O116" i="54"/>
  <c r="G117" i="54"/>
  <c r="I117" i="54"/>
  <c r="L117" i="54"/>
  <c r="M117" i="54" s="1"/>
  <c r="O117" i="54"/>
  <c r="G118" i="54"/>
  <c r="I118" i="54"/>
  <c r="L118" i="54"/>
  <c r="M118" i="54" s="1"/>
  <c r="O118" i="54"/>
  <c r="G119" i="54"/>
  <c r="I119" i="54"/>
  <c r="L119" i="54"/>
  <c r="M119" i="54" s="1"/>
  <c r="O119" i="54"/>
  <c r="G120" i="54"/>
  <c r="I120" i="54"/>
  <c r="L120" i="54"/>
  <c r="M120" i="54" s="1"/>
  <c r="O120" i="54"/>
  <c r="G121" i="54"/>
  <c r="I121" i="54"/>
  <c r="L121" i="54"/>
  <c r="M121" i="54" s="1"/>
  <c r="O121" i="54"/>
  <c r="G122" i="54"/>
  <c r="I122" i="54"/>
  <c r="L122" i="54"/>
  <c r="M122" i="54" s="1"/>
  <c r="O122" i="54"/>
  <c r="G123" i="54"/>
  <c r="I123" i="54"/>
  <c r="L123" i="54"/>
  <c r="M123" i="54" s="1"/>
  <c r="O123" i="54"/>
  <c r="G124" i="54"/>
  <c r="I124" i="54"/>
  <c r="L124" i="54"/>
  <c r="M124" i="54" s="1"/>
  <c r="O124" i="54"/>
  <c r="G125" i="54"/>
  <c r="I125" i="54"/>
  <c r="L125" i="54"/>
  <c r="M125" i="54"/>
  <c r="O125" i="54"/>
  <c r="G126" i="54"/>
  <c r="J126" i="54" s="1"/>
  <c r="I126" i="54"/>
  <c r="L126" i="54"/>
  <c r="M126" i="54" s="1"/>
  <c r="O126" i="54"/>
  <c r="G127" i="54"/>
  <c r="I127" i="54"/>
  <c r="L127" i="54"/>
  <c r="M127" i="54" s="1"/>
  <c r="O127" i="54"/>
  <c r="G128" i="54"/>
  <c r="I128" i="54"/>
  <c r="L128" i="54"/>
  <c r="M128" i="54"/>
  <c r="O128" i="54"/>
  <c r="G129" i="54"/>
  <c r="I129" i="54"/>
  <c r="L129" i="54"/>
  <c r="M129" i="54" s="1"/>
  <c r="P129" i="54" s="1"/>
  <c r="O129" i="54"/>
  <c r="G130" i="54"/>
  <c r="I130" i="54"/>
  <c r="L130" i="54"/>
  <c r="M130" i="54" s="1"/>
  <c r="P130" i="54" s="1"/>
  <c r="O130" i="54"/>
  <c r="G131" i="54"/>
  <c r="I131" i="54"/>
  <c r="L131" i="54"/>
  <c r="M131" i="54" s="1"/>
  <c r="O131" i="54"/>
  <c r="G132" i="54"/>
  <c r="I132" i="54"/>
  <c r="L132" i="54"/>
  <c r="M132" i="54" s="1"/>
  <c r="O132" i="54"/>
  <c r="G133" i="54"/>
  <c r="I133" i="54"/>
  <c r="J133" i="54" s="1"/>
  <c r="L133" i="54"/>
  <c r="M133" i="54" s="1"/>
  <c r="O133" i="54"/>
  <c r="G134" i="54"/>
  <c r="I134" i="54"/>
  <c r="L134" i="54"/>
  <c r="M134" i="54" s="1"/>
  <c r="O134" i="54"/>
  <c r="G135" i="54"/>
  <c r="I135" i="54"/>
  <c r="L135" i="54"/>
  <c r="M135" i="54" s="1"/>
  <c r="O135" i="54"/>
  <c r="G136" i="54"/>
  <c r="I136" i="54"/>
  <c r="L136" i="54"/>
  <c r="M136" i="54" s="1"/>
  <c r="O136" i="54"/>
  <c r="G137" i="54"/>
  <c r="I137" i="54"/>
  <c r="J137" i="54" s="1"/>
  <c r="L137" i="54"/>
  <c r="M137" i="54"/>
  <c r="O137" i="54"/>
  <c r="G138" i="54"/>
  <c r="I138" i="54"/>
  <c r="L138" i="54"/>
  <c r="M138" i="54" s="1"/>
  <c r="O138" i="54"/>
  <c r="G139" i="54"/>
  <c r="I139" i="54"/>
  <c r="L139" i="54"/>
  <c r="M139" i="54" s="1"/>
  <c r="O139" i="54"/>
  <c r="G140" i="54"/>
  <c r="I140" i="54"/>
  <c r="L140" i="54"/>
  <c r="M140" i="54" s="1"/>
  <c r="O140" i="54"/>
  <c r="G141" i="54"/>
  <c r="I141" i="54"/>
  <c r="L141" i="54"/>
  <c r="M141" i="54"/>
  <c r="O141" i="54"/>
  <c r="G142" i="54"/>
  <c r="I142" i="54"/>
  <c r="L142" i="54"/>
  <c r="M142" i="54" s="1"/>
  <c r="O142" i="54"/>
  <c r="G143" i="54"/>
  <c r="I143" i="54"/>
  <c r="J143" i="54" s="1"/>
  <c r="L143" i="54"/>
  <c r="M143" i="54" s="1"/>
  <c r="O143" i="54"/>
  <c r="G144" i="54"/>
  <c r="I144" i="54"/>
  <c r="L144" i="54"/>
  <c r="M144" i="54" s="1"/>
  <c r="O144" i="54"/>
  <c r="G145" i="54"/>
  <c r="I145" i="54"/>
  <c r="J145" i="54" s="1"/>
  <c r="L145" i="54"/>
  <c r="M145" i="54"/>
  <c r="O145" i="54"/>
  <c r="G146" i="54"/>
  <c r="I146" i="54"/>
  <c r="L146" i="54"/>
  <c r="M146" i="54" s="1"/>
  <c r="O146" i="54"/>
  <c r="G147" i="54"/>
  <c r="I147" i="54"/>
  <c r="L147" i="54"/>
  <c r="M147" i="54" s="1"/>
  <c r="O147" i="54"/>
  <c r="G148" i="54"/>
  <c r="I148" i="54"/>
  <c r="L148" i="54"/>
  <c r="M148" i="54" s="1"/>
  <c r="O148" i="54"/>
  <c r="G149" i="54"/>
  <c r="I149" i="54"/>
  <c r="J149" i="54" s="1"/>
  <c r="L149" i="54"/>
  <c r="M149" i="54"/>
  <c r="O149" i="54"/>
  <c r="G150" i="54"/>
  <c r="I150" i="54"/>
  <c r="L150" i="54"/>
  <c r="M150" i="54" s="1"/>
  <c r="O150" i="54"/>
  <c r="G151" i="54"/>
  <c r="I151" i="54"/>
  <c r="L151" i="54"/>
  <c r="M151" i="54" s="1"/>
  <c r="O151" i="54"/>
  <c r="G152" i="54"/>
  <c r="I152" i="54"/>
  <c r="L152" i="54"/>
  <c r="M152" i="54" s="1"/>
  <c r="O152" i="54"/>
  <c r="G153" i="54"/>
  <c r="I153" i="54"/>
  <c r="L153" i="54"/>
  <c r="M153" i="54"/>
  <c r="O153" i="54"/>
  <c r="P153" i="54" s="1"/>
  <c r="G154" i="54"/>
  <c r="I154" i="54"/>
  <c r="L154" i="54"/>
  <c r="M154" i="54" s="1"/>
  <c r="O154" i="54"/>
  <c r="G155" i="54"/>
  <c r="I155" i="54"/>
  <c r="L155" i="54"/>
  <c r="M155" i="54"/>
  <c r="O155" i="54"/>
  <c r="G156" i="54"/>
  <c r="I156" i="54"/>
  <c r="L156" i="54"/>
  <c r="M156" i="54" s="1"/>
  <c r="O156" i="54"/>
  <c r="G157" i="54"/>
  <c r="I157" i="54"/>
  <c r="J157" i="54" s="1"/>
  <c r="L157" i="54"/>
  <c r="M157" i="54" s="1"/>
  <c r="O157" i="54"/>
  <c r="G158" i="54"/>
  <c r="I158" i="54"/>
  <c r="L158" i="54"/>
  <c r="M158" i="54" s="1"/>
  <c r="O158" i="54"/>
  <c r="G159" i="54"/>
  <c r="I159" i="54"/>
  <c r="J159" i="54" s="1"/>
  <c r="L159" i="54"/>
  <c r="M159" i="54" s="1"/>
  <c r="O159" i="54"/>
  <c r="G160" i="54"/>
  <c r="I160" i="54"/>
  <c r="L160" i="54"/>
  <c r="M160" i="54" s="1"/>
  <c r="O160" i="54"/>
  <c r="G161" i="54"/>
  <c r="I161" i="54"/>
  <c r="J161" i="54" s="1"/>
  <c r="R161" i="54" s="1"/>
  <c r="X161" i="54" s="1"/>
  <c r="AF161" i="54" s="1"/>
  <c r="L161" i="54"/>
  <c r="M161" i="54"/>
  <c r="O161" i="54"/>
  <c r="P161" i="54" s="1"/>
  <c r="G162" i="54"/>
  <c r="I162" i="54"/>
  <c r="L162" i="54"/>
  <c r="M162" i="54" s="1"/>
  <c r="O162" i="54"/>
  <c r="G163" i="54"/>
  <c r="I163" i="54"/>
  <c r="L163" i="54"/>
  <c r="M163" i="54"/>
  <c r="O163" i="54"/>
  <c r="P163" i="54" s="1"/>
  <c r="G164" i="54"/>
  <c r="I164" i="54"/>
  <c r="L164" i="54"/>
  <c r="M164" i="54" s="1"/>
  <c r="O164" i="54"/>
  <c r="G165" i="54"/>
  <c r="I165" i="54"/>
  <c r="J165" i="54" s="1"/>
  <c r="L165" i="54"/>
  <c r="M165" i="54"/>
  <c r="O165" i="54"/>
  <c r="G166" i="54"/>
  <c r="I166" i="54"/>
  <c r="L166" i="54"/>
  <c r="M166" i="54" s="1"/>
  <c r="P166" i="54" s="1"/>
  <c r="O166" i="54"/>
  <c r="G167" i="54"/>
  <c r="I167" i="54"/>
  <c r="J167" i="54" s="1"/>
  <c r="L167" i="54"/>
  <c r="M167" i="54" s="1"/>
  <c r="O167" i="54"/>
  <c r="G168" i="54"/>
  <c r="I168" i="54"/>
  <c r="L168" i="54"/>
  <c r="M168" i="54" s="1"/>
  <c r="O168" i="54"/>
  <c r="G169" i="54"/>
  <c r="I169" i="54"/>
  <c r="J169" i="54" s="1"/>
  <c r="L169" i="54"/>
  <c r="M169" i="54" s="1"/>
  <c r="O169" i="54"/>
  <c r="F170" i="54"/>
  <c r="H170" i="54"/>
  <c r="H172" i="54" s="1"/>
  <c r="N170" i="54"/>
  <c r="T170" i="54"/>
  <c r="V170" i="54"/>
  <c r="C16" i="53"/>
  <c r="C17" i="53" s="1"/>
  <c r="C18" i="53" s="1"/>
  <c r="C19" i="53" s="1"/>
  <c r="C21" i="53" s="1"/>
  <c r="C23" i="53" s="1"/>
  <c r="C25" i="53" s="1"/>
  <c r="C26" i="53" s="1"/>
  <c r="C27" i="53" s="1"/>
  <c r="C28" i="53" s="1"/>
  <c r="C30" i="53" s="1"/>
  <c r="C32" i="53" s="1"/>
  <c r="C34" i="53" s="1"/>
  <c r="C35" i="53" s="1"/>
  <c r="C36" i="53" s="1"/>
  <c r="C37" i="53" s="1"/>
  <c r="C39" i="53" s="1"/>
  <c r="C41" i="53" s="1"/>
  <c r="C50" i="53" s="1"/>
  <c r="C52" i="53" s="1"/>
  <c r="C53" i="53" s="1"/>
  <c r="C54" i="53" s="1"/>
  <c r="C55" i="53" s="1"/>
  <c r="C57" i="53" s="1"/>
  <c r="C59" i="53" s="1"/>
  <c r="C70" i="53" s="1"/>
  <c r="K17" i="53"/>
  <c r="K18" i="53"/>
  <c r="M21" i="53"/>
  <c r="K25" i="53"/>
  <c r="O25" i="53" s="1"/>
  <c r="Q25" i="53" s="1"/>
  <c r="K26" i="53"/>
  <c r="O26" i="53" s="1"/>
  <c r="Q26" i="53" s="1"/>
  <c r="K28" i="53"/>
  <c r="O28" i="53" s="1"/>
  <c r="Q28" i="53" s="1"/>
  <c r="M30" i="53"/>
  <c r="Q34" i="53"/>
  <c r="K35" i="53"/>
  <c r="Q35" i="53"/>
  <c r="Q36" i="53"/>
  <c r="K37" i="53"/>
  <c r="Q37" i="53"/>
  <c r="M39" i="53"/>
  <c r="O39" i="53"/>
  <c r="Q52" i="53"/>
  <c r="Q53" i="53"/>
  <c r="Q54" i="53"/>
  <c r="Q55" i="53"/>
  <c r="K57" i="53"/>
  <c r="K59" i="53" s="1"/>
  <c r="M57" i="53"/>
  <c r="M59" i="53" s="1"/>
  <c r="O57" i="53"/>
  <c r="O59" i="53" s="1"/>
  <c r="L98" i="52"/>
  <c r="M70" i="53"/>
  <c r="M71" i="53"/>
  <c r="M72" i="53"/>
  <c r="M73" i="53"/>
  <c r="Q87" i="53"/>
  <c r="Q174" i="53" s="1"/>
  <c r="O104" i="53"/>
  <c r="O105" i="53"/>
  <c r="O106" i="53"/>
  <c r="O107" i="53"/>
  <c r="K109" i="53"/>
  <c r="M109" i="53"/>
  <c r="O113" i="53"/>
  <c r="O114" i="53"/>
  <c r="O115" i="53"/>
  <c r="Q115" i="53" s="1"/>
  <c r="O116" i="53"/>
  <c r="Q116" i="53" s="1"/>
  <c r="K118" i="53"/>
  <c r="M118" i="53"/>
  <c r="O122" i="53"/>
  <c r="Q122" i="53" s="1"/>
  <c r="O123" i="53"/>
  <c r="Q123" i="53" s="1"/>
  <c r="O124" i="53"/>
  <c r="O125" i="53"/>
  <c r="K127" i="53"/>
  <c r="M127" i="53"/>
  <c r="K174" i="53"/>
  <c r="M174" i="53"/>
  <c r="O174" i="53"/>
  <c r="L14" i="52"/>
  <c r="B16" i="52"/>
  <c r="H16" i="52"/>
  <c r="K16" i="52" s="1"/>
  <c r="Q16" i="52"/>
  <c r="R16" i="52" s="1"/>
  <c r="G17" i="52"/>
  <c r="G18" i="52" s="1"/>
  <c r="G19" i="52" s="1"/>
  <c r="G20" i="52" s="1"/>
  <c r="G21" i="52" s="1"/>
  <c r="G22" i="52" s="1"/>
  <c r="G23" i="52" s="1"/>
  <c r="G24" i="52" s="1"/>
  <c r="G25" i="52" s="1"/>
  <c r="G26" i="52" s="1"/>
  <c r="G27" i="52" s="1"/>
  <c r="H27" i="52" s="1"/>
  <c r="K27" i="52" s="1"/>
  <c r="H17" i="52"/>
  <c r="K17" i="52" s="1"/>
  <c r="Q17" i="52"/>
  <c r="H18" i="52"/>
  <c r="K18" i="52" s="1"/>
  <c r="Q18" i="52"/>
  <c r="H19" i="52"/>
  <c r="K19" i="52" s="1"/>
  <c r="Q19" i="52"/>
  <c r="H20" i="52"/>
  <c r="K20" i="52" s="1"/>
  <c r="Q20" i="52"/>
  <c r="Q21" i="52"/>
  <c r="Q22" i="52"/>
  <c r="Q23" i="52"/>
  <c r="Q24" i="52"/>
  <c r="Q25" i="52"/>
  <c r="F26" i="52"/>
  <c r="Q26" i="52"/>
  <c r="Q27" i="52"/>
  <c r="E28" i="52"/>
  <c r="J28" i="52"/>
  <c r="N28" i="52"/>
  <c r="R32" i="52"/>
  <c r="R38" i="52" s="1"/>
  <c r="R36" i="52"/>
  <c r="H49" i="52"/>
  <c r="G50" i="52"/>
  <c r="G51" i="52" s="1"/>
  <c r="G52" i="52" s="1"/>
  <c r="G53" i="52" s="1"/>
  <c r="G54" i="52" s="1"/>
  <c r="G55" i="52" s="1"/>
  <c r="G56" i="52" s="1"/>
  <c r="G57" i="52" s="1"/>
  <c r="G58" i="52" s="1"/>
  <c r="G59" i="52" s="1"/>
  <c r="G60" i="52" s="1"/>
  <c r="H60" i="52" s="1"/>
  <c r="H50" i="52"/>
  <c r="H51" i="52"/>
  <c r="H52" i="52"/>
  <c r="H53" i="52"/>
  <c r="F59" i="52"/>
  <c r="E61" i="52"/>
  <c r="N61" i="52"/>
  <c r="L63" i="52"/>
  <c r="L65" i="52" s="1"/>
  <c r="R65" i="52"/>
  <c r="R69" i="52"/>
  <c r="H82" i="52"/>
  <c r="K82" i="52" s="1"/>
  <c r="Q82" i="52"/>
  <c r="G83" i="52"/>
  <c r="G84" i="52" s="1"/>
  <c r="G85" i="52" s="1"/>
  <c r="G86" i="52" s="1"/>
  <c r="G87" i="52" s="1"/>
  <c r="G88" i="52" s="1"/>
  <c r="G89" i="52" s="1"/>
  <c r="G90" i="52" s="1"/>
  <c r="G91" i="52" s="1"/>
  <c r="G92" i="52" s="1"/>
  <c r="G93" i="52" s="1"/>
  <c r="H93" i="52" s="1"/>
  <c r="K93" i="52" s="1"/>
  <c r="H83" i="52"/>
  <c r="K83" i="52" s="1"/>
  <c r="Q83" i="52"/>
  <c r="H84" i="52"/>
  <c r="K84" i="52" s="1"/>
  <c r="Q84" i="52"/>
  <c r="H85" i="52"/>
  <c r="K85" i="52" s="1"/>
  <c r="Q85" i="52"/>
  <c r="H86" i="52"/>
  <c r="K86" i="52"/>
  <c r="Q86" i="52"/>
  <c r="Q87" i="52"/>
  <c r="Q88" i="52"/>
  <c r="Q89" i="52"/>
  <c r="Q90" i="52"/>
  <c r="Q91" i="52"/>
  <c r="F92" i="52"/>
  <c r="Q92" i="52"/>
  <c r="Q93" i="52"/>
  <c r="E94" i="52"/>
  <c r="J94" i="52"/>
  <c r="N94" i="52"/>
  <c r="R98" i="52"/>
  <c r="R102" i="52"/>
  <c r="H129" i="52"/>
  <c r="K129" i="52"/>
  <c r="Q129" i="52"/>
  <c r="R129" i="52" s="1"/>
  <c r="G130" i="52"/>
  <c r="H130" i="52"/>
  <c r="K130" i="52"/>
  <c r="Q130" i="52"/>
  <c r="G131" i="52"/>
  <c r="G132" i="52" s="1"/>
  <c r="G133" i="52" s="1"/>
  <c r="G134" i="52" s="1"/>
  <c r="G135" i="52" s="1"/>
  <c r="G136" i="52" s="1"/>
  <c r="G137" i="52" s="1"/>
  <c r="G138" i="52" s="1"/>
  <c r="G139" i="52" s="1"/>
  <c r="G140" i="52" s="1"/>
  <c r="H140" i="52" s="1"/>
  <c r="K140" i="52" s="1"/>
  <c r="H131" i="52"/>
  <c r="K131" i="52" s="1"/>
  <c r="Q131" i="52"/>
  <c r="H132" i="52"/>
  <c r="K132" i="52" s="1"/>
  <c r="Q132" i="52"/>
  <c r="H133" i="52"/>
  <c r="K133" i="52" s="1"/>
  <c r="Q133" i="52"/>
  <c r="Q134" i="52"/>
  <c r="Q135" i="52"/>
  <c r="Q136" i="52"/>
  <c r="Q137" i="52"/>
  <c r="Q138" i="52"/>
  <c r="F139" i="52"/>
  <c r="Q139" i="52"/>
  <c r="Q140" i="52"/>
  <c r="E141" i="52"/>
  <c r="J141" i="52"/>
  <c r="N141" i="52"/>
  <c r="R145" i="52"/>
  <c r="R149" i="52"/>
  <c r="H162" i="52"/>
  <c r="K162" i="52" s="1"/>
  <c r="Q162" i="52"/>
  <c r="G163" i="52"/>
  <c r="G164" i="52" s="1"/>
  <c r="G165" i="52" s="1"/>
  <c r="G166" i="52" s="1"/>
  <c r="G167" i="52" s="1"/>
  <c r="G168" i="52" s="1"/>
  <c r="G169" i="52" s="1"/>
  <c r="G170" i="52" s="1"/>
  <c r="G171" i="52" s="1"/>
  <c r="G172" i="52" s="1"/>
  <c r="G173" i="52" s="1"/>
  <c r="H173" i="52" s="1"/>
  <c r="K173" i="52" s="1"/>
  <c r="H163" i="52"/>
  <c r="K163" i="52" s="1"/>
  <c r="Q163" i="52"/>
  <c r="H164" i="52"/>
  <c r="K164" i="52" s="1"/>
  <c r="Q164" i="52"/>
  <c r="H165" i="52"/>
  <c r="K165" i="52" s="1"/>
  <c r="Q165" i="52"/>
  <c r="H166" i="52"/>
  <c r="K166" i="52" s="1"/>
  <c r="Q166" i="52"/>
  <c r="Q167" i="52"/>
  <c r="Q168" i="52"/>
  <c r="Q169" i="52"/>
  <c r="Q170" i="52"/>
  <c r="Q171" i="52"/>
  <c r="F172" i="52"/>
  <c r="Q172" i="52"/>
  <c r="Q173" i="52"/>
  <c r="E174" i="52"/>
  <c r="J174" i="52"/>
  <c r="N174" i="52"/>
  <c r="R178" i="52"/>
  <c r="R182" i="52"/>
  <c r="H195" i="52"/>
  <c r="K195" i="52" s="1"/>
  <c r="L195" i="52" s="1"/>
  <c r="Q195" i="52"/>
  <c r="G196" i="52"/>
  <c r="G197" i="52" s="1"/>
  <c r="G198" i="52" s="1"/>
  <c r="G199" i="52" s="1"/>
  <c r="G200" i="52" s="1"/>
  <c r="G201" i="52" s="1"/>
  <c r="G202" i="52" s="1"/>
  <c r="G203" i="52" s="1"/>
  <c r="G204" i="52" s="1"/>
  <c r="G205" i="52" s="1"/>
  <c r="G206" i="52" s="1"/>
  <c r="H206" i="52" s="1"/>
  <c r="K206" i="52" s="1"/>
  <c r="H196" i="52"/>
  <c r="K196" i="52"/>
  <c r="L196" i="52" s="1"/>
  <c r="Q196" i="52"/>
  <c r="H197" i="52"/>
  <c r="K197" i="52"/>
  <c r="Q197" i="52"/>
  <c r="H198" i="52"/>
  <c r="K198" i="52" s="1"/>
  <c r="Q198" i="52"/>
  <c r="H199" i="52"/>
  <c r="K199" i="52" s="1"/>
  <c r="Q199" i="52"/>
  <c r="Q200" i="52"/>
  <c r="Q201" i="52"/>
  <c r="Q202" i="52"/>
  <c r="Q203" i="52"/>
  <c r="Q204" i="52"/>
  <c r="F205" i="52"/>
  <c r="Q205" i="52"/>
  <c r="Q206" i="52"/>
  <c r="E207" i="52"/>
  <c r="J207" i="52"/>
  <c r="N207" i="52"/>
  <c r="R211" i="52"/>
  <c r="R215" i="52"/>
  <c r="D237" i="52"/>
  <c r="B12" i="51"/>
  <c r="B13" i="51" s="1"/>
  <c r="B14" i="51" s="1"/>
  <c r="B15" i="51" s="1"/>
  <c r="E12" i="51"/>
  <c r="B17" i="51"/>
  <c r="B22" i="51" s="1"/>
  <c r="E36" i="51"/>
  <c r="E37" i="51"/>
  <c r="E38" i="51"/>
  <c r="E39" i="51"/>
  <c r="E40" i="51"/>
  <c r="E58" i="51"/>
  <c r="E59" i="51"/>
  <c r="E60" i="51"/>
  <c r="E61" i="51"/>
  <c r="E62" i="51"/>
  <c r="F63" i="51"/>
  <c r="G63" i="51"/>
  <c r="G110" i="51" s="1"/>
  <c r="H63" i="51"/>
  <c r="H110" i="51" s="1"/>
  <c r="I63" i="51"/>
  <c r="E65" i="51"/>
  <c r="E90" i="51"/>
  <c r="E97" i="51" s="1"/>
  <c r="F90" i="51"/>
  <c r="F97" i="51" s="1"/>
  <c r="F103" i="51" s="1"/>
  <c r="G90" i="51"/>
  <c r="G111" i="51" s="1"/>
  <c r="H90" i="51"/>
  <c r="H111" i="51" s="1"/>
  <c r="I90" i="51"/>
  <c r="I111" i="51" s="1"/>
  <c r="E130" i="51"/>
  <c r="E131" i="51"/>
  <c r="E132" i="51"/>
  <c r="F134" i="51"/>
  <c r="G134" i="51"/>
  <c r="G181" i="51" s="1"/>
  <c r="I134" i="51"/>
  <c r="I181" i="51" s="1"/>
  <c r="F137" i="51"/>
  <c r="G137" i="51"/>
  <c r="H137" i="51"/>
  <c r="I137" i="51"/>
  <c r="E138" i="51"/>
  <c r="E139" i="51"/>
  <c r="E161" i="51"/>
  <c r="E168" i="51" s="1"/>
  <c r="F161" i="51"/>
  <c r="G161" i="51"/>
  <c r="G182" i="51" s="1"/>
  <c r="H161" i="51"/>
  <c r="I161" i="51"/>
  <c r="I168" i="51" s="1"/>
  <c r="I174" i="51" s="1"/>
  <c r="I175" i="51"/>
  <c r="E200" i="51"/>
  <c r="E201" i="51"/>
  <c r="E202" i="51"/>
  <c r="E203" i="51"/>
  <c r="E204" i="51"/>
  <c r="E205" i="51"/>
  <c r="E206" i="51"/>
  <c r="E207" i="51"/>
  <c r="E208" i="51"/>
  <c r="F209" i="51"/>
  <c r="F257" i="51" s="1"/>
  <c r="G209" i="51"/>
  <c r="H209" i="51"/>
  <c r="H216" i="51" s="1"/>
  <c r="H222" i="51" s="1"/>
  <c r="H14" i="51" s="1"/>
  <c r="I209" i="51"/>
  <c r="I216" i="51" s="1"/>
  <c r="I222" i="51" s="1"/>
  <c r="I14" i="51" s="1"/>
  <c r="E211" i="51"/>
  <c r="E212" i="51"/>
  <c r="E213" i="51"/>
  <c r="E214" i="51"/>
  <c r="E236" i="51"/>
  <c r="E243" i="51" s="1"/>
  <c r="F236" i="51"/>
  <c r="G236" i="51"/>
  <c r="G258" i="51" s="1"/>
  <c r="H236" i="51"/>
  <c r="H243" i="51" s="1"/>
  <c r="H249" i="51" s="1"/>
  <c r="I236" i="51"/>
  <c r="I243" i="51" s="1"/>
  <c r="I249" i="51" s="1"/>
  <c r="E277" i="51"/>
  <c r="E283" i="51" s="1"/>
  <c r="E287" i="51" s="1"/>
  <c r="F283" i="51"/>
  <c r="F287" i="51" s="1"/>
  <c r="F293" i="51" s="1"/>
  <c r="G283" i="51"/>
  <c r="G287" i="51" s="1"/>
  <c r="G293" i="51" s="1"/>
  <c r="G15" i="51" s="1"/>
  <c r="H283" i="51"/>
  <c r="H287" i="51" s="1"/>
  <c r="H293" i="51" s="1"/>
  <c r="H15" i="51" s="1"/>
  <c r="I283" i="51"/>
  <c r="I287" i="51" s="1"/>
  <c r="I293" i="51" s="1"/>
  <c r="I15" i="51" s="1"/>
  <c r="E307" i="51"/>
  <c r="F307" i="51"/>
  <c r="F313" i="51" s="1"/>
  <c r="G307" i="51"/>
  <c r="G313" i="51" s="1"/>
  <c r="H307" i="51"/>
  <c r="H313" i="51" s="1"/>
  <c r="I307" i="51"/>
  <c r="I313" i="51" s="1"/>
  <c r="B12" i="50"/>
  <c r="B13" i="50" s="1"/>
  <c r="B14" i="50" s="1"/>
  <c r="B15" i="50" s="1"/>
  <c r="E12" i="50"/>
  <c r="B17" i="50"/>
  <c r="B22" i="50" s="1"/>
  <c r="F224" i="1" s="1"/>
  <c r="E36" i="50"/>
  <c r="E61" i="50"/>
  <c r="E62" i="50"/>
  <c r="G110" i="50"/>
  <c r="I110" i="50"/>
  <c r="E65" i="50"/>
  <c r="E90" i="50"/>
  <c r="E97" i="50" s="1"/>
  <c r="F90" i="50"/>
  <c r="F111" i="50" s="1"/>
  <c r="G90" i="50"/>
  <c r="H90" i="50"/>
  <c r="H97" i="50" s="1"/>
  <c r="I90" i="50"/>
  <c r="I97" i="50" s="1"/>
  <c r="E130" i="50"/>
  <c r="E131" i="50"/>
  <c r="E132" i="50"/>
  <c r="F134" i="50"/>
  <c r="F181" i="50" s="1"/>
  <c r="I134" i="50"/>
  <c r="I181" i="50" s="1"/>
  <c r="E136" i="50"/>
  <c r="F137" i="50"/>
  <c r="H137" i="50"/>
  <c r="I137" i="50"/>
  <c r="I138" i="50"/>
  <c r="E139" i="50"/>
  <c r="E161" i="50"/>
  <c r="E168" i="50" s="1"/>
  <c r="F161" i="50"/>
  <c r="G161" i="50"/>
  <c r="G182" i="50" s="1"/>
  <c r="H161" i="50"/>
  <c r="H182" i="50" s="1"/>
  <c r="I161" i="50"/>
  <c r="I168" i="50" s="1"/>
  <c r="F168" i="50"/>
  <c r="F174" i="50" s="1"/>
  <c r="G168" i="50"/>
  <c r="G174" i="50" s="1"/>
  <c r="F182" i="50"/>
  <c r="E200" i="50"/>
  <c r="E201" i="50"/>
  <c r="E202" i="50"/>
  <c r="E203" i="50"/>
  <c r="E204" i="50"/>
  <c r="E205" i="50"/>
  <c r="E206" i="50"/>
  <c r="E207" i="50"/>
  <c r="E208" i="50"/>
  <c r="F209" i="50"/>
  <c r="F257" i="50" s="1"/>
  <c r="G209" i="50"/>
  <c r="H209" i="50"/>
  <c r="H216" i="50" s="1"/>
  <c r="I209" i="50"/>
  <c r="E211" i="50"/>
  <c r="E212" i="50"/>
  <c r="E213" i="50"/>
  <c r="E214" i="50"/>
  <c r="F216" i="50"/>
  <c r="F222" i="50" s="1"/>
  <c r="F14" i="50" s="1"/>
  <c r="E236" i="50"/>
  <c r="E243" i="50" s="1"/>
  <c r="F236" i="50"/>
  <c r="G236" i="50"/>
  <c r="G258" i="50" s="1"/>
  <c r="H236" i="50"/>
  <c r="H258" i="50" s="1"/>
  <c r="I236" i="50"/>
  <c r="I258" i="50" s="1"/>
  <c r="E283" i="50"/>
  <c r="E287" i="50" s="1"/>
  <c r="F283" i="50"/>
  <c r="F287" i="50" s="1"/>
  <c r="F293" i="50" s="1"/>
  <c r="G283" i="50"/>
  <c r="G287" i="50" s="1"/>
  <c r="G293" i="50" s="1"/>
  <c r="G15" i="50" s="1"/>
  <c r="H283" i="50"/>
  <c r="H287" i="50" s="1"/>
  <c r="I283" i="50"/>
  <c r="I287" i="50" s="1"/>
  <c r="E307" i="50"/>
  <c r="F307" i="50"/>
  <c r="F313" i="50" s="1"/>
  <c r="G307" i="50"/>
  <c r="G313" i="50" s="1"/>
  <c r="H307" i="50"/>
  <c r="I307" i="50"/>
  <c r="B14" i="49"/>
  <c r="B15" i="49" s="1"/>
  <c r="B16" i="49" s="1"/>
  <c r="B17" i="49" s="1"/>
  <c r="B18" i="49" s="1"/>
  <c r="B19" i="49" s="1"/>
  <c r="B20" i="49" s="1"/>
  <c r="B21" i="49" s="1"/>
  <c r="B22" i="49" s="1"/>
  <c r="B23" i="49" s="1"/>
  <c r="B24" i="49" s="1"/>
  <c r="B25" i="49" s="1"/>
  <c r="H14" i="49"/>
  <c r="K14" i="49" s="1"/>
  <c r="O14" i="49"/>
  <c r="P14" i="49"/>
  <c r="Q14" i="49"/>
  <c r="H15" i="49"/>
  <c r="K15" i="49" s="1"/>
  <c r="O15" i="49"/>
  <c r="P15" i="49"/>
  <c r="Q15" i="49"/>
  <c r="H16" i="49"/>
  <c r="K16" i="49" s="1"/>
  <c r="O16" i="49"/>
  <c r="P16" i="49"/>
  <c r="Q16" i="49"/>
  <c r="H17" i="49"/>
  <c r="K17" i="49" s="1"/>
  <c r="O17" i="49"/>
  <c r="P17" i="49"/>
  <c r="Q17" i="49"/>
  <c r="H18" i="49"/>
  <c r="K18" i="49" s="1"/>
  <c r="O18" i="49"/>
  <c r="P18" i="49"/>
  <c r="Q18" i="49"/>
  <c r="H19" i="49"/>
  <c r="K19" i="49" s="1"/>
  <c r="O19" i="49"/>
  <c r="P19" i="49"/>
  <c r="Q19" i="49"/>
  <c r="H20" i="49"/>
  <c r="K20" i="49" s="1"/>
  <c r="O20" i="49"/>
  <c r="P20" i="49"/>
  <c r="Q20" i="49"/>
  <c r="H21" i="49"/>
  <c r="K21" i="49" s="1"/>
  <c r="O21" i="49"/>
  <c r="P21" i="49"/>
  <c r="Q21" i="49"/>
  <c r="H22" i="49"/>
  <c r="K22" i="49" s="1"/>
  <c r="O22" i="49"/>
  <c r="P22" i="49"/>
  <c r="Q22" i="49"/>
  <c r="H23" i="49"/>
  <c r="K23" i="49" s="1"/>
  <c r="O23" i="49"/>
  <c r="P23" i="49"/>
  <c r="Q23" i="49"/>
  <c r="H24" i="49"/>
  <c r="K24" i="49" s="1"/>
  <c r="O24" i="49"/>
  <c r="P24" i="49"/>
  <c r="Q24" i="49"/>
  <c r="H25" i="49"/>
  <c r="K25" i="49" s="1"/>
  <c r="O25" i="49"/>
  <c r="P25" i="49"/>
  <c r="Q25" i="49"/>
  <c r="E26" i="49"/>
  <c r="J26" i="49"/>
  <c r="N26" i="49"/>
  <c r="R30" i="49"/>
  <c r="R34" i="49"/>
  <c r="H47" i="49"/>
  <c r="K47" i="49" s="1"/>
  <c r="L47" i="49" s="1"/>
  <c r="O47" i="49"/>
  <c r="P47" i="49"/>
  <c r="Q47" i="49"/>
  <c r="H48" i="49"/>
  <c r="K48" i="49" s="1"/>
  <c r="O48" i="49"/>
  <c r="P48" i="49"/>
  <c r="Q48" i="49"/>
  <c r="H49" i="49"/>
  <c r="K49" i="49" s="1"/>
  <c r="O49" i="49"/>
  <c r="P49" i="49"/>
  <c r="Q49" i="49"/>
  <c r="H50" i="49"/>
  <c r="K50" i="49" s="1"/>
  <c r="O50" i="49"/>
  <c r="P50" i="49"/>
  <c r="Q50" i="49"/>
  <c r="H51" i="49"/>
  <c r="K51" i="49" s="1"/>
  <c r="O51" i="49"/>
  <c r="P51" i="49"/>
  <c r="Q51" i="49"/>
  <c r="H52" i="49"/>
  <c r="K52" i="49" s="1"/>
  <c r="O52" i="49"/>
  <c r="P52" i="49"/>
  <c r="Q52" i="49"/>
  <c r="H53" i="49"/>
  <c r="K53" i="49" s="1"/>
  <c r="O53" i="49"/>
  <c r="P53" i="49"/>
  <c r="Q53" i="49"/>
  <c r="H54" i="49"/>
  <c r="K54" i="49"/>
  <c r="O54" i="49"/>
  <c r="P54" i="49"/>
  <c r="Q54" i="49"/>
  <c r="H55" i="49"/>
  <c r="K55" i="49" s="1"/>
  <c r="O55" i="49"/>
  <c r="P55" i="49"/>
  <c r="Q55" i="49"/>
  <c r="H56" i="49"/>
  <c r="K56" i="49" s="1"/>
  <c r="O56" i="49"/>
  <c r="P56" i="49"/>
  <c r="Q56" i="49"/>
  <c r="H57" i="49"/>
  <c r="K57" i="49" s="1"/>
  <c r="O57" i="49"/>
  <c r="P57" i="49"/>
  <c r="Q57" i="49"/>
  <c r="H58" i="49"/>
  <c r="K58" i="49" s="1"/>
  <c r="O58" i="49"/>
  <c r="P58" i="49"/>
  <c r="Q58" i="49"/>
  <c r="E59" i="49"/>
  <c r="J59" i="49"/>
  <c r="N59" i="49"/>
  <c r="L63" i="49"/>
  <c r="R63" i="49"/>
  <c r="L67" i="49"/>
  <c r="R67" i="49"/>
  <c r="H80" i="49"/>
  <c r="K80" i="49" s="1"/>
  <c r="O80" i="49"/>
  <c r="P80" i="49"/>
  <c r="Q80" i="49"/>
  <c r="H81" i="49"/>
  <c r="K81" i="49" s="1"/>
  <c r="O81" i="49"/>
  <c r="P81" i="49"/>
  <c r="Q81" i="49"/>
  <c r="H82" i="49"/>
  <c r="K82" i="49" s="1"/>
  <c r="O82" i="49"/>
  <c r="P82" i="49"/>
  <c r="Q82" i="49"/>
  <c r="H83" i="49"/>
  <c r="K83" i="49" s="1"/>
  <c r="O83" i="49"/>
  <c r="P83" i="49"/>
  <c r="Q83" i="49"/>
  <c r="H84" i="49"/>
  <c r="K84" i="49" s="1"/>
  <c r="O84" i="49"/>
  <c r="P84" i="49"/>
  <c r="Q84" i="49"/>
  <c r="H85" i="49"/>
  <c r="K85" i="49" s="1"/>
  <c r="O85" i="49"/>
  <c r="P85" i="49"/>
  <c r="Q85" i="49"/>
  <c r="H86" i="49"/>
  <c r="K86" i="49" s="1"/>
  <c r="O86" i="49"/>
  <c r="P86" i="49"/>
  <c r="Q86" i="49"/>
  <c r="H87" i="49"/>
  <c r="K87" i="49" s="1"/>
  <c r="O87" i="49"/>
  <c r="P87" i="49"/>
  <c r="Q87" i="49"/>
  <c r="H88" i="49"/>
  <c r="K88" i="49" s="1"/>
  <c r="O88" i="49"/>
  <c r="P88" i="49"/>
  <c r="Q88" i="49"/>
  <c r="H89" i="49"/>
  <c r="K89" i="49" s="1"/>
  <c r="O89" i="49"/>
  <c r="P89" i="49"/>
  <c r="Q89" i="49"/>
  <c r="H90" i="49"/>
  <c r="K90" i="49" s="1"/>
  <c r="O90" i="49"/>
  <c r="P90" i="49"/>
  <c r="Q90" i="49"/>
  <c r="H91" i="49"/>
  <c r="K91" i="49" s="1"/>
  <c r="O91" i="49"/>
  <c r="P91" i="49"/>
  <c r="Q91" i="49"/>
  <c r="E92" i="49"/>
  <c r="J92" i="49"/>
  <c r="N92" i="49"/>
  <c r="R96" i="49"/>
  <c r="R102" i="49" s="1"/>
  <c r="R100" i="49"/>
  <c r="H113" i="49"/>
  <c r="K113" i="49" s="1"/>
  <c r="O113" i="49"/>
  <c r="P113" i="49"/>
  <c r="Q113" i="49"/>
  <c r="H114" i="49"/>
  <c r="K114" i="49" s="1"/>
  <c r="O114" i="49"/>
  <c r="P114" i="49"/>
  <c r="Q114" i="49"/>
  <c r="H115" i="49"/>
  <c r="K115" i="49" s="1"/>
  <c r="O115" i="49"/>
  <c r="P115" i="49"/>
  <c r="Q115" i="49"/>
  <c r="H116" i="49"/>
  <c r="K116" i="49" s="1"/>
  <c r="O116" i="49"/>
  <c r="P116" i="49"/>
  <c r="Q116" i="49"/>
  <c r="H117" i="49"/>
  <c r="K117" i="49" s="1"/>
  <c r="O117" i="49"/>
  <c r="P117" i="49"/>
  <c r="Q117" i="49"/>
  <c r="H118" i="49"/>
  <c r="K118" i="49" s="1"/>
  <c r="O118" i="49"/>
  <c r="P118" i="49"/>
  <c r="Q118" i="49"/>
  <c r="H119" i="49"/>
  <c r="K119" i="49" s="1"/>
  <c r="O119" i="49"/>
  <c r="P119" i="49"/>
  <c r="Q119" i="49"/>
  <c r="H120" i="49"/>
  <c r="K120" i="49" s="1"/>
  <c r="O120" i="49"/>
  <c r="P120" i="49"/>
  <c r="Q120" i="49"/>
  <c r="H121" i="49"/>
  <c r="K121" i="49" s="1"/>
  <c r="O121" i="49"/>
  <c r="P121" i="49"/>
  <c r="Q121" i="49"/>
  <c r="H122" i="49"/>
  <c r="K122" i="49" s="1"/>
  <c r="O122" i="49"/>
  <c r="P122" i="49"/>
  <c r="Q122" i="49"/>
  <c r="H123" i="49"/>
  <c r="K123" i="49" s="1"/>
  <c r="O123" i="49"/>
  <c r="P123" i="49"/>
  <c r="Q123" i="49"/>
  <c r="H124" i="49"/>
  <c r="K124" i="49"/>
  <c r="O124" i="49"/>
  <c r="P124" i="49"/>
  <c r="Q124" i="49"/>
  <c r="E125" i="49"/>
  <c r="J125" i="49"/>
  <c r="N125" i="49"/>
  <c r="R129" i="49"/>
  <c r="R133" i="49"/>
  <c r="H146" i="49"/>
  <c r="K146" i="49" s="1"/>
  <c r="L146" i="49" s="1"/>
  <c r="O146" i="49"/>
  <c r="P146" i="49"/>
  <c r="Q146" i="49"/>
  <c r="H147" i="49"/>
  <c r="K147" i="49" s="1"/>
  <c r="O147" i="49"/>
  <c r="P147" i="49"/>
  <c r="Q147" i="49"/>
  <c r="H148" i="49"/>
  <c r="K148" i="49" s="1"/>
  <c r="O148" i="49"/>
  <c r="P148" i="49"/>
  <c r="Q148" i="49"/>
  <c r="H149" i="49"/>
  <c r="K149" i="49" s="1"/>
  <c r="O149" i="49"/>
  <c r="P149" i="49"/>
  <c r="Q149" i="49"/>
  <c r="H150" i="49"/>
  <c r="K150" i="49" s="1"/>
  <c r="O150" i="49"/>
  <c r="P150" i="49"/>
  <c r="Q150" i="49"/>
  <c r="H151" i="49"/>
  <c r="K151" i="49" s="1"/>
  <c r="O151" i="49"/>
  <c r="P151" i="49"/>
  <c r="Q151" i="49"/>
  <c r="H152" i="49"/>
  <c r="K152" i="49" s="1"/>
  <c r="O152" i="49"/>
  <c r="P152" i="49"/>
  <c r="Q152" i="49"/>
  <c r="H153" i="49"/>
  <c r="K153" i="49" s="1"/>
  <c r="O153" i="49"/>
  <c r="P153" i="49"/>
  <c r="Q153" i="49"/>
  <c r="H154" i="49"/>
  <c r="K154" i="49" s="1"/>
  <c r="O154" i="49"/>
  <c r="P154" i="49"/>
  <c r="Q154" i="49"/>
  <c r="H155" i="49"/>
  <c r="K155" i="49" s="1"/>
  <c r="O155" i="49"/>
  <c r="P155" i="49"/>
  <c r="Q155" i="49"/>
  <c r="H156" i="49"/>
  <c r="K156" i="49" s="1"/>
  <c r="O156" i="49"/>
  <c r="P156" i="49"/>
  <c r="Q156" i="49"/>
  <c r="H157" i="49"/>
  <c r="K157" i="49" s="1"/>
  <c r="O157" i="49"/>
  <c r="P157" i="49"/>
  <c r="Q157" i="49"/>
  <c r="E158" i="49"/>
  <c r="J158" i="49"/>
  <c r="N158" i="49"/>
  <c r="R162" i="49"/>
  <c r="R166" i="49"/>
  <c r="R168" i="49" s="1"/>
  <c r="E177" i="49"/>
  <c r="H168" i="50" l="1"/>
  <c r="K71" i="53"/>
  <c r="O18" i="53"/>
  <c r="Q18" i="53" s="1"/>
  <c r="Q104" i="53"/>
  <c r="Q107" i="53"/>
  <c r="O109" i="53"/>
  <c r="C71" i="53"/>
  <c r="C72" i="53" s="1"/>
  <c r="C73" i="53" s="1"/>
  <c r="C75" i="53" s="1"/>
  <c r="C77" i="53" s="1"/>
  <c r="C79" i="53" s="1"/>
  <c r="C87" i="53" s="1"/>
  <c r="C88" i="53" s="1"/>
  <c r="C90" i="53" s="1"/>
  <c r="C102" i="53" s="1"/>
  <c r="C104" i="53" s="1"/>
  <c r="C105" i="53" s="1"/>
  <c r="C106" i="53" s="1"/>
  <c r="C107" i="53" s="1"/>
  <c r="C109" i="53" s="1"/>
  <c r="C111" i="53" s="1"/>
  <c r="C113" i="53" s="1"/>
  <c r="C114" i="53" s="1"/>
  <c r="C115" i="53" s="1"/>
  <c r="C116" i="53" s="1"/>
  <c r="C118" i="53" s="1"/>
  <c r="C120" i="53" s="1"/>
  <c r="C122" i="53" s="1"/>
  <c r="C123" i="53" s="1"/>
  <c r="C124" i="53" s="1"/>
  <c r="C125" i="53" s="1"/>
  <c r="C127" i="53" s="1"/>
  <c r="C129" i="53" s="1"/>
  <c r="C141" i="53" s="1"/>
  <c r="C142" i="53" s="1"/>
  <c r="C143" i="53" s="1"/>
  <c r="C145" i="53" s="1"/>
  <c r="C147" i="53" s="1"/>
  <c r="C149" i="53" s="1"/>
  <c r="C160" i="53" s="1"/>
  <c r="C161" i="53" s="1"/>
  <c r="C163" i="53" s="1"/>
  <c r="C174" i="53" s="1"/>
  <c r="C175" i="53" s="1"/>
  <c r="C177" i="53" s="1"/>
  <c r="M75" i="53"/>
  <c r="Q39" i="53"/>
  <c r="M41" i="53"/>
  <c r="L32" i="52"/>
  <c r="H257" i="50"/>
  <c r="I141" i="50"/>
  <c r="G97" i="51"/>
  <c r="G103" i="51" s="1"/>
  <c r="I258" i="51"/>
  <c r="E67" i="50"/>
  <c r="H258" i="51"/>
  <c r="P142" i="54"/>
  <c r="P127" i="54"/>
  <c r="J122" i="54"/>
  <c r="P69" i="54"/>
  <c r="J39" i="54"/>
  <c r="J25" i="54"/>
  <c r="J23" i="54"/>
  <c r="R23" i="54" s="1"/>
  <c r="X23" i="54" s="1"/>
  <c r="AF23" i="54" s="1"/>
  <c r="P19" i="54"/>
  <c r="G243" i="51"/>
  <c r="G249" i="51" s="1"/>
  <c r="I97" i="51"/>
  <c r="I103" i="51" s="1"/>
  <c r="O127" i="53"/>
  <c r="T172" i="54"/>
  <c r="P169" i="54"/>
  <c r="R169" i="54" s="1"/>
  <c r="X169" i="54" s="1"/>
  <c r="AF169" i="54" s="1"/>
  <c r="P150" i="54"/>
  <c r="P147" i="54"/>
  <c r="R145" i="54"/>
  <c r="X145" i="54" s="1"/>
  <c r="AF145" i="54" s="1"/>
  <c r="P138" i="54"/>
  <c r="J130" i="54"/>
  <c r="J129" i="54"/>
  <c r="J104" i="54"/>
  <c r="J102" i="54"/>
  <c r="J98" i="54"/>
  <c r="J97" i="54"/>
  <c r="P85" i="54"/>
  <c r="P78" i="54"/>
  <c r="P77" i="54"/>
  <c r="J76" i="54"/>
  <c r="J71" i="54"/>
  <c r="R71" i="54" s="1"/>
  <c r="X71" i="54" s="1"/>
  <c r="AF71" i="54" s="1"/>
  <c r="P56" i="54"/>
  <c r="P55" i="54"/>
  <c r="P54" i="54"/>
  <c r="P52" i="54"/>
  <c r="P50" i="54"/>
  <c r="P48" i="54"/>
  <c r="J45" i="54"/>
  <c r="J43" i="54"/>
  <c r="R43" i="54" s="1"/>
  <c r="X43" i="54" s="1"/>
  <c r="AF43" i="54" s="1"/>
  <c r="P31" i="54"/>
  <c r="P30" i="54"/>
  <c r="G70" i="51"/>
  <c r="G76" i="51" s="1"/>
  <c r="G11" i="51" s="1"/>
  <c r="L162" i="52"/>
  <c r="L163" i="52" s="1"/>
  <c r="L164" i="52" s="1"/>
  <c r="L165" i="52" s="1"/>
  <c r="L166" i="52" s="1"/>
  <c r="K129" i="53"/>
  <c r="R47" i="49"/>
  <c r="P126" i="54"/>
  <c r="R126" i="54" s="1"/>
  <c r="X126" i="54" s="1"/>
  <c r="AF126" i="54" s="1"/>
  <c r="J121" i="54"/>
  <c r="P33" i="54"/>
  <c r="J27" i="54"/>
  <c r="J22" i="54"/>
  <c r="R22" i="54" s="1"/>
  <c r="X22" i="54" s="1"/>
  <c r="AF22" i="54" s="1"/>
  <c r="P16" i="54"/>
  <c r="R16" i="54" s="1"/>
  <c r="X16" i="54" s="1"/>
  <c r="AF16" i="54" s="1"/>
  <c r="E133" i="50"/>
  <c r="H112" i="51"/>
  <c r="O158" i="49"/>
  <c r="G137" i="50"/>
  <c r="I111" i="50"/>
  <c r="H97" i="51"/>
  <c r="H103" i="51" s="1"/>
  <c r="R151" i="52"/>
  <c r="R104" i="52"/>
  <c r="P158" i="54"/>
  <c r="P155" i="54"/>
  <c r="J153" i="54"/>
  <c r="R153" i="54" s="1"/>
  <c r="X153" i="54" s="1"/>
  <c r="AF153" i="54" s="1"/>
  <c r="J151" i="54"/>
  <c r="P145" i="54"/>
  <c r="J141" i="54"/>
  <c r="R141" i="54" s="1"/>
  <c r="X141" i="54" s="1"/>
  <c r="AF141" i="54" s="1"/>
  <c r="P134" i="54"/>
  <c r="J128" i="54"/>
  <c r="J127" i="54"/>
  <c r="R127" i="54" s="1"/>
  <c r="X127" i="54" s="1"/>
  <c r="AF127" i="54" s="1"/>
  <c r="P122" i="54"/>
  <c r="J110" i="54"/>
  <c r="J87" i="54"/>
  <c r="P84" i="54"/>
  <c r="J33" i="54"/>
  <c r="P28" i="54"/>
  <c r="P27" i="54"/>
  <c r="P26" i="54"/>
  <c r="P25" i="54"/>
  <c r="P24" i="54"/>
  <c r="P23" i="54"/>
  <c r="P22" i="54"/>
  <c r="P21" i="54"/>
  <c r="R21" i="54" s="1"/>
  <c r="X21" i="54" s="1"/>
  <c r="AF21" i="54" s="1"/>
  <c r="J19" i="54"/>
  <c r="J18" i="54"/>
  <c r="J12" i="54"/>
  <c r="F70" i="50"/>
  <c r="F76" i="50" s="1"/>
  <c r="F11" i="50" s="1"/>
  <c r="H243" i="50"/>
  <c r="I182" i="51"/>
  <c r="I183" i="51" s="1"/>
  <c r="H257" i="51"/>
  <c r="H259" i="51" s="1"/>
  <c r="H70" i="51"/>
  <c r="H76" i="51" s="1"/>
  <c r="H11" i="51" s="1"/>
  <c r="R135" i="49"/>
  <c r="Q125" i="49"/>
  <c r="R69" i="49"/>
  <c r="R71" i="49" s="1"/>
  <c r="G243" i="50"/>
  <c r="G249" i="50" s="1"/>
  <c r="H111" i="50"/>
  <c r="E313" i="51"/>
  <c r="M129" i="53"/>
  <c r="Q57" i="53"/>
  <c r="Q59" i="53" s="1"/>
  <c r="P164" i="54"/>
  <c r="R164" i="54" s="1"/>
  <c r="X164" i="54" s="1"/>
  <c r="AF164" i="54" s="1"/>
  <c r="P156" i="54"/>
  <c r="P148" i="54"/>
  <c r="P140" i="54"/>
  <c r="P137" i="54"/>
  <c r="R137" i="54" s="1"/>
  <c r="X137" i="54" s="1"/>
  <c r="AF137" i="54" s="1"/>
  <c r="J135" i="54"/>
  <c r="P132" i="54"/>
  <c r="J88" i="54"/>
  <c r="P82" i="54"/>
  <c r="R82" i="54" s="1"/>
  <c r="X82" i="54" s="1"/>
  <c r="AF82" i="54" s="1"/>
  <c r="P81" i="54"/>
  <c r="J80" i="54"/>
  <c r="P67" i="54"/>
  <c r="J65" i="54"/>
  <c r="R65" i="54" s="1"/>
  <c r="X65" i="54" s="1"/>
  <c r="AF65" i="54" s="1"/>
  <c r="P60" i="54"/>
  <c r="J42" i="54"/>
  <c r="P39" i="54"/>
  <c r="R39" i="54" s="1"/>
  <c r="X39" i="54" s="1"/>
  <c r="AF39" i="54" s="1"/>
  <c r="J37" i="54"/>
  <c r="R37" i="54" s="1"/>
  <c r="X37" i="54" s="1"/>
  <c r="AF37" i="54" s="1"/>
  <c r="I91" i="54"/>
  <c r="P139" i="54"/>
  <c r="P131" i="54"/>
  <c r="L69" i="49"/>
  <c r="I257" i="51"/>
  <c r="I259" i="51" s="1"/>
  <c r="R184" i="52"/>
  <c r="P167" i="54"/>
  <c r="R167" i="54" s="1"/>
  <c r="X167" i="54" s="1"/>
  <c r="AF167" i="54" s="1"/>
  <c r="P162" i="54"/>
  <c r="P159" i="54"/>
  <c r="R159" i="54" s="1"/>
  <c r="X159" i="54" s="1"/>
  <c r="AF159" i="54" s="1"/>
  <c r="P154" i="54"/>
  <c r="P151" i="54"/>
  <c r="R151" i="54" s="1"/>
  <c r="X151" i="54" s="1"/>
  <c r="AF151" i="54" s="1"/>
  <c r="P146" i="54"/>
  <c r="P143" i="54"/>
  <c r="R143" i="54" s="1"/>
  <c r="X143" i="54" s="1"/>
  <c r="AF143" i="54" s="1"/>
  <c r="P135" i="54"/>
  <c r="J118" i="54"/>
  <c r="J72" i="54"/>
  <c r="J69" i="54"/>
  <c r="P65" i="54"/>
  <c r="J63" i="54"/>
  <c r="R63" i="54" s="1"/>
  <c r="X63" i="54" s="1"/>
  <c r="AF63" i="54" s="1"/>
  <c r="P58" i="54"/>
  <c r="J44" i="54"/>
  <c r="P26" i="49"/>
  <c r="O59" i="49"/>
  <c r="F110" i="50"/>
  <c r="F112" i="50" s="1"/>
  <c r="G112" i="51"/>
  <c r="E66" i="51"/>
  <c r="Q207" i="52"/>
  <c r="P168" i="54"/>
  <c r="P165" i="54"/>
  <c r="R165" i="54" s="1"/>
  <c r="X165" i="54" s="1"/>
  <c r="AF165" i="54" s="1"/>
  <c r="J163" i="54"/>
  <c r="R163" i="54" s="1"/>
  <c r="X163" i="54" s="1"/>
  <c r="AF163" i="54" s="1"/>
  <c r="P160" i="54"/>
  <c r="P157" i="54"/>
  <c r="R157" i="54" s="1"/>
  <c r="X157" i="54" s="1"/>
  <c r="AF157" i="54" s="1"/>
  <c r="J155" i="54"/>
  <c r="R155" i="54" s="1"/>
  <c r="X155" i="54" s="1"/>
  <c r="AF155" i="54" s="1"/>
  <c r="P152" i="54"/>
  <c r="P149" i="54"/>
  <c r="J147" i="54"/>
  <c r="R147" i="54" s="1"/>
  <c r="X147" i="54" s="1"/>
  <c r="AF147" i="54" s="1"/>
  <c r="P144" i="54"/>
  <c r="P141" i="54"/>
  <c r="J139" i="54"/>
  <c r="R139" i="54" s="1"/>
  <c r="X139" i="54" s="1"/>
  <c r="AF139" i="54" s="1"/>
  <c r="P136" i="54"/>
  <c r="P133" i="54"/>
  <c r="R133" i="54" s="1"/>
  <c r="X133" i="54" s="1"/>
  <c r="AF133" i="54" s="1"/>
  <c r="J131" i="54"/>
  <c r="J124" i="54"/>
  <c r="I170" i="54"/>
  <c r="J117" i="54"/>
  <c r="J106" i="54"/>
  <c r="P90" i="54"/>
  <c r="R90" i="54" s="1"/>
  <c r="P73" i="54"/>
  <c r="J67" i="54"/>
  <c r="R67" i="54" s="1"/>
  <c r="X67" i="54" s="1"/>
  <c r="AF67" i="54" s="1"/>
  <c r="J61" i="54"/>
  <c r="J46" i="54"/>
  <c r="P41" i="54"/>
  <c r="R41" i="54" s="1"/>
  <c r="X41" i="54" s="1"/>
  <c r="AF41" i="54" s="1"/>
  <c r="J40" i="54"/>
  <c r="R40" i="54" s="1"/>
  <c r="X40" i="54" s="1"/>
  <c r="AF40" i="54" s="1"/>
  <c r="P37" i="54"/>
  <c r="J35" i="54"/>
  <c r="N37" i="49"/>
  <c r="B26" i="49"/>
  <c r="B28" i="49" s="1"/>
  <c r="B29" i="49" s="1"/>
  <c r="J30" i="49" s="1"/>
  <c r="J37" i="49"/>
  <c r="P158" i="49"/>
  <c r="R146" i="49"/>
  <c r="R147" i="49" s="1"/>
  <c r="R148" i="49" s="1"/>
  <c r="R149" i="49" s="1"/>
  <c r="R150" i="49" s="1"/>
  <c r="R151" i="49" s="1"/>
  <c r="R152" i="49" s="1"/>
  <c r="R153" i="49" s="1"/>
  <c r="R154" i="49" s="1"/>
  <c r="R155" i="49" s="1"/>
  <c r="R156" i="49" s="1"/>
  <c r="R157" i="49" s="1"/>
  <c r="R169" i="49" s="1"/>
  <c r="R170" i="49" s="1"/>
  <c r="O92" i="49"/>
  <c r="F181" i="51"/>
  <c r="F141" i="51"/>
  <c r="F147" i="51" s="1"/>
  <c r="F13" i="51" s="1"/>
  <c r="F70" i="51"/>
  <c r="F76" i="51" s="1"/>
  <c r="F11" i="51" s="1"/>
  <c r="F110" i="51"/>
  <c r="P130" i="52"/>
  <c r="O131" i="52"/>
  <c r="P140" i="52"/>
  <c r="P169" i="52"/>
  <c r="O195" i="52"/>
  <c r="P199" i="52"/>
  <c r="P205" i="52"/>
  <c r="O53" i="52"/>
  <c r="O132" i="52"/>
  <c r="P164" i="52"/>
  <c r="O165" i="52"/>
  <c r="P195" i="52"/>
  <c r="R195" i="52" s="1"/>
  <c r="O203" i="52"/>
  <c r="O172" i="52"/>
  <c r="P83" i="52"/>
  <c r="G168" i="51"/>
  <c r="G174" i="51" s="1"/>
  <c r="L197" i="52"/>
  <c r="P134" i="52"/>
  <c r="L145" i="52"/>
  <c r="P125" i="49"/>
  <c r="R113" i="49"/>
  <c r="R114" i="49" s="1"/>
  <c r="R115" i="49" s="1"/>
  <c r="R116" i="49" s="1"/>
  <c r="R117" i="49" s="1"/>
  <c r="R118" i="49" s="1"/>
  <c r="R119" i="49" s="1"/>
  <c r="R120" i="49" s="1"/>
  <c r="R121" i="49" s="1"/>
  <c r="R122" i="49" s="1"/>
  <c r="R123" i="49" s="1"/>
  <c r="R124" i="49" s="1"/>
  <c r="R136" i="49" s="1"/>
  <c r="R48" i="49"/>
  <c r="R49" i="49" s="1"/>
  <c r="R50" i="49" s="1"/>
  <c r="R51" i="49" s="1"/>
  <c r="R52" i="49" s="1"/>
  <c r="R53" i="49" s="1"/>
  <c r="R54" i="49" s="1"/>
  <c r="R55" i="49" s="1"/>
  <c r="R56" i="49" s="1"/>
  <c r="R57" i="49" s="1"/>
  <c r="R58" i="49" s="1"/>
  <c r="R70" i="49" s="1"/>
  <c r="I216" i="50"/>
  <c r="I257" i="50"/>
  <c r="I259" i="50" s="1"/>
  <c r="O205" i="52"/>
  <c r="P204" i="52"/>
  <c r="O166" i="52"/>
  <c r="P165" i="52"/>
  <c r="P136" i="52"/>
  <c r="O134" i="52"/>
  <c r="R14" i="49"/>
  <c r="R15" i="49" s="1"/>
  <c r="R16" i="49" s="1"/>
  <c r="R17" i="49" s="1"/>
  <c r="R18" i="49" s="1"/>
  <c r="R19" i="49" s="1"/>
  <c r="R20" i="49" s="1"/>
  <c r="R21" i="49" s="1"/>
  <c r="R22" i="49" s="1"/>
  <c r="R23" i="49" s="1"/>
  <c r="R24" i="49" s="1"/>
  <c r="R25" i="49" s="1"/>
  <c r="R37" i="49" s="1"/>
  <c r="Q26" i="49"/>
  <c r="F243" i="51"/>
  <c r="F249" i="51" s="1"/>
  <c r="F258" i="51"/>
  <c r="F259" i="51" s="1"/>
  <c r="O196" i="52"/>
  <c r="Q114" i="53"/>
  <c r="L129" i="52"/>
  <c r="L130" i="52" s="1"/>
  <c r="L131" i="52" s="1"/>
  <c r="L132" i="52" s="1"/>
  <c r="L133" i="52" s="1"/>
  <c r="O170" i="54"/>
  <c r="P114" i="54"/>
  <c r="I243" i="50"/>
  <c r="F97" i="50"/>
  <c r="F103" i="50" s="1"/>
  <c r="E237" i="52"/>
  <c r="O206" i="52"/>
  <c r="P171" i="52"/>
  <c r="O90" i="52"/>
  <c r="O54" i="52"/>
  <c r="O22" i="52"/>
  <c r="O16" i="52"/>
  <c r="L178" i="52"/>
  <c r="Q105" i="53"/>
  <c r="R149" i="54"/>
  <c r="X149" i="54" s="1"/>
  <c r="AF149" i="54" s="1"/>
  <c r="O17" i="53"/>
  <c r="Q17" i="53" s="1"/>
  <c r="P118" i="54"/>
  <c r="O111" i="54"/>
  <c r="P102" i="54"/>
  <c r="R102" i="54" s="1"/>
  <c r="X102" i="54" s="1"/>
  <c r="AF102" i="54" s="1"/>
  <c r="J96" i="54"/>
  <c r="R96" i="54" s="1"/>
  <c r="X96" i="54" s="1"/>
  <c r="P76" i="54"/>
  <c r="J75" i="54"/>
  <c r="J68" i="54"/>
  <c r="J64" i="54"/>
  <c r="P61" i="54"/>
  <c r="J59" i="54"/>
  <c r="P46" i="54"/>
  <c r="R46" i="54" s="1"/>
  <c r="X46" i="54" s="1"/>
  <c r="AF46" i="54" s="1"/>
  <c r="J38" i="54"/>
  <c r="J34" i="54"/>
  <c r="R34" i="54" s="1"/>
  <c r="X34" i="54" s="1"/>
  <c r="AF34" i="54" s="1"/>
  <c r="L147" i="49"/>
  <c r="L148" i="49" s="1"/>
  <c r="L149" i="49" s="1"/>
  <c r="L150" i="49" s="1"/>
  <c r="L151" i="49" s="1"/>
  <c r="L152" i="49" s="1"/>
  <c r="L153" i="49" s="1"/>
  <c r="L154" i="49" s="1"/>
  <c r="L155" i="49" s="1"/>
  <c r="L156" i="49" s="1"/>
  <c r="L157" i="49" s="1"/>
  <c r="L169" i="49" s="1"/>
  <c r="G134" i="50"/>
  <c r="G181" i="50" s="1"/>
  <c r="G183" i="50" s="1"/>
  <c r="I141" i="51"/>
  <c r="I147" i="51" s="1"/>
  <c r="I13" i="51" s="1"/>
  <c r="E68" i="51"/>
  <c r="P124" i="54"/>
  <c r="R124" i="54" s="1"/>
  <c r="X124" i="54" s="1"/>
  <c r="AF124" i="54" s="1"/>
  <c r="P106" i="54"/>
  <c r="R106" i="54" s="1"/>
  <c r="X106" i="54" s="1"/>
  <c r="AF106" i="54" s="1"/>
  <c r="P97" i="54"/>
  <c r="J86" i="54"/>
  <c r="P80" i="54"/>
  <c r="R80" i="54" s="1"/>
  <c r="X80" i="54" s="1"/>
  <c r="AF80" i="54" s="1"/>
  <c r="J79" i="54"/>
  <c r="P59" i="54"/>
  <c r="J57" i="54"/>
  <c r="P40" i="54"/>
  <c r="J29" i="54"/>
  <c r="R29" i="54" s="1"/>
  <c r="X29" i="54" s="1"/>
  <c r="AF29" i="54" s="1"/>
  <c r="J14" i="54"/>
  <c r="Q92" i="49"/>
  <c r="E68" i="50"/>
  <c r="E66" i="50"/>
  <c r="E137" i="51"/>
  <c r="E67" i="51"/>
  <c r="R217" i="52"/>
  <c r="L16" i="52"/>
  <c r="L17" i="52" s="1"/>
  <c r="L18" i="52" s="1"/>
  <c r="L19" i="52" s="1"/>
  <c r="L20" i="52" s="1"/>
  <c r="R130" i="54"/>
  <c r="X130" i="54" s="1"/>
  <c r="AF130" i="54" s="1"/>
  <c r="R129" i="54"/>
  <c r="X129" i="54" s="1"/>
  <c r="AF129" i="54" s="1"/>
  <c r="R122" i="54"/>
  <c r="X122" i="54" s="1"/>
  <c r="AF122" i="54" s="1"/>
  <c r="J120" i="54"/>
  <c r="J114" i="54"/>
  <c r="L111" i="54"/>
  <c r="P110" i="54"/>
  <c r="R110" i="54" s="1"/>
  <c r="X110" i="54" s="1"/>
  <c r="AF110" i="54" s="1"/>
  <c r="J99" i="54"/>
  <c r="P86" i="54"/>
  <c r="J83" i="54"/>
  <c r="R83" i="54" s="1"/>
  <c r="X83" i="54" s="1"/>
  <c r="AF83" i="54" s="1"/>
  <c r="R72" i="54"/>
  <c r="X72" i="54" s="1"/>
  <c r="AF72" i="54" s="1"/>
  <c r="J70" i="54"/>
  <c r="J66" i="54"/>
  <c r="P57" i="54"/>
  <c r="J55" i="54"/>
  <c r="R55" i="54" s="1"/>
  <c r="X55" i="54" s="1"/>
  <c r="AF55" i="54" s="1"/>
  <c r="P42" i="54"/>
  <c r="J36" i="54"/>
  <c r="J32" i="54"/>
  <c r="P29" i="54"/>
  <c r="J20" i="54"/>
  <c r="P128" i="54"/>
  <c r="R128" i="54" s="1"/>
  <c r="X128" i="54" s="1"/>
  <c r="AF128" i="54" s="1"/>
  <c r="P120" i="54"/>
  <c r="R120" i="54" s="1"/>
  <c r="X120" i="54" s="1"/>
  <c r="AF120" i="54" s="1"/>
  <c r="J101" i="54"/>
  <c r="R101" i="54" s="1"/>
  <c r="X101" i="54" s="1"/>
  <c r="P99" i="54"/>
  <c r="P96" i="54"/>
  <c r="J95" i="54"/>
  <c r="P88" i="54"/>
  <c r="J82" i="54"/>
  <c r="P79" i="54"/>
  <c r="J78" i="54"/>
  <c r="R78" i="54" s="1"/>
  <c r="X78" i="54" s="1"/>
  <c r="AF78" i="54" s="1"/>
  <c r="P75" i="54"/>
  <c r="J74" i="54"/>
  <c r="P70" i="54"/>
  <c r="P68" i="54"/>
  <c r="P66" i="54"/>
  <c r="P64" i="54"/>
  <c r="J62" i="54"/>
  <c r="R62" i="54" s="1"/>
  <c r="X62" i="54" s="1"/>
  <c r="AF62" i="54" s="1"/>
  <c r="J60" i="54"/>
  <c r="R60" i="54" s="1"/>
  <c r="X60" i="54" s="1"/>
  <c r="AF60" i="54" s="1"/>
  <c r="J58" i="54"/>
  <c r="J56" i="54"/>
  <c r="R56" i="54" s="1"/>
  <c r="X56" i="54" s="1"/>
  <c r="AF56" i="54" s="1"/>
  <c r="P38" i="54"/>
  <c r="P36" i="54"/>
  <c r="R36" i="54" s="1"/>
  <c r="X36" i="54" s="1"/>
  <c r="AF36" i="54" s="1"/>
  <c r="P34" i="54"/>
  <c r="P32" i="54"/>
  <c r="J30" i="54"/>
  <c r="R30" i="54" s="1"/>
  <c r="X30" i="54" s="1"/>
  <c r="AF30" i="54" s="1"/>
  <c r="P20" i="54"/>
  <c r="P18" i="54"/>
  <c r="R18" i="54" s="1"/>
  <c r="X18" i="54" s="1"/>
  <c r="P14" i="54"/>
  <c r="J168" i="54"/>
  <c r="R168" i="54" s="1"/>
  <c r="X168" i="54" s="1"/>
  <c r="AF168" i="54" s="1"/>
  <c r="J166" i="54"/>
  <c r="R166" i="54" s="1"/>
  <c r="X166" i="54" s="1"/>
  <c r="AF166" i="54" s="1"/>
  <c r="J164" i="54"/>
  <c r="J162" i="54"/>
  <c r="J160" i="54"/>
  <c r="R160" i="54" s="1"/>
  <c r="X160" i="54" s="1"/>
  <c r="AF160" i="54" s="1"/>
  <c r="J158" i="54"/>
  <c r="R158" i="54" s="1"/>
  <c r="X158" i="54" s="1"/>
  <c r="AF158" i="54" s="1"/>
  <c r="J156" i="54"/>
  <c r="J154" i="54"/>
  <c r="J152" i="54"/>
  <c r="R152" i="54" s="1"/>
  <c r="X152" i="54" s="1"/>
  <c r="AF152" i="54" s="1"/>
  <c r="J150" i="54"/>
  <c r="J148" i="54"/>
  <c r="J146" i="54"/>
  <c r="J144" i="54"/>
  <c r="J142" i="54"/>
  <c r="R142" i="54" s="1"/>
  <c r="X142" i="54" s="1"/>
  <c r="AF142" i="54" s="1"/>
  <c r="J140" i="54"/>
  <c r="J138" i="54"/>
  <c r="J136" i="54"/>
  <c r="R136" i="54" s="1"/>
  <c r="X136" i="54" s="1"/>
  <c r="AF136" i="54" s="1"/>
  <c r="J134" i="54"/>
  <c r="R134" i="54" s="1"/>
  <c r="X134" i="54" s="1"/>
  <c r="AF134" i="54" s="1"/>
  <c r="J132" i="54"/>
  <c r="J125" i="54"/>
  <c r="P116" i="54"/>
  <c r="R116" i="54" s="1"/>
  <c r="X116" i="54" s="1"/>
  <c r="AF116" i="54" s="1"/>
  <c r="F172" i="54"/>
  <c r="P108" i="54"/>
  <c r="R108" i="54" s="1"/>
  <c r="X108" i="54" s="1"/>
  <c r="AF108" i="54" s="1"/>
  <c r="P104" i="54"/>
  <c r="P98" i="54"/>
  <c r="R98" i="54" s="1"/>
  <c r="X98" i="54" s="1"/>
  <c r="AF98" i="54" s="1"/>
  <c r="J89" i="54"/>
  <c r="P87" i="54"/>
  <c r="R87" i="54" s="1"/>
  <c r="J85" i="54"/>
  <c r="J81" i="54"/>
  <c r="R81" i="54" s="1"/>
  <c r="X81" i="54" s="1"/>
  <c r="AF81" i="54" s="1"/>
  <c r="J77" i="54"/>
  <c r="R77" i="54" s="1"/>
  <c r="X77" i="54" s="1"/>
  <c r="AF77" i="54" s="1"/>
  <c r="J73" i="54"/>
  <c r="J54" i="54"/>
  <c r="J52" i="54"/>
  <c r="R52" i="54" s="1"/>
  <c r="X52" i="54" s="1"/>
  <c r="AF52" i="54" s="1"/>
  <c r="J50" i="54"/>
  <c r="R50" i="54" s="1"/>
  <c r="X50" i="54" s="1"/>
  <c r="AF50" i="54" s="1"/>
  <c r="J48" i="54"/>
  <c r="R48" i="54" s="1"/>
  <c r="X48" i="54" s="1"/>
  <c r="AF48" i="54" s="1"/>
  <c r="J28" i="54"/>
  <c r="R28" i="54" s="1"/>
  <c r="X28" i="54" s="1"/>
  <c r="AF28" i="54" s="1"/>
  <c r="J26" i="54"/>
  <c r="L15" i="49"/>
  <c r="L16" i="49" s="1"/>
  <c r="L17" i="49" s="1"/>
  <c r="L18" i="49" s="1"/>
  <c r="L19" i="49" s="1"/>
  <c r="L20" i="49" s="1"/>
  <c r="L21" i="49" s="1"/>
  <c r="L22" i="49" s="1"/>
  <c r="L23" i="49" s="1"/>
  <c r="L24" i="49" s="1"/>
  <c r="L25" i="49" s="1"/>
  <c r="L37" i="49" s="1"/>
  <c r="L14" i="49"/>
  <c r="K26" i="49"/>
  <c r="L113" i="49"/>
  <c r="L114" i="49" s="1"/>
  <c r="L115" i="49" s="1"/>
  <c r="L116" i="49" s="1"/>
  <c r="L117" i="49" s="1"/>
  <c r="L118" i="49" s="1"/>
  <c r="L119" i="49" s="1"/>
  <c r="L120" i="49" s="1"/>
  <c r="L121" i="49" s="1"/>
  <c r="L122" i="49" s="1"/>
  <c r="L123" i="49" s="1"/>
  <c r="L124" i="49" s="1"/>
  <c r="L136" i="49" s="1"/>
  <c r="K125" i="49"/>
  <c r="R137" i="49"/>
  <c r="P59" i="49"/>
  <c r="F15" i="50"/>
  <c r="K92" i="49"/>
  <c r="F183" i="50"/>
  <c r="E129" i="51"/>
  <c r="E134" i="51" s="1"/>
  <c r="H134" i="51"/>
  <c r="G97" i="50"/>
  <c r="G103" i="50" s="1"/>
  <c r="G111" i="50"/>
  <c r="E111" i="50" s="1"/>
  <c r="E136" i="51"/>
  <c r="Q59" i="49"/>
  <c r="Q158" i="49"/>
  <c r="E138" i="50"/>
  <c r="E137" i="50"/>
  <c r="I70" i="50"/>
  <c r="E63" i="50"/>
  <c r="E209" i="51"/>
  <c r="E216" i="51" s="1"/>
  <c r="H205" i="52"/>
  <c r="K205" i="52" s="1"/>
  <c r="F204" i="52"/>
  <c r="R130" i="52"/>
  <c r="L82" i="52"/>
  <c r="L83" i="52" s="1"/>
  <c r="L84" i="52" s="1"/>
  <c r="L85" i="52" s="1"/>
  <c r="L86" i="52" s="1"/>
  <c r="R80" i="49"/>
  <c r="R81" i="49" s="1"/>
  <c r="R82" i="49" s="1"/>
  <c r="R83" i="49" s="1"/>
  <c r="R84" i="49" s="1"/>
  <c r="R85" i="49" s="1"/>
  <c r="R86" i="49" s="1"/>
  <c r="R87" i="49" s="1"/>
  <c r="R88" i="49" s="1"/>
  <c r="R89" i="49" s="1"/>
  <c r="R90" i="49" s="1"/>
  <c r="R91" i="49" s="1"/>
  <c r="R103" i="49" s="1"/>
  <c r="R104" i="49" s="1"/>
  <c r="P92" i="49"/>
  <c r="L48" i="49"/>
  <c r="L49" i="49" s="1"/>
  <c r="L50" i="49" s="1"/>
  <c r="L51" i="49" s="1"/>
  <c r="L52" i="49" s="1"/>
  <c r="L53" i="49" s="1"/>
  <c r="L54" i="49" s="1"/>
  <c r="L55" i="49" s="1"/>
  <c r="L56" i="49" s="1"/>
  <c r="L57" i="49" s="1"/>
  <c r="L58" i="49" s="1"/>
  <c r="L70" i="49" s="1"/>
  <c r="K59" i="49"/>
  <c r="O26" i="49"/>
  <c r="D26" i="49"/>
  <c r="F243" i="50"/>
  <c r="F249" i="50" s="1"/>
  <c r="F258" i="50"/>
  <c r="E258" i="50" s="1"/>
  <c r="G216" i="50"/>
  <c r="G222" i="50" s="1"/>
  <c r="G14" i="50" s="1"/>
  <c r="G257" i="50"/>
  <c r="E209" i="50"/>
  <c r="E216" i="50" s="1"/>
  <c r="H134" i="50"/>
  <c r="E129" i="50"/>
  <c r="H70" i="50"/>
  <c r="H110" i="50"/>
  <c r="H112" i="50" s="1"/>
  <c r="E63" i="51"/>
  <c r="K52" i="52"/>
  <c r="Q52" i="52"/>
  <c r="Q124" i="53"/>
  <c r="K158" i="49"/>
  <c r="O125" i="49"/>
  <c r="R36" i="49"/>
  <c r="H259" i="50"/>
  <c r="I182" i="50"/>
  <c r="I183" i="50" s="1"/>
  <c r="F141" i="50"/>
  <c r="F147" i="50" s="1"/>
  <c r="I112" i="50"/>
  <c r="G70" i="50"/>
  <c r="G76" i="50" s="1"/>
  <c r="G11" i="50" s="1"/>
  <c r="F15" i="51"/>
  <c r="E15" i="51" s="1"/>
  <c r="L160" i="49" s="1"/>
  <c r="L162" i="49" s="1"/>
  <c r="E293" i="51"/>
  <c r="F216" i="51"/>
  <c r="F222" i="51" s="1"/>
  <c r="G216" i="51"/>
  <c r="G222" i="51" s="1"/>
  <c r="G14" i="51" s="1"/>
  <c r="G257" i="51"/>
  <c r="G259" i="51" s="1"/>
  <c r="F168" i="51"/>
  <c r="F174" i="51" s="1"/>
  <c r="F182" i="51"/>
  <c r="F111" i="51"/>
  <c r="E111" i="51" s="1"/>
  <c r="L198" i="52"/>
  <c r="L199" i="52" s="1"/>
  <c r="Q174" i="52"/>
  <c r="G183" i="51"/>
  <c r="H168" i="51"/>
  <c r="H174" i="51" s="1"/>
  <c r="L78" i="49" s="1"/>
  <c r="L80" i="49" s="1"/>
  <c r="H182" i="51"/>
  <c r="I70" i="51"/>
  <c r="I76" i="51" s="1"/>
  <c r="I11" i="51" s="1"/>
  <c r="P16" i="52"/>
  <c r="O17" i="52"/>
  <c r="P20" i="52"/>
  <c r="P22" i="52"/>
  <c r="P24" i="52"/>
  <c r="P26" i="52"/>
  <c r="O27" i="52"/>
  <c r="P49" i="52"/>
  <c r="P51" i="52"/>
  <c r="P53" i="52"/>
  <c r="O56" i="52"/>
  <c r="P57" i="52"/>
  <c r="P60" i="52"/>
  <c r="P84" i="52"/>
  <c r="O85" i="52"/>
  <c r="P87" i="52"/>
  <c r="P17" i="52"/>
  <c r="R17" i="52" s="1"/>
  <c r="O18" i="52"/>
  <c r="O21" i="52"/>
  <c r="O23" i="52"/>
  <c r="O25" i="52"/>
  <c r="P27" i="52"/>
  <c r="O50" i="52"/>
  <c r="O52" i="52"/>
  <c r="O55" i="52"/>
  <c r="P56" i="52"/>
  <c r="O59" i="52"/>
  <c r="O82" i="52"/>
  <c r="P85" i="52"/>
  <c r="O86" i="52"/>
  <c r="O88" i="52"/>
  <c r="P19" i="52"/>
  <c r="P23" i="52"/>
  <c r="O26" i="52"/>
  <c r="P54" i="52"/>
  <c r="O57" i="52"/>
  <c r="O60" i="52"/>
  <c r="O84" i="52"/>
  <c r="O87" i="52"/>
  <c r="P90" i="52"/>
  <c r="P92" i="52"/>
  <c r="O93" i="52"/>
  <c r="O129" i="52"/>
  <c r="P132" i="52"/>
  <c r="O133" i="52"/>
  <c r="O135" i="52"/>
  <c r="O137" i="52"/>
  <c r="O139" i="52"/>
  <c r="P162" i="52"/>
  <c r="O163" i="52"/>
  <c r="P166" i="52"/>
  <c r="P168" i="52"/>
  <c r="P170" i="52"/>
  <c r="P172" i="52"/>
  <c r="O173" i="52"/>
  <c r="P196" i="52"/>
  <c r="O197" i="52"/>
  <c r="O200" i="52"/>
  <c r="O202" i="52"/>
  <c r="O204" i="52"/>
  <c r="P206" i="52"/>
  <c r="P21" i="52"/>
  <c r="O24" i="52"/>
  <c r="P52" i="52"/>
  <c r="P55" i="52"/>
  <c r="O58" i="52"/>
  <c r="P82" i="52"/>
  <c r="O83" i="52"/>
  <c r="O91" i="52"/>
  <c r="P93" i="52"/>
  <c r="P129" i="52"/>
  <c r="O130" i="52"/>
  <c r="P133" i="52"/>
  <c r="P135" i="52"/>
  <c r="P137" i="52"/>
  <c r="P139" i="52"/>
  <c r="O140" i="52"/>
  <c r="P163" i="52"/>
  <c r="O164" i="52"/>
  <c r="O167" i="52"/>
  <c r="O169" i="52"/>
  <c r="O171" i="52"/>
  <c r="P173" i="52"/>
  <c r="P197" i="52"/>
  <c r="O198" i="52"/>
  <c r="P200" i="52"/>
  <c r="P202" i="52"/>
  <c r="P201" i="52"/>
  <c r="O199" i="52"/>
  <c r="P198" i="52"/>
  <c r="O168" i="52"/>
  <c r="O162" i="52"/>
  <c r="P138" i="52"/>
  <c r="O136" i="52"/>
  <c r="O92" i="52"/>
  <c r="P89" i="52"/>
  <c r="P59" i="52"/>
  <c r="P58" i="52"/>
  <c r="O51" i="52"/>
  <c r="O49" i="52"/>
  <c r="O19" i="52"/>
  <c r="P18" i="52"/>
  <c r="Q141" i="52"/>
  <c r="F91" i="52"/>
  <c r="H92" i="52"/>
  <c r="K92" i="52" s="1"/>
  <c r="Q113" i="53"/>
  <c r="O118" i="53"/>
  <c r="G141" i="51"/>
  <c r="G147" i="51" s="1"/>
  <c r="I110" i="51"/>
  <c r="I112" i="51" s="1"/>
  <c r="P203" i="52"/>
  <c r="O201" i="52"/>
  <c r="F171" i="52"/>
  <c r="H172" i="52"/>
  <c r="K172" i="52" s="1"/>
  <c r="O170" i="52"/>
  <c r="P167" i="52"/>
  <c r="F138" i="52"/>
  <c r="H139" i="52"/>
  <c r="K139" i="52" s="1"/>
  <c r="O138" i="52"/>
  <c r="P131" i="52"/>
  <c r="P91" i="52"/>
  <c r="O89" i="52"/>
  <c r="P88" i="52"/>
  <c r="P86" i="52"/>
  <c r="Q94" i="52"/>
  <c r="R71" i="52"/>
  <c r="P50" i="52"/>
  <c r="P25" i="52"/>
  <c r="O20" i="52"/>
  <c r="Q28" i="52"/>
  <c r="B17" i="52"/>
  <c r="B18" i="52" s="1"/>
  <c r="B19" i="52" s="1"/>
  <c r="B20" i="52" s="1"/>
  <c r="B21" i="52" s="1"/>
  <c r="B22" i="52" s="1"/>
  <c r="B23" i="52" s="1"/>
  <c r="B24" i="52" s="1"/>
  <c r="B25" i="52" s="1"/>
  <c r="B26" i="52" s="1"/>
  <c r="B27" i="52" s="1"/>
  <c r="Q125" i="53"/>
  <c r="F25" i="52"/>
  <c r="H26" i="52"/>
  <c r="K26" i="52" s="1"/>
  <c r="F58" i="52"/>
  <c r="H59" i="52"/>
  <c r="Q106" i="53"/>
  <c r="R162" i="54"/>
  <c r="X162" i="54" s="1"/>
  <c r="AF162" i="54" s="1"/>
  <c r="R156" i="54"/>
  <c r="X156" i="54" s="1"/>
  <c r="AF156" i="54" s="1"/>
  <c r="R154" i="54"/>
  <c r="X154" i="54" s="1"/>
  <c r="AF154" i="54" s="1"/>
  <c r="R150" i="54"/>
  <c r="X150" i="54" s="1"/>
  <c r="AF150" i="54" s="1"/>
  <c r="R148" i="54"/>
  <c r="X148" i="54" s="1"/>
  <c r="AF148" i="54" s="1"/>
  <c r="R146" i="54"/>
  <c r="X146" i="54" s="1"/>
  <c r="AF146" i="54" s="1"/>
  <c r="R140" i="54"/>
  <c r="X140" i="54" s="1"/>
  <c r="AF140" i="54" s="1"/>
  <c r="R138" i="54"/>
  <c r="X138" i="54" s="1"/>
  <c r="AF138" i="54" s="1"/>
  <c r="R132" i="54"/>
  <c r="X132" i="54" s="1"/>
  <c r="AF132" i="54" s="1"/>
  <c r="V87" i="54"/>
  <c r="X87" i="54" s="1"/>
  <c r="AF87" i="54" s="1"/>
  <c r="V90" i="54"/>
  <c r="X90" i="54" s="1"/>
  <c r="AF90" i="54" s="1"/>
  <c r="O91" i="54"/>
  <c r="R57" i="54"/>
  <c r="X57" i="54" s="1"/>
  <c r="AF57" i="54" s="1"/>
  <c r="J24" i="54"/>
  <c r="R24" i="54" s="1"/>
  <c r="X24" i="54" s="1"/>
  <c r="AF24" i="54" s="1"/>
  <c r="G91" i="54"/>
  <c r="M12" i="54"/>
  <c r="L91" i="54"/>
  <c r="P125" i="54"/>
  <c r="R125" i="54" s="1"/>
  <c r="X125" i="54" s="1"/>
  <c r="AF125" i="54" s="1"/>
  <c r="P121" i="54"/>
  <c r="P117" i="54"/>
  <c r="J109" i="54"/>
  <c r="R109" i="54" s="1"/>
  <c r="X109" i="54" s="1"/>
  <c r="AF109" i="54" s="1"/>
  <c r="J107" i="54"/>
  <c r="J105" i="54"/>
  <c r="J103" i="54"/>
  <c r="R100" i="54"/>
  <c r="X100" i="54" s="1"/>
  <c r="AF100" i="54" s="1"/>
  <c r="P89" i="54"/>
  <c r="R49" i="54"/>
  <c r="X49" i="54" s="1"/>
  <c r="AF49" i="54" s="1"/>
  <c r="R25" i="54"/>
  <c r="X25" i="54" s="1"/>
  <c r="AF25" i="54" s="1"/>
  <c r="M170" i="54"/>
  <c r="J123" i="54"/>
  <c r="J119" i="54"/>
  <c r="J115" i="54"/>
  <c r="P109" i="54"/>
  <c r="P107" i="54"/>
  <c r="P105" i="54"/>
  <c r="P103" i="54"/>
  <c r="I111" i="54"/>
  <c r="M111" i="54"/>
  <c r="P95" i="54"/>
  <c r="R86" i="54"/>
  <c r="L170" i="54"/>
  <c r="G170" i="54"/>
  <c r="P123" i="54"/>
  <c r="P119" i="54"/>
  <c r="P115" i="54"/>
  <c r="G111" i="54"/>
  <c r="R84" i="54"/>
  <c r="X84" i="54" s="1"/>
  <c r="AF84" i="54" s="1"/>
  <c r="R74" i="54"/>
  <c r="X74" i="54" s="1"/>
  <c r="AF74" i="54" s="1"/>
  <c r="R33" i="54"/>
  <c r="X33" i="54" s="1"/>
  <c r="AF33" i="54" s="1"/>
  <c r="R47" i="54"/>
  <c r="X47" i="54" s="1"/>
  <c r="AF47" i="54" s="1"/>
  <c r="R31" i="54"/>
  <c r="X31" i="54" s="1"/>
  <c r="AF31" i="54" s="1"/>
  <c r="J17" i="54"/>
  <c r="J15" i="54"/>
  <c r="J13" i="54"/>
  <c r="R69" i="54"/>
  <c r="X69" i="54" s="1"/>
  <c r="AF69" i="54" s="1"/>
  <c r="R61" i="54"/>
  <c r="X61" i="54" s="1"/>
  <c r="AF61" i="54" s="1"/>
  <c r="R53" i="54"/>
  <c r="X53" i="54" s="1"/>
  <c r="AF53" i="54" s="1"/>
  <c r="R45" i="54"/>
  <c r="X45" i="54" s="1"/>
  <c r="AF45" i="54" s="1"/>
  <c r="R44" i="54"/>
  <c r="X44" i="54" s="1"/>
  <c r="AF44" i="54" s="1"/>
  <c r="P17" i="54"/>
  <c r="P15" i="54"/>
  <c r="P13" i="54"/>
  <c r="R66" i="54"/>
  <c r="X66" i="54" s="1"/>
  <c r="AF66" i="54" s="1"/>
  <c r="R58" i="54"/>
  <c r="X58" i="54" s="1"/>
  <c r="AF58" i="54" s="1"/>
  <c r="R51" i="54"/>
  <c r="X51" i="54" s="1"/>
  <c r="AF51" i="54" s="1"/>
  <c r="R42" i="54"/>
  <c r="X42" i="54" s="1"/>
  <c r="AF42" i="54" s="1"/>
  <c r="R35" i="54"/>
  <c r="X35" i="54" s="1"/>
  <c r="AF35" i="54" s="1"/>
  <c r="R27" i="54"/>
  <c r="X27" i="54" s="1"/>
  <c r="AF27" i="54" s="1"/>
  <c r="R26" i="54"/>
  <c r="X26" i="54" s="1"/>
  <c r="AF26" i="54" s="1"/>
  <c r="R19" i="54"/>
  <c r="X19" i="54" s="1"/>
  <c r="AF19" i="54" s="1"/>
  <c r="E134" i="50" l="1"/>
  <c r="E103" i="51"/>
  <c r="O71" i="53"/>
  <c r="Q71" i="53" s="1"/>
  <c r="Q109" i="53"/>
  <c r="Q118" i="53"/>
  <c r="E249" i="51"/>
  <c r="I17" i="51"/>
  <c r="R117" i="54"/>
  <c r="X117" i="54" s="1"/>
  <c r="AF117" i="54" s="1"/>
  <c r="R144" i="54"/>
  <c r="X144" i="54" s="1"/>
  <c r="AF144" i="54" s="1"/>
  <c r="R121" i="54"/>
  <c r="X121" i="54" s="1"/>
  <c r="AF121" i="54" s="1"/>
  <c r="O129" i="53"/>
  <c r="L71" i="49"/>
  <c r="H87" i="1" s="1"/>
  <c r="R54" i="54"/>
  <c r="X54" i="54" s="1"/>
  <c r="AF54" i="54" s="1"/>
  <c r="R85" i="54"/>
  <c r="X85" i="54" s="1"/>
  <c r="AF85" i="54" s="1"/>
  <c r="K34" i="53" s="1"/>
  <c r="R104" i="54"/>
  <c r="X104" i="54" s="1"/>
  <c r="AF104" i="54" s="1"/>
  <c r="R76" i="54"/>
  <c r="X76" i="54" s="1"/>
  <c r="AF76" i="54" s="1"/>
  <c r="I172" i="54"/>
  <c r="L182" i="52"/>
  <c r="L184" i="52" s="1"/>
  <c r="R59" i="54"/>
  <c r="X59" i="54" s="1"/>
  <c r="AF59" i="54" s="1"/>
  <c r="R97" i="54"/>
  <c r="X97" i="54" s="1"/>
  <c r="AF97" i="54" s="1"/>
  <c r="R64" i="54"/>
  <c r="X64" i="54" s="1"/>
  <c r="AF64" i="54" s="1"/>
  <c r="R118" i="54"/>
  <c r="X118" i="54" s="1"/>
  <c r="AF118" i="54" s="1"/>
  <c r="E70" i="51"/>
  <c r="E258" i="51"/>
  <c r="R38" i="49"/>
  <c r="R73" i="54"/>
  <c r="X73" i="54" s="1"/>
  <c r="AF73" i="54" s="1"/>
  <c r="R88" i="54"/>
  <c r="F183" i="51"/>
  <c r="R131" i="54"/>
  <c r="X131" i="54" s="1"/>
  <c r="AF131" i="54" s="1"/>
  <c r="R135" i="54"/>
  <c r="X135" i="54" s="1"/>
  <c r="AF135" i="54" s="1"/>
  <c r="R107" i="54"/>
  <c r="X107" i="54" s="1"/>
  <c r="AF107" i="54" s="1"/>
  <c r="Q127" i="53"/>
  <c r="R68" i="54"/>
  <c r="X68" i="54" s="1"/>
  <c r="AF68" i="54" s="1"/>
  <c r="V88" i="54"/>
  <c r="X88" i="54" s="1"/>
  <c r="AF88" i="54" s="1"/>
  <c r="P111" i="54"/>
  <c r="L172" i="54"/>
  <c r="K145" i="53"/>
  <c r="G141" i="50"/>
  <c r="G147" i="50" s="1"/>
  <c r="G13" i="50" s="1"/>
  <c r="G17" i="50" s="1"/>
  <c r="R32" i="54"/>
  <c r="X32" i="54" s="1"/>
  <c r="AF32" i="54" s="1"/>
  <c r="R79" i="54"/>
  <c r="X79" i="54" s="1"/>
  <c r="AF79" i="54" s="1"/>
  <c r="R114" i="54"/>
  <c r="X114" i="54" s="1"/>
  <c r="P170" i="54"/>
  <c r="R89" i="54"/>
  <c r="V89" i="54" s="1"/>
  <c r="O172" i="54"/>
  <c r="O28" i="52"/>
  <c r="R14" i="54"/>
  <c r="X14" i="54" s="1"/>
  <c r="AF14" i="54" s="1"/>
  <c r="R20" i="54"/>
  <c r="X20" i="54" s="1"/>
  <c r="AF20" i="54" s="1"/>
  <c r="R75" i="54"/>
  <c r="X75" i="54" s="1"/>
  <c r="AF75" i="54" s="1"/>
  <c r="E70" i="50"/>
  <c r="R70" i="54"/>
  <c r="X70" i="54" s="1"/>
  <c r="AF70" i="54" s="1"/>
  <c r="R99" i="54"/>
  <c r="X99" i="54" s="1"/>
  <c r="AF99" i="54" s="1"/>
  <c r="R38" i="54"/>
  <c r="X38" i="54" s="1"/>
  <c r="AF38" i="54" s="1"/>
  <c r="L81" i="49"/>
  <c r="L82" i="49" s="1"/>
  <c r="L83" i="49" s="1"/>
  <c r="L84" i="49" s="1"/>
  <c r="L85" i="49" s="1"/>
  <c r="L86" i="49" s="1"/>
  <c r="L87" i="49" s="1"/>
  <c r="L88" i="49" s="1"/>
  <c r="L89" i="49" s="1"/>
  <c r="L90" i="49" s="1"/>
  <c r="L91" i="49" s="1"/>
  <c r="L103" i="49" s="1"/>
  <c r="R119" i="54"/>
  <c r="X119" i="54" s="1"/>
  <c r="AF119" i="54" s="1"/>
  <c r="H25" i="52"/>
  <c r="K25" i="52" s="1"/>
  <c r="F24" i="52"/>
  <c r="H171" i="52"/>
  <c r="K171" i="52" s="1"/>
  <c r="F170" i="52"/>
  <c r="P207" i="52"/>
  <c r="O94" i="52"/>
  <c r="Q56" i="52"/>
  <c r="E76" i="51"/>
  <c r="R123" i="54"/>
  <c r="X123" i="54" s="1"/>
  <c r="AF123" i="54" s="1"/>
  <c r="B28" i="52"/>
  <c r="B30" i="52" s="1"/>
  <c r="N39" i="52"/>
  <c r="J39" i="52"/>
  <c r="P141" i="52"/>
  <c r="R82" i="52"/>
  <c r="R83" i="52" s="1"/>
  <c r="R84" i="52" s="1"/>
  <c r="R85" i="52" s="1"/>
  <c r="R86" i="52" s="1"/>
  <c r="R87" i="52" s="1"/>
  <c r="R88" i="52" s="1"/>
  <c r="R89" i="52" s="1"/>
  <c r="R90" i="52" s="1"/>
  <c r="R91" i="52" s="1"/>
  <c r="R92" i="52" s="1"/>
  <c r="R93" i="52" s="1"/>
  <c r="R105" i="52" s="1"/>
  <c r="R106" i="52" s="1"/>
  <c r="N115" i="52" s="1"/>
  <c r="P94" i="52"/>
  <c r="O141" i="52"/>
  <c r="Q59" i="52"/>
  <c r="K59" i="52"/>
  <c r="K60" i="52"/>
  <c r="Q60" i="52"/>
  <c r="K49" i="52"/>
  <c r="Q49" i="52"/>
  <c r="R49" i="52" s="1"/>
  <c r="J61" i="52"/>
  <c r="E110" i="51"/>
  <c r="E112" i="51" s="1"/>
  <c r="E110" i="50"/>
  <c r="E112" i="50" s="1"/>
  <c r="G259" i="50"/>
  <c r="E257" i="50"/>
  <c r="E259" i="50" s="1"/>
  <c r="R196" i="52"/>
  <c r="R197" i="52" s="1"/>
  <c r="R198" i="52" s="1"/>
  <c r="R199" i="52" s="1"/>
  <c r="R200" i="52" s="1"/>
  <c r="R201" i="52" s="1"/>
  <c r="R202" i="52" s="1"/>
  <c r="R203" i="52" s="1"/>
  <c r="R204" i="52" s="1"/>
  <c r="R205" i="52" s="1"/>
  <c r="R206" i="52" s="1"/>
  <c r="R218" i="52" s="1"/>
  <c r="R219" i="52" s="1"/>
  <c r="N228" i="52" s="1"/>
  <c r="L59" i="49"/>
  <c r="E11" i="51"/>
  <c r="G112" i="50"/>
  <c r="E182" i="50"/>
  <c r="R13" i="54"/>
  <c r="X13" i="54" s="1"/>
  <c r="AF13" i="54" s="1"/>
  <c r="J91" i="54"/>
  <c r="R15" i="54"/>
  <c r="X15" i="54" s="1"/>
  <c r="AF15" i="54" s="1"/>
  <c r="V86" i="54"/>
  <c r="X86" i="54" s="1"/>
  <c r="AF86" i="54" s="1"/>
  <c r="R95" i="54"/>
  <c r="R103" i="54"/>
  <c r="X103" i="54" s="1"/>
  <c r="AF103" i="54" s="1"/>
  <c r="J111" i="54"/>
  <c r="P12" i="54"/>
  <c r="M91" i="54"/>
  <c r="M172" i="54" s="1"/>
  <c r="Q142" i="53"/>
  <c r="L211" i="52"/>
  <c r="L215" i="52"/>
  <c r="Q141" i="53"/>
  <c r="M145" i="53"/>
  <c r="D28" i="52"/>
  <c r="G13" i="51"/>
  <c r="F90" i="52"/>
  <c r="H91" i="52"/>
  <c r="K91" i="52" s="1"/>
  <c r="O61" i="52"/>
  <c r="O174" i="52"/>
  <c r="Q58" i="52"/>
  <c r="Q57" i="52"/>
  <c r="E182" i="51"/>
  <c r="F14" i="51"/>
  <c r="E14" i="51" s="1"/>
  <c r="L127" i="49" s="1"/>
  <c r="L129" i="49" s="1"/>
  <c r="E222" i="51"/>
  <c r="F112" i="51"/>
  <c r="E141" i="50"/>
  <c r="F203" i="52"/>
  <c r="H204" i="52"/>
  <c r="K204" i="52" s="1"/>
  <c r="B30" i="49"/>
  <c r="N30" i="49"/>
  <c r="H141" i="51"/>
  <c r="H147" i="51" s="1"/>
  <c r="H13" i="51" s="1"/>
  <c r="H17" i="51" s="1"/>
  <c r="H181" i="51"/>
  <c r="F259" i="50"/>
  <c r="F137" i="52"/>
  <c r="H138" i="52"/>
  <c r="K138" i="52" s="1"/>
  <c r="P61" i="52"/>
  <c r="Q55" i="52"/>
  <c r="K51" i="52"/>
  <c r="Q51" i="52"/>
  <c r="L149" i="52"/>
  <c r="L151" i="52" s="1"/>
  <c r="E257" i="51"/>
  <c r="E259" i="51" s="1"/>
  <c r="R17" i="54"/>
  <c r="X17" i="54" s="1"/>
  <c r="AF17" i="54" s="1"/>
  <c r="R115" i="54"/>
  <c r="J170" i="54"/>
  <c r="AF96" i="54"/>
  <c r="R105" i="54"/>
  <c r="X105" i="54" s="1"/>
  <c r="AF105" i="54" s="1"/>
  <c r="G172" i="54"/>
  <c r="F57" i="52"/>
  <c r="H58" i="52"/>
  <c r="K58" i="52" s="1"/>
  <c r="Q143" i="53"/>
  <c r="O207" i="52"/>
  <c r="R162" i="52"/>
  <c r="R163" i="52" s="1"/>
  <c r="R164" i="52" s="1"/>
  <c r="R165" i="52" s="1"/>
  <c r="R166" i="52" s="1"/>
  <c r="R167" i="52" s="1"/>
  <c r="R168" i="52" s="1"/>
  <c r="R169" i="52" s="1"/>
  <c r="R170" i="52" s="1"/>
  <c r="R171" i="52" s="1"/>
  <c r="R172" i="52" s="1"/>
  <c r="R173" i="52" s="1"/>
  <c r="R185" i="52" s="1"/>
  <c r="R186" i="52" s="1"/>
  <c r="N227" i="52" s="1"/>
  <c r="P174" i="52"/>
  <c r="R18" i="52"/>
  <c r="R19" i="52" s="1"/>
  <c r="R20" i="52" s="1"/>
  <c r="R21" i="52" s="1"/>
  <c r="R22" i="52" s="1"/>
  <c r="R23" i="52" s="1"/>
  <c r="R24" i="52" s="1"/>
  <c r="R25" i="52" s="1"/>
  <c r="R26" i="52" s="1"/>
  <c r="R27" i="52" s="1"/>
  <c r="R39" i="52" s="1"/>
  <c r="R40" i="52" s="1"/>
  <c r="N113" i="52" s="1"/>
  <c r="P28" i="52"/>
  <c r="Q54" i="52"/>
  <c r="K50" i="52"/>
  <c r="Q50" i="52"/>
  <c r="K53" i="52"/>
  <c r="Q53" i="52"/>
  <c r="E174" i="51"/>
  <c r="F13" i="50"/>
  <c r="H181" i="50"/>
  <c r="H183" i="50" s="1"/>
  <c r="H141" i="50"/>
  <c r="R131" i="52"/>
  <c r="R132" i="52" s="1"/>
  <c r="R133" i="52" s="1"/>
  <c r="R134" i="52" s="1"/>
  <c r="R135" i="52" s="1"/>
  <c r="R136" i="52" s="1"/>
  <c r="R137" i="52" s="1"/>
  <c r="R138" i="52" s="1"/>
  <c r="R139" i="52" s="1"/>
  <c r="R140" i="52" s="1"/>
  <c r="R152" i="52" s="1"/>
  <c r="R153" i="52" s="1"/>
  <c r="N226" i="52" s="1"/>
  <c r="AF114" i="54"/>
  <c r="E141" i="51"/>
  <c r="Q129" i="53" l="1"/>
  <c r="L217" i="52"/>
  <c r="F17" i="51"/>
  <c r="N230" i="52"/>
  <c r="E181" i="50"/>
  <c r="E183" i="50" s="1"/>
  <c r="X177" i="54"/>
  <c r="V91" i="54"/>
  <c r="V172" i="54" s="1"/>
  <c r="X89" i="54"/>
  <c r="AF89" i="54" s="1"/>
  <c r="R50" i="52"/>
  <c r="R51" i="52" s="1"/>
  <c r="R52" i="52" s="1"/>
  <c r="R53" i="52" s="1"/>
  <c r="R54" i="52" s="1"/>
  <c r="R55" i="52" s="1"/>
  <c r="R56" i="52" s="1"/>
  <c r="R57" i="52" s="1"/>
  <c r="R58" i="52" s="1"/>
  <c r="R59" i="52" s="1"/>
  <c r="R60" i="52" s="1"/>
  <c r="R72" i="52" s="1"/>
  <c r="R73" i="52" s="1"/>
  <c r="N114" i="52" s="1"/>
  <c r="N117" i="52" s="1"/>
  <c r="E147" i="51"/>
  <c r="J172" i="54"/>
  <c r="AF177" i="54"/>
  <c r="K27" i="53"/>
  <c r="B32" i="49"/>
  <c r="R12" i="54"/>
  <c r="P91" i="54"/>
  <c r="P172" i="54" s="1"/>
  <c r="H57" i="52"/>
  <c r="K57" i="52" s="1"/>
  <c r="F56" i="52"/>
  <c r="H90" i="52"/>
  <c r="K90" i="52" s="1"/>
  <c r="F89" i="52"/>
  <c r="O145" i="53"/>
  <c r="L273" i="9" s="1"/>
  <c r="Q140" i="53"/>
  <c r="Q145" i="53" s="1"/>
  <c r="B31" i="52"/>
  <c r="B32" i="52" s="1"/>
  <c r="F136" i="52"/>
  <c r="H137" i="52"/>
  <c r="K137" i="52" s="1"/>
  <c r="H183" i="51"/>
  <c r="E181" i="51"/>
  <c r="E183" i="51" s="1"/>
  <c r="F23" i="52"/>
  <c r="H24" i="52"/>
  <c r="K24" i="52" s="1"/>
  <c r="X115" i="54"/>
  <c r="R170" i="54"/>
  <c r="F202" i="52"/>
  <c r="H203" i="52"/>
  <c r="K203" i="52" s="1"/>
  <c r="E13" i="51"/>
  <c r="L94" i="49" s="1"/>
  <c r="L96" i="49" s="1"/>
  <c r="G17" i="51"/>
  <c r="F17" i="50"/>
  <c r="Q61" i="52"/>
  <c r="R111" i="54"/>
  <c r="X95" i="54"/>
  <c r="L28" i="49"/>
  <c r="L30" i="49" s="1"/>
  <c r="L49" i="52"/>
  <c r="L50" i="52" s="1"/>
  <c r="L51" i="52" s="1"/>
  <c r="L52" i="52" s="1"/>
  <c r="L53" i="52" s="1"/>
  <c r="F169" i="52"/>
  <c r="H170" i="52"/>
  <c r="K170" i="52" s="1"/>
  <c r="J32" i="52" l="1"/>
  <c r="E17" i="51"/>
  <c r="F168" i="52"/>
  <c r="H169" i="52"/>
  <c r="K169" i="52" s="1"/>
  <c r="F201" i="52"/>
  <c r="H202" i="52"/>
  <c r="K202" i="52" s="1"/>
  <c r="F88" i="52"/>
  <c r="H89" i="52"/>
  <c r="K89" i="52" s="1"/>
  <c r="X12" i="54"/>
  <c r="R91" i="54"/>
  <c r="R172" i="54" s="1"/>
  <c r="H23" i="52"/>
  <c r="K23" i="52" s="1"/>
  <c r="F22" i="52"/>
  <c r="AF115" i="54"/>
  <c r="X170" i="54"/>
  <c r="H136" i="52"/>
  <c r="K136" i="52" s="1"/>
  <c r="F135" i="52"/>
  <c r="B34" i="52"/>
  <c r="K30" i="53"/>
  <c r="O27" i="53"/>
  <c r="AF95" i="54"/>
  <c r="X111" i="54"/>
  <c r="X175" i="54"/>
  <c r="N32" i="52"/>
  <c r="H56" i="52"/>
  <c r="K56" i="52" s="1"/>
  <c r="F55" i="52"/>
  <c r="B33" i="49"/>
  <c r="B34" i="49" s="1"/>
  <c r="N34" i="49"/>
  <c r="F134" i="52" l="1"/>
  <c r="H134" i="52" s="1"/>
  <c r="K134" i="52" s="1"/>
  <c r="H135" i="52"/>
  <c r="K135" i="52" s="1"/>
  <c r="F200" i="52"/>
  <c r="H200" i="52" s="1"/>
  <c r="K200" i="52" s="1"/>
  <c r="H201" i="52"/>
  <c r="K201" i="52" s="1"/>
  <c r="AF170" i="54"/>
  <c r="K19" i="53"/>
  <c r="K73" i="53" s="1"/>
  <c r="AF175" i="54"/>
  <c r="K36" i="53"/>
  <c r="K72" i="53" s="1"/>
  <c r="H88" i="52"/>
  <c r="K88" i="52" s="1"/>
  <c r="F87" i="52"/>
  <c r="H87" i="52" s="1"/>
  <c r="K87" i="52" s="1"/>
  <c r="F54" i="52"/>
  <c r="H54" i="52" s="1"/>
  <c r="K54" i="52" s="1"/>
  <c r="H55" i="52"/>
  <c r="K55" i="52" s="1"/>
  <c r="Q27" i="53"/>
  <c r="O72" i="53"/>
  <c r="Q72" i="53" s="1"/>
  <c r="O30" i="53"/>
  <c r="B36" i="49"/>
  <c r="J36" i="49"/>
  <c r="N36" i="49"/>
  <c r="J34" i="49"/>
  <c r="B35" i="52"/>
  <c r="B36" i="52" s="1"/>
  <c r="F21" i="52"/>
  <c r="H21" i="52" s="1"/>
  <c r="K21" i="52" s="1"/>
  <c r="H22" i="52"/>
  <c r="K22" i="52" s="1"/>
  <c r="AF12" i="54"/>
  <c r="X91" i="54"/>
  <c r="X172" i="54" s="1"/>
  <c r="X178" i="54"/>
  <c r="X180" i="54" s="1"/>
  <c r="X182" i="54" s="1"/>
  <c r="F167" i="52"/>
  <c r="H167" i="52" s="1"/>
  <c r="K167" i="52" s="1"/>
  <c r="H168" i="52"/>
  <c r="K168" i="52" s="1"/>
  <c r="J36" i="52" l="1"/>
  <c r="L167" i="52"/>
  <c r="K174" i="52"/>
  <c r="L54" i="52"/>
  <c r="L55" i="52" s="1"/>
  <c r="L56" i="52" s="1"/>
  <c r="L57" i="52" s="1"/>
  <c r="L58" i="52" s="1"/>
  <c r="L59" i="52" s="1"/>
  <c r="L60" i="52" s="1"/>
  <c r="L72" i="52" s="1"/>
  <c r="K61" i="52"/>
  <c r="B38" i="52"/>
  <c r="J38" i="52"/>
  <c r="N38" i="52"/>
  <c r="B37" i="49"/>
  <c r="B38" i="49" s="1"/>
  <c r="L67" i="52"/>
  <c r="L69" i="52" s="1"/>
  <c r="L71" i="52" s="1"/>
  <c r="Q30" i="53"/>
  <c r="L87" i="52"/>
  <c r="L88" i="52" s="1"/>
  <c r="L89" i="52" s="1"/>
  <c r="L90" i="52" s="1"/>
  <c r="L91" i="52" s="1"/>
  <c r="L92" i="52" s="1"/>
  <c r="L93" i="52" s="1"/>
  <c r="L105" i="52" s="1"/>
  <c r="K94" i="52"/>
  <c r="L168" i="52"/>
  <c r="L169" i="52" s="1"/>
  <c r="L170" i="52" s="1"/>
  <c r="L171" i="52" s="1"/>
  <c r="L172" i="52" s="1"/>
  <c r="L173" i="52" s="1"/>
  <c r="L185" i="52" s="1"/>
  <c r="L186" i="52" s="1"/>
  <c r="H227" i="52" s="1"/>
  <c r="AF91" i="54"/>
  <c r="AF172" i="54" s="1"/>
  <c r="K16" i="53"/>
  <c r="K70" i="53" s="1"/>
  <c r="AF178" i="54"/>
  <c r="AF180" i="54" s="1"/>
  <c r="AF182" i="54" s="1"/>
  <c r="N36" i="52"/>
  <c r="L134" i="52"/>
  <c r="L135" i="52" s="1"/>
  <c r="L136" i="52" s="1"/>
  <c r="L137" i="52" s="1"/>
  <c r="L138" i="52" s="1"/>
  <c r="L139" i="52" s="1"/>
  <c r="L140" i="52" s="1"/>
  <c r="L152" i="52" s="1"/>
  <c r="L153" i="52" s="1"/>
  <c r="H226" i="52" s="1"/>
  <c r="K141" i="52"/>
  <c r="O19" i="53"/>
  <c r="L200" i="52"/>
  <c r="L201" i="52" s="1"/>
  <c r="L202" i="52" s="1"/>
  <c r="L203" i="52" s="1"/>
  <c r="L204" i="52" s="1"/>
  <c r="L205" i="52" s="1"/>
  <c r="L206" i="52" s="1"/>
  <c r="L218" i="52" s="1"/>
  <c r="L219" i="52" s="1"/>
  <c r="H228" i="52" s="1"/>
  <c r="K207" i="52"/>
  <c r="L21" i="52"/>
  <c r="L22" i="52" s="1"/>
  <c r="L23" i="52" s="1"/>
  <c r="L24" i="52" s="1"/>
  <c r="L25" i="52" s="1"/>
  <c r="L26" i="52" s="1"/>
  <c r="L27" i="52" s="1"/>
  <c r="L39" i="52" s="1"/>
  <c r="K28" i="52"/>
  <c r="K39" i="53"/>
  <c r="B45" i="49" l="1"/>
  <c r="B47" i="49" s="1"/>
  <c r="F86" i="1"/>
  <c r="J38" i="49"/>
  <c r="N38" i="49"/>
  <c r="H230" i="52"/>
  <c r="H95" i="1" s="1"/>
  <c r="O16" i="53"/>
  <c r="K21" i="53"/>
  <c r="K41" i="53" s="1"/>
  <c r="L73" i="52"/>
  <c r="H114" i="52" s="1"/>
  <c r="B39" i="52"/>
  <c r="B40" i="52" s="1"/>
  <c r="Q19" i="53"/>
  <c r="L100" i="52" s="1"/>
  <c r="L102" i="52" s="1"/>
  <c r="L104" i="52" s="1"/>
  <c r="L106" i="52" s="1"/>
  <c r="H115" i="52" s="1"/>
  <c r="O73" i="53"/>
  <c r="Q73" i="53" s="1"/>
  <c r="B48" i="49"/>
  <c r="B49" i="49" s="1"/>
  <c r="B50" i="49" s="1"/>
  <c r="B51" i="49" s="1"/>
  <c r="B52" i="49" s="1"/>
  <c r="B53" i="49" s="1"/>
  <c r="B54" i="49" s="1"/>
  <c r="B55" i="49" s="1"/>
  <c r="B56" i="49" s="1"/>
  <c r="B57" i="49" s="1"/>
  <c r="B58" i="49" s="1"/>
  <c r="D59" i="49" s="1"/>
  <c r="N40" i="52" l="1"/>
  <c r="B47" i="52"/>
  <c r="B49" i="52" s="1"/>
  <c r="F113" i="52"/>
  <c r="L113" i="52"/>
  <c r="K75" i="53"/>
  <c r="B59" i="49"/>
  <c r="B61" i="49" s="1"/>
  <c r="N70" i="49"/>
  <c r="J70" i="49"/>
  <c r="J40" i="52"/>
  <c r="Q16" i="53"/>
  <c r="O21" i="53"/>
  <c r="O41" i="53" s="1"/>
  <c r="O70" i="53"/>
  <c r="Q21" i="53" l="1"/>
  <c r="Q41" i="53" s="1"/>
  <c r="L34" i="52"/>
  <c r="B62" i="49"/>
  <c r="B63" i="49" s="1"/>
  <c r="O75" i="53"/>
  <c r="L272" i="9" s="1"/>
  <c r="Q70" i="53"/>
  <c r="Q75" i="53" s="1"/>
  <c r="B50" i="52"/>
  <c r="B51" i="52" s="1"/>
  <c r="B52" i="52" s="1"/>
  <c r="B53" i="52" s="1"/>
  <c r="B54" i="52" s="1"/>
  <c r="B55" i="52" s="1"/>
  <c r="B56" i="52" s="1"/>
  <c r="B57" i="52" s="1"/>
  <c r="B58" i="52" s="1"/>
  <c r="B59" i="52" s="1"/>
  <c r="B60" i="52" s="1"/>
  <c r="D61" i="52" s="1"/>
  <c r="B65" i="49" l="1"/>
  <c r="N63" i="49"/>
  <c r="L36" i="52"/>
  <c r="L38" i="52" s="1"/>
  <c r="L40" i="52" s="1"/>
  <c r="H113" i="52" s="1"/>
  <c r="H117" i="52" s="1"/>
  <c r="H94" i="1" s="1"/>
  <c r="N72" i="52"/>
  <c r="J72" i="52"/>
  <c r="B61" i="52"/>
  <c r="B63" i="52" s="1"/>
  <c r="J63" i="49"/>
  <c r="B64" i="52" l="1"/>
  <c r="B65" i="52" s="1"/>
  <c r="B66" i="49"/>
  <c r="B67" i="49" s="1"/>
  <c r="N67" i="49" l="1"/>
  <c r="J67" i="49"/>
  <c r="B67" i="52"/>
  <c r="N65" i="52"/>
  <c r="B69" i="49"/>
  <c r="J69" i="49"/>
  <c r="N69" i="49"/>
  <c r="J65" i="52"/>
  <c r="B70" i="49" l="1"/>
  <c r="B71" i="49" s="1"/>
  <c r="N71" i="49"/>
  <c r="J71" i="49"/>
  <c r="J69" i="52"/>
  <c r="B68" i="52"/>
  <c r="B69" i="52" s="1"/>
  <c r="B78" i="49" l="1"/>
  <c r="B80" i="49" s="1"/>
  <c r="F87" i="1"/>
  <c r="B71" i="52"/>
  <c r="J71" i="52"/>
  <c r="N71" i="52"/>
  <c r="N69" i="52"/>
  <c r="B81" i="49"/>
  <c r="B82" i="49" s="1"/>
  <c r="B83" i="49" s="1"/>
  <c r="B84" i="49" s="1"/>
  <c r="B85" i="49" s="1"/>
  <c r="B86" i="49" s="1"/>
  <c r="B87" i="49" s="1"/>
  <c r="B88" i="49" s="1"/>
  <c r="B89" i="49" s="1"/>
  <c r="B90" i="49" s="1"/>
  <c r="B91" i="49" s="1"/>
  <c r="D92" i="49" s="1"/>
  <c r="J103" i="49" l="1"/>
  <c r="B92" i="49"/>
  <c r="B94" i="49" s="1"/>
  <c r="N103" i="49"/>
  <c r="B72" i="52"/>
  <c r="B73" i="52" s="1"/>
  <c r="L114" i="52" l="1"/>
  <c r="B80" i="52"/>
  <c r="B82" i="52" s="1"/>
  <c r="F114" i="52"/>
  <c r="J73" i="52"/>
  <c r="B95" i="49"/>
  <c r="B96" i="49" s="1"/>
  <c r="N73" i="52"/>
  <c r="J96" i="49" l="1"/>
  <c r="N96" i="49"/>
  <c r="B83" i="52"/>
  <c r="B84" i="52" s="1"/>
  <c r="B85" i="52" s="1"/>
  <c r="B86" i="52" s="1"/>
  <c r="B87" i="52" s="1"/>
  <c r="B88" i="52" s="1"/>
  <c r="B89" i="52" s="1"/>
  <c r="B90" i="52" s="1"/>
  <c r="B91" i="52" s="1"/>
  <c r="B92" i="52" s="1"/>
  <c r="B93" i="52" s="1"/>
  <c r="D94" i="52" s="1"/>
  <c r="B98" i="49"/>
  <c r="B99" i="49" l="1"/>
  <c r="B100" i="49" s="1"/>
  <c r="B94" i="52"/>
  <c r="B96" i="52" s="1"/>
  <c r="N105" i="52"/>
  <c r="J105" i="52"/>
  <c r="J100" i="49" l="1"/>
  <c r="N100" i="49"/>
  <c r="B97" i="52"/>
  <c r="B98" i="52" s="1"/>
  <c r="B102" i="49"/>
  <c r="N102" i="49"/>
  <c r="J102" i="49"/>
  <c r="B103" i="49" l="1"/>
  <c r="B104" i="49" s="1"/>
  <c r="B100" i="52"/>
  <c r="N98" i="52"/>
  <c r="J98" i="52"/>
  <c r="B111" i="49" l="1"/>
  <c r="B113" i="49" s="1"/>
  <c r="F88" i="1"/>
  <c r="J104" i="49"/>
  <c r="N104" i="49"/>
  <c r="B101" i="52"/>
  <c r="B102" i="52" s="1"/>
  <c r="B114" i="49"/>
  <c r="B115" i="49" s="1"/>
  <c r="B116" i="49" s="1"/>
  <c r="B117" i="49" s="1"/>
  <c r="B118" i="49" s="1"/>
  <c r="B119" i="49" s="1"/>
  <c r="B120" i="49" s="1"/>
  <c r="B121" i="49" s="1"/>
  <c r="B122" i="49" s="1"/>
  <c r="B123" i="49" s="1"/>
  <c r="B124" i="49" s="1"/>
  <c r="D125" i="49" s="1"/>
  <c r="N102" i="52" l="1"/>
  <c r="B104" i="52"/>
  <c r="J104" i="52"/>
  <c r="N104" i="52"/>
  <c r="N136" i="49"/>
  <c r="B125" i="49"/>
  <c r="B127" i="49" s="1"/>
  <c r="J136" i="49"/>
  <c r="J102" i="52"/>
  <c r="B128" i="49" l="1"/>
  <c r="B129" i="49" s="1"/>
  <c r="N129" i="49"/>
  <c r="B105" i="52"/>
  <c r="B106" i="52" s="1"/>
  <c r="J106" i="52" l="1"/>
  <c r="B113" i="52"/>
  <c r="B114" i="52" s="1"/>
  <c r="B115" i="52" s="1"/>
  <c r="B117" i="52" s="1"/>
  <c r="L115" i="52"/>
  <c r="F115" i="52"/>
  <c r="B131" i="49"/>
  <c r="N106" i="52"/>
  <c r="J129" i="49"/>
  <c r="B127" i="52" l="1"/>
  <c r="B129" i="52" s="1"/>
  <c r="F94" i="1"/>
  <c r="B132" i="49"/>
  <c r="B133" i="49" s="1"/>
  <c r="B130" i="52"/>
  <c r="B131" i="52" s="1"/>
  <c r="B132" i="52" s="1"/>
  <c r="B133" i="52" s="1"/>
  <c r="B134" i="52" s="1"/>
  <c r="B135" i="52" s="1"/>
  <c r="B136" i="52" s="1"/>
  <c r="B137" i="52" s="1"/>
  <c r="B138" i="52" s="1"/>
  <c r="B139" i="52" s="1"/>
  <c r="B140" i="52" s="1"/>
  <c r="N133" i="49" l="1"/>
  <c r="J152" i="52"/>
  <c r="B141" i="52"/>
  <c r="B143" i="52" s="1"/>
  <c r="N152" i="52"/>
  <c r="B135" i="49"/>
  <c r="J135" i="49"/>
  <c r="N135" i="49"/>
  <c r="D141" i="52"/>
  <c r="J133" i="49"/>
  <c r="B144" i="52" l="1"/>
  <c r="B145" i="52" s="1"/>
  <c r="B136" i="49"/>
  <c r="B137" i="49" s="1"/>
  <c r="B144" i="49" l="1"/>
  <c r="B146" i="49" s="1"/>
  <c r="F89" i="1"/>
  <c r="J145" i="52"/>
  <c r="N145" i="52"/>
  <c r="B147" i="49"/>
  <c r="B148" i="49" s="1"/>
  <c r="B149" i="49" s="1"/>
  <c r="B150" i="49" s="1"/>
  <c r="B151" i="49" s="1"/>
  <c r="B152" i="49" s="1"/>
  <c r="B153" i="49" s="1"/>
  <c r="B154" i="49" s="1"/>
  <c r="B155" i="49" s="1"/>
  <c r="B156" i="49" s="1"/>
  <c r="B157" i="49" s="1"/>
  <c r="D158" i="49" s="1"/>
  <c r="J137" i="49"/>
  <c r="N137" i="49"/>
  <c r="B147" i="52"/>
  <c r="B148" i="52" l="1"/>
  <c r="B149" i="52" s="1"/>
  <c r="B158" i="49"/>
  <c r="B160" i="49" s="1"/>
  <c r="N169" i="49"/>
  <c r="J169" i="49"/>
  <c r="J149" i="52" l="1"/>
  <c r="N149" i="52"/>
  <c r="B161" i="49"/>
  <c r="B162" i="49" s="1"/>
  <c r="B151" i="52"/>
  <c r="N151" i="52"/>
  <c r="J151" i="52"/>
  <c r="B164" i="49" l="1"/>
  <c r="B152" i="52"/>
  <c r="B153" i="52" s="1"/>
  <c r="N162" i="49"/>
  <c r="J162" i="49"/>
  <c r="J153" i="52" l="1"/>
  <c r="F226" i="52"/>
  <c r="B160" i="52"/>
  <c r="B162" i="52" s="1"/>
  <c r="L226" i="52"/>
  <c r="B165" i="49"/>
  <c r="B166" i="49" s="1"/>
  <c r="N153" i="52"/>
  <c r="J166" i="49" l="1"/>
  <c r="B168" i="49"/>
  <c r="N168" i="49"/>
  <c r="J168" i="49"/>
  <c r="B163" i="52"/>
  <c r="B164" i="52" s="1"/>
  <c r="B165" i="52" s="1"/>
  <c r="B166" i="52" s="1"/>
  <c r="B167" i="52" s="1"/>
  <c r="B168" i="52" s="1"/>
  <c r="B169" i="52" s="1"/>
  <c r="B170" i="52" s="1"/>
  <c r="B171" i="52" s="1"/>
  <c r="B172" i="52" s="1"/>
  <c r="B173" i="52" s="1"/>
  <c r="D174" i="52" s="1"/>
  <c r="N166" i="49"/>
  <c r="B174" i="52" l="1"/>
  <c r="B176" i="52" s="1"/>
  <c r="N185" i="52"/>
  <c r="J185" i="52"/>
  <c r="B169" i="49"/>
  <c r="B170" i="49" s="1"/>
  <c r="F90" i="1" s="1"/>
  <c r="N170" i="49" l="1"/>
  <c r="J170" i="49"/>
  <c r="B177" i="52"/>
  <c r="B178" i="52" s="1"/>
  <c r="N178" i="52" l="1"/>
  <c r="B180" i="52"/>
  <c r="J178" i="52"/>
  <c r="B181" i="52" l="1"/>
  <c r="B182" i="52" s="1"/>
  <c r="B184" i="52" l="1"/>
  <c r="N184" i="52"/>
  <c r="J184" i="52"/>
  <c r="N182" i="52"/>
  <c r="J182" i="52"/>
  <c r="B185" i="52" l="1"/>
  <c r="B186" i="52" s="1"/>
  <c r="N186" i="52" l="1"/>
  <c r="B193" i="52"/>
  <c r="B195" i="52" s="1"/>
  <c r="F227" i="52"/>
  <c r="L227" i="52"/>
  <c r="J186" i="52"/>
  <c r="B196" i="52" l="1"/>
  <c r="B197" i="52" s="1"/>
  <c r="B198" i="52" s="1"/>
  <c r="B199" i="52" s="1"/>
  <c r="B200" i="52" s="1"/>
  <c r="B201" i="52" s="1"/>
  <c r="B202" i="52" s="1"/>
  <c r="B203" i="52" s="1"/>
  <c r="B204" i="52" s="1"/>
  <c r="B205" i="52" s="1"/>
  <c r="B206" i="52" s="1"/>
  <c r="N218" i="52" l="1"/>
  <c r="B207" i="52"/>
  <c r="B209" i="52" s="1"/>
  <c r="J218" i="52"/>
  <c r="D207" i="52"/>
  <c r="B210" i="52" l="1"/>
  <c r="B211" i="52" s="1"/>
  <c r="B213" i="52" l="1"/>
  <c r="N211" i="52"/>
  <c r="J211" i="52"/>
  <c r="B214" i="52" l="1"/>
  <c r="B215" i="52" s="1"/>
  <c r="N215" i="52"/>
  <c r="B217" i="52" l="1"/>
  <c r="J217" i="52"/>
  <c r="N217" i="52"/>
  <c r="J215" i="52"/>
  <c r="B218" i="52" l="1"/>
  <c r="B219" i="52" s="1"/>
  <c r="J219" i="52"/>
  <c r="N219" i="52"/>
  <c r="L228" i="52" l="1"/>
  <c r="B226" i="52"/>
  <c r="B227" i="52" s="1"/>
  <c r="B228" i="52" s="1"/>
  <c r="B230" i="52" s="1"/>
  <c r="F95" i="1" s="1"/>
  <c r="F228" i="52"/>
  <c r="N27" i="31" l="1"/>
  <c r="L27" i="31"/>
  <c r="J27" i="31"/>
  <c r="H27" i="31"/>
  <c r="F27" i="31"/>
  <c r="D27" i="31"/>
  <c r="B27" i="31"/>
  <c r="P26" i="31"/>
  <c r="P25" i="31"/>
  <c r="P24" i="31"/>
  <c r="P23" i="31"/>
  <c r="P22" i="31"/>
  <c r="P21" i="31"/>
  <c r="P20" i="31"/>
  <c r="P19" i="31"/>
  <c r="P18" i="31"/>
  <c r="P17" i="31"/>
  <c r="P16" i="31"/>
  <c r="P15" i="31"/>
  <c r="P14" i="31"/>
  <c r="P13" i="31"/>
  <c r="P12" i="31"/>
  <c r="P11" i="31"/>
  <c r="P10" i="31"/>
  <c r="P9" i="31"/>
  <c r="P8" i="31"/>
  <c r="P7" i="31"/>
  <c r="P27" i="31" l="1"/>
  <c r="I49" i="8"/>
  <c r="C86" i="34" l="1"/>
  <c r="N23" i="18" l="1"/>
  <c r="N11" i="18"/>
  <c r="H63" i="18" l="1"/>
  <c r="G63" i="18"/>
  <c r="N13" i="18" l="1"/>
  <c r="N12" i="18"/>
  <c r="N14" i="18"/>
  <c r="N15" i="18" l="1"/>
  <c r="N16" i="18" l="1"/>
  <c r="N17" i="18" l="1"/>
  <c r="N18" i="18" l="1"/>
  <c r="N19" i="18" l="1"/>
  <c r="N20" i="18" l="1"/>
  <c r="N21" i="18" l="1"/>
  <c r="N22" i="18"/>
  <c r="M78" i="12" l="1"/>
  <c r="M77" i="12"/>
  <c r="M76" i="12"/>
  <c r="M75" i="12"/>
  <c r="M74" i="12"/>
  <c r="M73" i="12"/>
  <c r="M72" i="12"/>
  <c r="M71" i="12"/>
  <c r="M70" i="12"/>
  <c r="M69" i="12"/>
  <c r="M68" i="12"/>
  <c r="M67" i="12"/>
  <c r="E78" i="12" l="1"/>
  <c r="E77" i="12"/>
  <c r="E76" i="12"/>
  <c r="E75" i="12"/>
  <c r="E74" i="12"/>
  <c r="E73" i="12"/>
  <c r="E72" i="12"/>
  <c r="E70" i="12"/>
  <c r="E69" i="12"/>
  <c r="E68" i="12"/>
  <c r="E67" i="12"/>
  <c r="H179" i="1" l="1"/>
  <c r="E210" i="9"/>
  <c r="D210" i="9"/>
  <c r="F209" i="9"/>
  <c r="F208" i="9"/>
  <c r="F207" i="9"/>
  <c r="BF77" i="48"/>
  <c r="BG76" i="48"/>
  <c r="D61" i="48"/>
  <c r="D63" i="48" s="1"/>
  <c r="D65" i="48" s="1"/>
  <c r="D67" i="48" s="1"/>
  <c r="D69" i="48" s="1"/>
  <c r="D71" i="48" s="1"/>
  <c r="D73" i="48" s="1"/>
  <c r="D75" i="48" s="1"/>
  <c r="C61" i="48"/>
  <c r="C63" i="48" s="1"/>
  <c r="C65" i="48" s="1"/>
  <c r="C67" i="48" s="1"/>
  <c r="C69" i="48" s="1"/>
  <c r="C71" i="48" s="1"/>
  <c r="C73" i="48" s="1"/>
  <c r="C75" i="48" s="1"/>
  <c r="D60" i="48"/>
  <c r="D62" i="48" s="1"/>
  <c r="D64" i="48" s="1"/>
  <c r="D66" i="48" s="1"/>
  <c r="D68" i="48" s="1"/>
  <c r="D70" i="48" s="1"/>
  <c r="D72" i="48" s="1"/>
  <c r="D74" i="48" s="1"/>
  <c r="C60" i="48"/>
  <c r="C62" i="48" s="1"/>
  <c r="C64" i="48" s="1"/>
  <c r="C66" i="48" s="1"/>
  <c r="C68" i="48" s="1"/>
  <c r="C70" i="48" s="1"/>
  <c r="C72" i="48" s="1"/>
  <c r="C74" i="48" s="1"/>
  <c r="A60" i="48"/>
  <c r="A61" i="48" s="1"/>
  <c r="A62" i="48" s="1"/>
  <c r="A63" i="48" s="1"/>
  <c r="A64" i="48" s="1"/>
  <c r="A65" i="48" s="1"/>
  <c r="A66" i="48" s="1"/>
  <c r="A67" i="48" s="1"/>
  <c r="A68" i="48" s="1"/>
  <c r="A69" i="48" s="1"/>
  <c r="A70" i="48" s="1"/>
  <c r="A71" i="48" s="1"/>
  <c r="A72" i="48" s="1"/>
  <c r="A73" i="48" s="1"/>
  <c r="A74" i="48" s="1"/>
  <c r="A75" i="48" s="1"/>
  <c r="A76" i="48" s="1"/>
  <c r="A77" i="48" s="1"/>
  <c r="A78" i="48" s="1"/>
  <c r="BE53" i="48"/>
  <c r="BF53" i="48" s="1"/>
  <c r="BE52" i="48"/>
  <c r="BG52" i="48" s="1"/>
  <c r="BF47" i="48"/>
  <c r="BG46" i="48"/>
  <c r="BF41" i="48"/>
  <c r="BG40" i="48"/>
  <c r="BF39" i="48"/>
  <c r="D39" i="48"/>
  <c r="D41" i="48" s="1"/>
  <c r="D43" i="48" s="1"/>
  <c r="D45" i="48" s="1"/>
  <c r="D47" i="48" s="1"/>
  <c r="D49" i="48" s="1"/>
  <c r="D51" i="48" s="1"/>
  <c r="D53" i="48" s="1"/>
  <c r="C39" i="48"/>
  <c r="C41" i="48" s="1"/>
  <c r="C43" i="48" s="1"/>
  <c r="C45" i="48" s="1"/>
  <c r="C47" i="48" s="1"/>
  <c r="C49" i="48" s="1"/>
  <c r="C51" i="48" s="1"/>
  <c r="C53" i="48" s="1"/>
  <c r="BG38" i="48"/>
  <c r="D38" i="48"/>
  <c r="D40" i="48" s="1"/>
  <c r="D42" i="48" s="1"/>
  <c r="D44" i="48" s="1"/>
  <c r="D46" i="48" s="1"/>
  <c r="D48" i="48" s="1"/>
  <c r="D50" i="48" s="1"/>
  <c r="D52" i="48" s="1"/>
  <c r="BF37" i="48"/>
  <c r="BG36" i="48"/>
  <c r="C36" i="48"/>
  <c r="C38" i="48" s="1"/>
  <c r="C40" i="48" s="1"/>
  <c r="C42" i="48" s="1"/>
  <c r="C44" i="48" s="1"/>
  <c r="C46" i="48" s="1"/>
  <c r="C48" i="48" s="1"/>
  <c r="C50" i="48" s="1"/>
  <c r="C52" i="48" s="1"/>
  <c r="A33" i="48"/>
  <c r="A36" i="48" s="1"/>
  <c r="A37" i="48" s="1"/>
  <c r="A38" i="48" s="1"/>
  <c r="A39" i="48" s="1"/>
  <c r="A40" i="48" s="1"/>
  <c r="A41" i="48" s="1"/>
  <c r="A42" i="48" s="1"/>
  <c r="A43" i="48" s="1"/>
  <c r="A44" i="48" s="1"/>
  <c r="A45" i="48" s="1"/>
  <c r="A46" i="48" s="1"/>
  <c r="A47" i="48" s="1"/>
  <c r="A48" i="48" s="1"/>
  <c r="A49" i="48" s="1"/>
  <c r="A50" i="48" s="1"/>
  <c r="A51" i="48" s="1"/>
  <c r="A52" i="48" s="1"/>
  <c r="A53" i="48" s="1"/>
  <c r="AW32" i="48"/>
  <c r="AX62" i="48" s="1"/>
  <c r="AX63" i="48" s="1"/>
  <c r="AS32" i="48"/>
  <c r="AT66" i="48" s="1"/>
  <c r="AT67" i="48" s="1"/>
  <c r="AO32" i="48"/>
  <c r="AP60" i="48" s="1"/>
  <c r="AP61" i="48" s="1"/>
  <c r="AK32" i="48"/>
  <c r="AG32" i="48"/>
  <c r="AH62" i="48" s="1"/>
  <c r="AH63" i="48" s="1"/>
  <c r="AC32" i="48"/>
  <c r="AD60" i="48" s="1"/>
  <c r="AD61" i="48" s="1"/>
  <c r="Y32" i="48"/>
  <c r="Z64" i="48" s="1"/>
  <c r="Z65" i="48" s="1"/>
  <c r="Q32" i="48"/>
  <c r="R66" i="48" s="1"/>
  <c r="R67" i="48" s="1"/>
  <c r="M32" i="48"/>
  <c r="N60" i="48" s="1"/>
  <c r="N61" i="48" s="1"/>
  <c r="I32" i="48"/>
  <c r="J60" i="48" s="1"/>
  <c r="J61" i="48" s="1"/>
  <c r="E32" i="48"/>
  <c r="U31" i="48"/>
  <c r="E71" i="12" s="1"/>
  <c r="R60" i="48" l="1"/>
  <c r="R61" i="48" s="1"/>
  <c r="AD64" i="48"/>
  <c r="AD65" i="48" s="1"/>
  <c r="J66" i="48"/>
  <c r="J67" i="48" s="1"/>
  <c r="Z60" i="48"/>
  <c r="Z61" i="48" s="1"/>
  <c r="AT60" i="48"/>
  <c r="AT61" i="48" s="1"/>
  <c r="AH64" i="48"/>
  <c r="AH65" i="48" s="1"/>
  <c r="AD66" i="48"/>
  <c r="AD67" i="48" s="1"/>
  <c r="AX60" i="48"/>
  <c r="AX61" i="48" s="1"/>
  <c r="N64" i="48"/>
  <c r="N65" i="48" s="1"/>
  <c r="AT64" i="48"/>
  <c r="AT65" i="48" s="1"/>
  <c r="U32" i="48"/>
  <c r="V60" i="48" s="1"/>
  <c r="V61" i="48" s="1"/>
  <c r="AH60" i="48"/>
  <c r="AH61" i="48" s="1"/>
  <c r="R64" i="48"/>
  <c r="R65" i="48" s="1"/>
  <c r="AX64" i="48"/>
  <c r="AX65" i="48" s="1"/>
  <c r="F210" i="9"/>
  <c r="F74" i="48"/>
  <c r="F75" i="48" s="1"/>
  <c r="F70" i="48"/>
  <c r="F71" i="48" s="1"/>
  <c r="F72" i="48"/>
  <c r="F73" i="48" s="1"/>
  <c r="F68" i="48"/>
  <c r="F69" i="48" s="1"/>
  <c r="F62" i="48"/>
  <c r="F63" i="48" s="1"/>
  <c r="K67" i="12"/>
  <c r="AL74" i="48"/>
  <c r="AL75" i="48" s="1"/>
  <c r="AL70" i="48"/>
  <c r="AL71" i="48" s="1"/>
  <c r="AL72" i="48"/>
  <c r="AL73" i="48" s="1"/>
  <c r="AL68" i="48"/>
  <c r="AL69" i="48" s="1"/>
  <c r="AL62" i="48"/>
  <c r="AL63" i="48" s="1"/>
  <c r="K75" i="12"/>
  <c r="AL64" i="48"/>
  <c r="AL65" i="48" s="1"/>
  <c r="J74" i="48"/>
  <c r="J75" i="48" s="1"/>
  <c r="J70" i="48"/>
  <c r="J71" i="48" s="1"/>
  <c r="J72" i="48"/>
  <c r="J73" i="48" s="1"/>
  <c r="J68" i="48"/>
  <c r="J69" i="48" s="1"/>
  <c r="J62" i="48"/>
  <c r="J63" i="48" s="1"/>
  <c r="K68" i="12"/>
  <c r="AP74" i="48"/>
  <c r="AP75" i="48" s="1"/>
  <c r="AP70" i="48"/>
  <c r="AP71" i="48" s="1"/>
  <c r="AP72" i="48"/>
  <c r="AP73" i="48" s="1"/>
  <c r="AP68" i="48"/>
  <c r="AP69" i="48" s="1"/>
  <c r="AP66" i="48"/>
  <c r="AP67" i="48" s="1"/>
  <c r="AP62" i="48"/>
  <c r="AP63" i="48" s="1"/>
  <c r="K76" i="12"/>
  <c r="AL66" i="48"/>
  <c r="AL67" i="48" s="1"/>
  <c r="F60" i="48"/>
  <c r="F61" i="48" s="1"/>
  <c r="AL60" i="48"/>
  <c r="AL61" i="48" s="1"/>
  <c r="J64" i="48"/>
  <c r="J65" i="48" s="1"/>
  <c r="AP64" i="48"/>
  <c r="AP65" i="48" s="1"/>
  <c r="V74" i="48"/>
  <c r="V75" i="48" s="1"/>
  <c r="V68" i="48"/>
  <c r="V69" i="48" s="1"/>
  <c r="F64" i="48"/>
  <c r="F65" i="48" s="1"/>
  <c r="V64" i="48"/>
  <c r="V65" i="48" s="1"/>
  <c r="Z74" i="48"/>
  <c r="Z75" i="48" s="1"/>
  <c r="Z70" i="48"/>
  <c r="Z71" i="48" s="1"/>
  <c r="Z72" i="48"/>
  <c r="Z73" i="48" s="1"/>
  <c r="Z68" i="48"/>
  <c r="Z69" i="48" s="1"/>
  <c r="Z66" i="48"/>
  <c r="Z67" i="48" s="1"/>
  <c r="Z62" i="48"/>
  <c r="Z63" i="48" s="1"/>
  <c r="K72" i="12"/>
  <c r="F66" i="48"/>
  <c r="F67" i="48" s="1"/>
  <c r="N74" i="48"/>
  <c r="N75" i="48" s="1"/>
  <c r="N70" i="48"/>
  <c r="N71" i="48" s="1"/>
  <c r="N72" i="48"/>
  <c r="N73" i="48" s="1"/>
  <c r="N68" i="48"/>
  <c r="N69" i="48" s="1"/>
  <c r="AD74" i="48"/>
  <c r="AD75" i="48" s="1"/>
  <c r="AD70" i="48"/>
  <c r="AD71" i="48" s="1"/>
  <c r="AD72" i="48"/>
  <c r="AD73" i="48" s="1"/>
  <c r="AD68" i="48"/>
  <c r="AD69" i="48" s="1"/>
  <c r="AT74" i="48"/>
  <c r="AT75" i="48" s="1"/>
  <c r="AT70" i="48"/>
  <c r="AT71" i="48" s="1"/>
  <c r="AT72" i="48"/>
  <c r="AT73" i="48" s="1"/>
  <c r="AT68" i="48"/>
  <c r="AT69" i="48" s="1"/>
  <c r="K69" i="12"/>
  <c r="K70" i="12"/>
  <c r="K73" i="12"/>
  <c r="K74" i="12"/>
  <c r="K77" i="12"/>
  <c r="K78" i="12"/>
  <c r="N62" i="48"/>
  <c r="N63" i="48" s="1"/>
  <c r="R62" i="48"/>
  <c r="R63" i="48" s="1"/>
  <c r="AD62" i="48"/>
  <c r="AD63" i="48" s="1"/>
  <c r="AT62" i="48"/>
  <c r="AT63" i="48" s="1"/>
  <c r="R74" i="48"/>
  <c r="R75" i="48" s="1"/>
  <c r="R70" i="48"/>
  <c r="R71" i="48" s="1"/>
  <c r="R72" i="48"/>
  <c r="R73" i="48" s="1"/>
  <c r="R68" i="48"/>
  <c r="R69" i="48" s="1"/>
  <c r="AH74" i="48"/>
  <c r="AH75" i="48" s="1"/>
  <c r="AH70" i="48"/>
  <c r="AH71" i="48" s="1"/>
  <c r="AH72" i="48"/>
  <c r="AH73" i="48" s="1"/>
  <c r="AH68" i="48"/>
  <c r="AH69" i="48" s="1"/>
  <c r="AX74" i="48"/>
  <c r="AX75" i="48" s="1"/>
  <c r="AX70" i="48"/>
  <c r="AX71" i="48" s="1"/>
  <c r="AX72" i="48"/>
  <c r="AX73" i="48" s="1"/>
  <c r="AX68" i="48"/>
  <c r="AX69" i="48" s="1"/>
  <c r="N66" i="48"/>
  <c r="N67" i="48" s="1"/>
  <c r="AH66" i="48"/>
  <c r="AH67" i="48" s="1"/>
  <c r="AX66" i="48"/>
  <c r="AX67" i="48" s="1"/>
  <c r="V62" i="48" l="1"/>
  <c r="V63" i="48" s="1"/>
  <c r="V72" i="48"/>
  <c r="V73" i="48" s="1"/>
  <c r="V66" i="48"/>
  <c r="V67" i="48" s="1"/>
  <c r="K71" i="12"/>
  <c r="V70" i="48"/>
  <c r="V71" i="48" s="1"/>
  <c r="I60" i="48"/>
  <c r="K60" i="48" s="1"/>
  <c r="H68" i="12"/>
  <c r="Y60" i="48"/>
  <c r="Y61" i="48" s="1"/>
  <c r="AA61" i="48" s="1"/>
  <c r="Y62" i="48" s="1"/>
  <c r="H72" i="12"/>
  <c r="AO60" i="48"/>
  <c r="AQ60" i="48" s="1"/>
  <c r="H76" i="12"/>
  <c r="AO61" i="48"/>
  <c r="AQ61" i="48" s="1"/>
  <c r="AO62" i="48" s="1"/>
  <c r="I61" i="48" l="1"/>
  <c r="K61" i="48" s="1"/>
  <c r="I62" i="48" s="1"/>
  <c r="K62" i="48" s="1"/>
  <c r="AA60" i="48"/>
  <c r="M60" i="48"/>
  <c r="M61" i="48" s="1"/>
  <c r="O61" i="48" s="1"/>
  <c r="M62" i="48" s="1"/>
  <c r="H69" i="12"/>
  <c r="AW60" i="48"/>
  <c r="H78" i="12"/>
  <c r="E60" i="48"/>
  <c r="H67" i="12"/>
  <c r="AK60" i="48"/>
  <c r="AM60" i="48" s="1"/>
  <c r="H75" i="12"/>
  <c r="AC60" i="48"/>
  <c r="H73" i="12"/>
  <c r="U60" i="48"/>
  <c r="H71" i="12"/>
  <c r="Q60" i="48"/>
  <c r="S60" i="48" s="1"/>
  <c r="H70" i="12"/>
  <c r="AS60" i="48"/>
  <c r="H77" i="12"/>
  <c r="AG60" i="48"/>
  <c r="AG61" i="48" s="1"/>
  <c r="AI61" i="48" s="1"/>
  <c r="AG62" i="48" s="1"/>
  <c r="H74" i="12"/>
  <c r="AW61" i="48"/>
  <c r="AY61" i="48" s="1"/>
  <c r="AW62" i="48" s="1"/>
  <c r="AY60" i="48"/>
  <c r="AA62" i="48"/>
  <c r="Y63" i="48"/>
  <c r="AA63" i="48" s="1"/>
  <c r="Y64" i="48" s="1"/>
  <c r="AQ62" i="48"/>
  <c r="AO63" i="48"/>
  <c r="AQ63" i="48" s="1"/>
  <c r="AO64" i="48" s="1"/>
  <c r="O60" i="48"/>
  <c r="AK61" i="48" l="1"/>
  <c r="AM61" i="48" s="1"/>
  <c r="AK62" i="48" s="1"/>
  <c r="I63" i="48"/>
  <c r="K63" i="48" s="1"/>
  <c r="I64" i="48" s="1"/>
  <c r="Q61" i="48"/>
  <c r="S61" i="48" s="1"/>
  <c r="Q62" i="48" s="1"/>
  <c r="S62" i="48" s="1"/>
  <c r="AI60" i="48"/>
  <c r="AU60" i="48"/>
  <c r="AS61" i="48"/>
  <c r="AU61" i="48" s="1"/>
  <c r="AS62" i="48" s="1"/>
  <c r="W60" i="48"/>
  <c r="U61" i="48"/>
  <c r="W61" i="48" s="1"/>
  <c r="U62" i="48" s="1"/>
  <c r="AC61" i="48"/>
  <c r="AE61" i="48" s="1"/>
  <c r="AC62" i="48" s="1"/>
  <c r="AE60" i="48"/>
  <c r="G60" i="48"/>
  <c r="E61" i="48"/>
  <c r="G61" i="48" s="1"/>
  <c r="E62" i="48" s="1"/>
  <c r="O62" i="48"/>
  <c r="M63" i="48"/>
  <c r="O63" i="48" s="1"/>
  <c r="AI62" i="48"/>
  <c r="AG63" i="48"/>
  <c r="AI63" i="48" s="1"/>
  <c r="AM62" i="48"/>
  <c r="AK63" i="48"/>
  <c r="AM63" i="48" s="1"/>
  <c r="AY62" i="48"/>
  <c r="AW63" i="48"/>
  <c r="AY63" i="48" s="1"/>
  <c r="Y65" i="48"/>
  <c r="AA65" i="48" s="1"/>
  <c r="AA64" i="48"/>
  <c r="I65" i="48"/>
  <c r="K65" i="48" s="1"/>
  <c r="K64" i="48"/>
  <c r="AO65" i="48"/>
  <c r="AQ65" i="48" s="1"/>
  <c r="AQ64" i="48"/>
  <c r="Q63" i="48" l="1"/>
  <c r="S63" i="48" s="1"/>
  <c r="W62" i="48"/>
  <c r="U63" i="48"/>
  <c r="W63" i="48" s="1"/>
  <c r="U64" i="48" s="1"/>
  <c r="G62" i="48"/>
  <c r="E63" i="48"/>
  <c r="G63" i="48" s="1"/>
  <c r="E64" i="48" s="1"/>
  <c r="AU62" i="48"/>
  <c r="AS63" i="48"/>
  <c r="AU63" i="48" s="1"/>
  <c r="AS64" i="48" s="1"/>
  <c r="AE62" i="48"/>
  <c r="AC63" i="48"/>
  <c r="AE63" i="48" s="1"/>
  <c r="AC64" i="48" s="1"/>
  <c r="AO66" i="48"/>
  <c r="Y66" i="48"/>
  <c r="AW64" i="48"/>
  <c r="M64" i="48"/>
  <c r="AK64" i="48"/>
  <c r="AG64" i="48"/>
  <c r="I66" i="48"/>
  <c r="Q64" i="48"/>
  <c r="G64" i="48" l="1"/>
  <c r="E65" i="48"/>
  <c r="G65" i="48" s="1"/>
  <c r="E66" i="48" s="1"/>
  <c r="G66" i="48" s="1"/>
  <c r="AC65" i="48"/>
  <c r="AE65" i="48" s="1"/>
  <c r="AC66" i="48" s="1"/>
  <c r="AE66" i="48" s="1"/>
  <c r="AE64" i="48"/>
  <c r="W64" i="48"/>
  <c r="U65" i="48"/>
  <c r="W65" i="48" s="1"/>
  <c r="U66" i="48" s="1"/>
  <c r="W66" i="48" s="1"/>
  <c r="AS65" i="48"/>
  <c r="AU65" i="48" s="1"/>
  <c r="AS66" i="48" s="1"/>
  <c r="AU66" i="48" s="1"/>
  <c r="AU64" i="48"/>
  <c r="Q65" i="48"/>
  <c r="S65" i="48" s="1"/>
  <c r="S64" i="48"/>
  <c r="AK65" i="48"/>
  <c r="AM65" i="48" s="1"/>
  <c r="AM64" i="48"/>
  <c r="K66" i="48"/>
  <c r="I67" i="48"/>
  <c r="K67" i="48" s="1"/>
  <c r="E67" i="48"/>
  <c r="G67" i="48" s="1"/>
  <c r="AQ66" i="48"/>
  <c r="AO67" i="48"/>
  <c r="AQ67" i="48" s="1"/>
  <c r="AI64" i="48"/>
  <c r="AG65" i="48"/>
  <c r="AI65" i="48" s="1"/>
  <c r="M65" i="48"/>
  <c r="O65" i="48" s="1"/>
  <c r="O64" i="48"/>
  <c r="AW65" i="48"/>
  <c r="AY65" i="48" s="1"/>
  <c r="AY64" i="48"/>
  <c r="AA66" i="48"/>
  <c r="Y67" i="48"/>
  <c r="AA67" i="48" s="1"/>
  <c r="U67" i="48" l="1"/>
  <c r="W67" i="48" s="1"/>
  <c r="U68" i="48" s="1"/>
  <c r="AC67" i="48"/>
  <c r="AE67" i="48" s="1"/>
  <c r="AC68" i="48" s="1"/>
  <c r="AS67" i="48"/>
  <c r="AU67" i="48" s="1"/>
  <c r="AS68" i="48" s="1"/>
  <c r="M66" i="48"/>
  <c r="AG66" i="48"/>
  <c r="AO68" i="48"/>
  <c r="I68" i="48"/>
  <c r="AK66" i="48"/>
  <c r="AW66" i="48"/>
  <c r="Y68" i="48"/>
  <c r="E68" i="48"/>
  <c r="Q66" i="48"/>
  <c r="AS69" i="48" l="1"/>
  <c r="AU69" i="48" s="1"/>
  <c r="AU68" i="48"/>
  <c r="AM66" i="48"/>
  <c r="AK67" i="48"/>
  <c r="AM67" i="48" s="1"/>
  <c r="AO69" i="48"/>
  <c r="AQ69" i="48" s="1"/>
  <c r="AQ68" i="48"/>
  <c r="AC69" i="48"/>
  <c r="AE69" i="48" s="1"/>
  <c r="AE68" i="48"/>
  <c r="E69" i="48"/>
  <c r="G69" i="48" s="1"/>
  <c r="G68" i="48"/>
  <c r="Y69" i="48"/>
  <c r="AA69" i="48" s="1"/>
  <c r="AA68" i="48"/>
  <c r="AY66" i="48"/>
  <c r="AW67" i="48"/>
  <c r="AY67" i="48" s="1"/>
  <c r="I69" i="48"/>
  <c r="K69" i="48" s="1"/>
  <c r="K68" i="48"/>
  <c r="AI66" i="48"/>
  <c r="AG67" i="48"/>
  <c r="AI67" i="48" s="1"/>
  <c r="S66" i="48"/>
  <c r="Q67" i="48"/>
  <c r="S67" i="48" s="1"/>
  <c r="U69" i="48"/>
  <c r="W69" i="48" s="1"/>
  <c r="W68" i="48"/>
  <c r="O66" i="48"/>
  <c r="M67" i="48"/>
  <c r="O67" i="48" s="1"/>
  <c r="I70" i="48" l="1"/>
  <c r="Y70" i="48"/>
  <c r="AC70" i="48"/>
  <c r="U70" i="48"/>
  <c r="AG68" i="48"/>
  <c r="AW68" i="48"/>
  <c r="M68" i="48"/>
  <c r="Q68" i="48"/>
  <c r="E70" i="48"/>
  <c r="AO70" i="48"/>
  <c r="AS70" i="48"/>
  <c r="AK68" i="48"/>
  <c r="Q69" i="48" l="1"/>
  <c r="S69" i="48" s="1"/>
  <c r="S68" i="48"/>
  <c r="U71" i="48"/>
  <c r="W71" i="48" s="1"/>
  <c r="W70" i="48"/>
  <c r="AO71" i="48"/>
  <c r="AQ71" i="48" s="1"/>
  <c r="AQ70" i="48"/>
  <c r="AW69" i="48"/>
  <c r="AY69" i="48" s="1"/>
  <c r="AY68" i="48"/>
  <c r="Y71" i="48"/>
  <c r="AA71" i="48" s="1"/>
  <c r="AA70" i="48"/>
  <c r="AS71" i="48"/>
  <c r="AU71" i="48" s="1"/>
  <c r="AU70" i="48"/>
  <c r="E71" i="48"/>
  <c r="G71" i="48" s="1"/>
  <c r="G70" i="48"/>
  <c r="M69" i="48"/>
  <c r="O69" i="48" s="1"/>
  <c r="O68" i="48"/>
  <c r="AK69" i="48"/>
  <c r="AM69" i="48" s="1"/>
  <c r="AM68" i="48"/>
  <c r="AG69" i="48"/>
  <c r="AI69" i="48" s="1"/>
  <c r="AI68" i="48"/>
  <c r="AC71" i="48"/>
  <c r="AE71" i="48" s="1"/>
  <c r="AE70" i="48"/>
  <c r="I71" i="48"/>
  <c r="K71" i="48" s="1"/>
  <c r="K70" i="48"/>
  <c r="I72" i="48" l="1"/>
  <c r="AG70" i="48"/>
  <c r="M70" i="48"/>
  <c r="AS72" i="48"/>
  <c r="AW70" i="48"/>
  <c r="U72" i="48"/>
  <c r="AC72" i="48"/>
  <c r="AK70" i="48"/>
  <c r="E72" i="48"/>
  <c r="Y72" i="48"/>
  <c r="AO72" i="48"/>
  <c r="Q70" i="48"/>
  <c r="AA72" i="48" l="1"/>
  <c r="Y73" i="48"/>
  <c r="AA73" i="48" s="1"/>
  <c r="AK71" i="48"/>
  <c r="AM71" i="48" s="1"/>
  <c r="AM70" i="48"/>
  <c r="W72" i="48"/>
  <c r="U73" i="48"/>
  <c r="W73" i="48" s="1"/>
  <c r="AU72" i="48"/>
  <c r="AS73" i="48"/>
  <c r="AU73" i="48" s="1"/>
  <c r="AG71" i="48"/>
  <c r="AI71" i="48" s="1"/>
  <c r="AI70" i="48"/>
  <c r="AQ72" i="48"/>
  <c r="AO73" i="48"/>
  <c r="AQ73" i="48" s="1"/>
  <c r="G72" i="48"/>
  <c r="E73" i="48"/>
  <c r="G73" i="48" s="1"/>
  <c r="AE72" i="48"/>
  <c r="AC73" i="48"/>
  <c r="AE73" i="48" s="1"/>
  <c r="Q71" i="48"/>
  <c r="S71" i="48" s="1"/>
  <c r="S70" i="48"/>
  <c r="AW71" i="48"/>
  <c r="AY71" i="48" s="1"/>
  <c r="AY70" i="48"/>
  <c r="M71" i="48"/>
  <c r="O71" i="48" s="1"/>
  <c r="O70" i="48"/>
  <c r="K72" i="48"/>
  <c r="I73" i="48"/>
  <c r="K73" i="48" s="1"/>
  <c r="M72" i="48" l="1"/>
  <c r="E74" i="48"/>
  <c r="AG72" i="48"/>
  <c r="Y74" i="48"/>
  <c r="Q72" i="48"/>
  <c r="U74" i="48"/>
  <c r="AK72" i="48"/>
  <c r="I74" i="48"/>
  <c r="AW72" i="48"/>
  <c r="AC74" i="48"/>
  <c r="AO74" i="48"/>
  <c r="AS74" i="48"/>
  <c r="AS75" i="48" l="1"/>
  <c r="AU75" i="48" s="1"/>
  <c r="AU74" i="48"/>
  <c r="I75" i="48"/>
  <c r="K75" i="48" s="1"/>
  <c r="K74" i="48"/>
  <c r="E75" i="48"/>
  <c r="G75" i="48" s="1"/>
  <c r="G74" i="48"/>
  <c r="AO75" i="48"/>
  <c r="AQ75" i="48" s="1"/>
  <c r="AQ74" i="48"/>
  <c r="AY72" i="48"/>
  <c r="AW73" i="48"/>
  <c r="AY73" i="48" s="1"/>
  <c r="AM72" i="48"/>
  <c r="AK73" i="48"/>
  <c r="AM73" i="48" s="1"/>
  <c r="S72" i="48"/>
  <c r="Q73" i="48"/>
  <c r="S73" i="48" s="1"/>
  <c r="AI72" i="48"/>
  <c r="AG73" i="48"/>
  <c r="AI73" i="48" s="1"/>
  <c r="AC75" i="48"/>
  <c r="AE75" i="48" s="1"/>
  <c r="AE74" i="48"/>
  <c r="U75" i="48"/>
  <c r="W75" i="48" s="1"/>
  <c r="W74" i="48"/>
  <c r="Y75" i="48"/>
  <c r="AA75" i="48" s="1"/>
  <c r="AA74" i="48"/>
  <c r="O72" i="48"/>
  <c r="M73" i="48"/>
  <c r="O73" i="48" s="1"/>
  <c r="AW74" i="48" l="1"/>
  <c r="Q74" i="48"/>
  <c r="M74" i="48"/>
  <c r="AG74" i="48"/>
  <c r="AK74" i="48"/>
  <c r="M75" i="48" l="1"/>
  <c r="O75" i="48" s="1"/>
  <c r="O74" i="48"/>
  <c r="AG75" i="48"/>
  <c r="AI75" i="48" s="1"/>
  <c r="AI74" i="48"/>
  <c r="AK75" i="48"/>
  <c r="AM75" i="48" s="1"/>
  <c r="AM74" i="48"/>
  <c r="Q75" i="48"/>
  <c r="S75" i="48" s="1"/>
  <c r="S74" i="48"/>
  <c r="AW75" i="48"/>
  <c r="AY75" i="48" s="1"/>
  <c r="AY74" i="48"/>
  <c r="E11" i="33" l="1"/>
  <c r="E12" i="33"/>
  <c r="E14" i="33"/>
  <c r="E15" i="33"/>
  <c r="E16" i="33"/>
  <c r="E17" i="33"/>
  <c r="E18" i="33"/>
  <c r="E19" i="33"/>
  <c r="E21" i="33"/>
  <c r="E20" i="33"/>
  <c r="C354" i="1" l="1"/>
  <c r="C353" i="1"/>
  <c r="C352" i="1"/>
  <c r="E7" i="13" l="1"/>
  <c r="G3" i="17"/>
  <c r="I3" i="18"/>
  <c r="A1" i="19"/>
  <c r="B1" i="32"/>
  <c r="B1" i="33"/>
  <c r="A1" i="34"/>
  <c r="A1" i="16"/>
  <c r="H327" i="1"/>
  <c r="G71" i="9"/>
  <c r="I71" i="9" s="1"/>
  <c r="I58" i="9"/>
  <c r="I50" i="9"/>
  <c r="H44" i="9"/>
  <c r="I23" i="9"/>
  <c r="I52" i="9" l="1"/>
  <c r="G1" i="9"/>
  <c r="G7" i="12"/>
  <c r="G57" i="12"/>
  <c r="E3" i="14"/>
  <c r="A1" i="5" l="1"/>
  <c r="A1" i="7"/>
  <c r="F233" i="1" l="1"/>
  <c r="F232" i="1"/>
  <c r="F231" i="1"/>
  <c r="H225" i="1"/>
  <c r="F196" i="1"/>
  <c r="D8" i="7" l="1"/>
  <c r="E327" i="1" l="1"/>
  <c r="E299" i="1"/>
  <c r="E291" i="1"/>
  <c r="E256" i="1"/>
  <c r="E250" i="1"/>
  <c r="E249" i="1"/>
  <c r="E237" i="1"/>
  <c r="E222" i="1"/>
  <c r="E190" i="1"/>
  <c r="E189" i="1"/>
  <c r="E183" i="1"/>
  <c r="E166" i="1"/>
  <c r="E162" i="1"/>
  <c r="E161" i="1"/>
  <c r="E155" i="1"/>
  <c r="E152" i="1"/>
  <c r="E146" i="1"/>
  <c r="E142" i="1"/>
  <c r="E141" i="1"/>
  <c r="E125" i="1"/>
  <c r="E126" i="1" s="1"/>
  <c r="E113" i="1"/>
  <c r="E108" i="1"/>
  <c r="E66" i="1"/>
  <c r="E60" i="1"/>
  <c r="E54" i="1"/>
  <c r="E46" i="1"/>
  <c r="E30" i="1"/>
  <c r="E28" i="1"/>
  <c r="E26" i="1"/>
  <c r="E19" i="1"/>
  <c r="D87" i="1" l="1"/>
  <c r="D88" i="1" s="1"/>
  <c r="D89" i="1" s="1"/>
  <c r="D90" i="1" s="1"/>
  <c r="E76" i="13" l="1"/>
  <c r="H265" i="1" l="1"/>
  <c r="I77" i="8" s="1"/>
  <c r="H264" i="1"/>
  <c r="I76" i="8" s="1"/>
  <c r="H263" i="1"/>
  <c r="I75" i="8" s="1"/>
  <c r="F129" i="1"/>
  <c r="H96" i="1" l="1"/>
  <c r="E47" i="17" l="1"/>
  <c r="F47" i="17"/>
  <c r="I47" i="17"/>
  <c r="D44" i="18"/>
  <c r="G44" i="18"/>
  <c r="H44" i="18"/>
  <c r="I44" i="18"/>
  <c r="J44" i="18"/>
  <c r="K44" i="18"/>
  <c r="L44" i="18"/>
  <c r="N44" i="18"/>
  <c r="M44" i="18"/>
  <c r="F24" i="18"/>
  <c r="G24" i="18"/>
  <c r="H24" i="18"/>
  <c r="I24" i="18"/>
  <c r="J24" i="18"/>
  <c r="H148" i="1"/>
  <c r="C33" i="10" l="1"/>
  <c r="D33" i="10"/>
  <c r="E33" i="10"/>
  <c r="F33" i="10"/>
  <c r="G33" i="10"/>
  <c r="H33" i="10"/>
  <c r="I33" i="10"/>
  <c r="J33" i="10"/>
  <c r="K33" i="10"/>
  <c r="L33" i="10"/>
  <c r="M33" i="10"/>
  <c r="N33" i="10"/>
  <c r="O33" i="10"/>
  <c r="B33" i="10"/>
  <c r="P33" i="10" l="1"/>
  <c r="H149" i="1" l="1"/>
  <c r="G135" i="9"/>
  <c r="E22" i="33"/>
  <c r="E23" i="33"/>
  <c r="E10" i="33"/>
  <c r="C56" i="34"/>
  <c r="G23" i="32" l="1"/>
  <c r="H161" i="1"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228" i="9" s="1"/>
  <c r="L228" i="9" s="1"/>
  <c r="G34" i="32"/>
  <c r="G33" i="32"/>
  <c r="G32" i="32"/>
  <c r="G31" i="32"/>
  <c r="G30" i="32"/>
  <c r="G29" i="32"/>
  <c r="G28" i="32"/>
  <c r="G27" i="32"/>
  <c r="G26" i="32"/>
  <c r="G25" i="32"/>
  <c r="G24" i="32"/>
  <c r="G22" i="32"/>
  <c r="G21" i="32"/>
  <c r="G20" i="32"/>
  <c r="G19" i="32"/>
  <c r="G18" i="32"/>
  <c r="G17" i="32"/>
  <c r="G16" i="32"/>
  <c r="G15" i="32"/>
  <c r="G14" i="32"/>
  <c r="G13" i="32"/>
  <c r="G12" i="32"/>
  <c r="G11" i="32"/>
  <c r="A11" i="32"/>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0" i="32"/>
  <c r="T110" i="9"/>
  <c r="Y110" i="9" s="1"/>
  <c r="T111" i="9"/>
  <c r="Y111" i="9" s="1"/>
  <c r="G35" i="32" l="1"/>
  <c r="S122" i="9"/>
  <c r="R122" i="9"/>
  <c r="Q122" i="9"/>
  <c r="P122" i="9"/>
  <c r="O122" i="9"/>
  <c r="N122" i="9"/>
  <c r="M122" i="9"/>
  <c r="L122" i="9"/>
  <c r="K122" i="9"/>
  <c r="J122" i="9"/>
  <c r="I122" i="9"/>
  <c r="H122" i="9"/>
  <c r="G122" i="9"/>
  <c r="T120" i="9"/>
  <c r="Y120" i="9" s="1"/>
  <c r="T118" i="9"/>
  <c r="Y118" i="9" s="1"/>
  <c r="T117" i="9"/>
  <c r="Y117" i="9" s="1"/>
  <c r="T116" i="9"/>
  <c r="Y116" i="9" s="1"/>
  <c r="T115" i="9"/>
  <c r="Y115" i="9" s="1"/>
  <c r="T114" i="9"/>
  <c r="Y114" i="9" s="1"/>
  <c r="T113" i="9"/>
  <c r="Y113" i="9" s="1"/>
  <c r="T112" i="9"/>
  <c r="Y112" i="9" s="1"/>
  <c r="T109" i="9"/>
  <c r="Y109" i="9" s="1"/>
  <c r="T108" i="9"/>
  <c r="Y108" i="9" s="1"/>
  <c r="T107" i="9"/>
  <c r="Y107" i="9" s="1"/>
  <c r="T106" i="9"/>
  <c r="V106" i="9" s="1"/>
  <c r="G38" i="32" l="1"/>
  <c r="H136" i="1" s="1"/>
  <c r="AB122" i="9"/>
  <c r="T122" i="9"/>
  <c r="Y122" i="9"/>
  <c r="V122" i="9"/>
  <c r="A20" i="7" l="1"/>
  <c r="G19" i="7"/>
  <c r="G18" i="7"/>
  <c r="G17" i="7"/>
  <c r="G16" i="7"/>
  <c r="G15" i="7"/>
  <c r="G13" i="7"/>
  <c r="G14" i="7"/>
  <c r="G12" i="7"/>
  <c r="G7" i="7"/>
  <c r="G8" i="7" s="1"/>
  <c r="D33" i="7" l="1"/>
  <c r="H14" i="1" l="1"/>
  <c r="H16" i="1" l="1"/>
  <c r="Z119" i="9" s="1"/>
  <c r="AA119" i="9" s="1"/>
  <c r="AC119" i="9" s="1"/>
  <c r="T96" i="9" l="1"/>
  <c r="T97" i="9" s="1"/>
  <c r="V97" i="9" s="1"/>
  <c r="I143" i="50"/>
  <c r="I147" i="50" s="1"/>
  <c r="I13" i="50" s="1"/>
  <c r="I245" i="50"/>
  <c r="I249" i="50" s="1"/>
  <c r="I289" i="50"/>
  <c r="I293" i="50" s="1"/>
  <c r="I15" i="50" s="1"/>
  <c r="I72" i="50"/>
  <c r="I76" i="50" s="1"/>
  <c r="I11" i="50" s="1"/>
  <c r="I170" i="50"/>
  <c r="I174" i="50" s="1"/>
  <c r="I218" i="50"/>
  <c r="I222" i="50" s="1"/>
  <c r="I14" i="50" s="1"/>
  <c r="I309" i="50"/>
  <c r="I313" i="50" s="1"/>
  <c r="I99" i="50"/>
  <c r="I103" i="50" s="1"/>
  <c r="H131" i="9"/>
  <c r="G26" i="33"/>
  <c r="Z110" i="9"/>
  <c r="AA110" i="9" s="1"/>
  <c r="AC110" i="9" s="1"/>
  <c r="Z117" i="9"/>
  <c r="AA117" i="9" s="1"/>
  <c r="Z106" i="9"/>
  <c r="AA106" i="9" s="1"/>
  <c r="Z107" i="9"/>
  <c r="AA107" i="9" s="1"/>
  <c r="Z111" i="9"/>
  <c r="AA111" i="9" s="1"/>
  <c r="AC111" i="9" s="1"/>
  <c r="Z114" i="9"/>
  <c r="AA114" i="9" s="1"/>
  <c r="Z118" i="9"/>
  <c r="AA118" i="9" s="1"/>
  <c r="Z108" i="9"/>
  <c r="AA108" i="9" s="1"/>
  <c r="Z112" i="9"/>
  <c r="AA112" i="9" s="1"/>
  <c r="Z115" i="9"/>
  <c r="AA115" i="9" s="1"/>
  <c r="Z120" i="9"/>
  <c r="AA120" i="9" s="1"/>
  <c r="Z109" i="9"/>
  <c r="AA109" i="9" s="1"/>
  <c r="Z113" i="9"/>
  <c r="AA113" i="9" s="1"/>
  <c r="Z116" i="9"/>
  <c r="AA116" i="9" s="1"/>
  <c r="F20" i="7"/>
  <c r="G20" i="7" s="1"/>
  <c r="V96" i="9" l="1"/>
  <c r="N98" i="9" s="1"/>
  <c r="I17" i="50"/>
  <c r="AA122" i="9"/>
  <c r="H98" i="9" l="1"/>
  <c r="J98" i="9"/>
  <c r="G98" i="9"/>
  <c r="L98" i="9"/>
  <c r="Q98" i="9"/>
  <c r="M98" i="9"/>
  <c r="P98" i="9"/>
  <c r="S98" i="9"/>
  <c r="O98" i="9"/>
  <c r="K98" i="9"/>
  <c r="R98" i="9"/>
  <c r="I98" i="9"/>
  <c r="E26" i="14"/>
  <c r="J48" i="13" s="1"/>
  <c r="H227" i="9" l="1"/>
  <c r="G13" i="33" l="1"/>
  <c r="E13" i="33" s="1"/>
  <c r="E254" i="9"/>
  <c r="E256" i="9" s="1"/>
  <c r="E257" i="9" s="1"/>
  <c r="G24" i="33" l="1"/>
  <c r="G27" i="33" s="1"/>
  <c r="I217" i="9"/>
  <c r="C31" i="18" s="1"/>
  <c r="I219" i="9"/>
  <c r="D11" i="18" s="1"/>
  <c r="I221" i="9"/>
  <c r="E31" i="18" s="1"/>
  <c r="I220" i="9"/>
  <c r="E11" i="18" s="1"/>
  <c r="L12" i="18" l="1"/>
  <c r="I216" i="9"/>
  <c r="I218" i="9"/>
  <c r="F31" i="18" s="1"/>
  <c r="C11" i="18" l="1"/>
  <c r="K11" i="18" s="1"/>
  <c r="M12" i="18"/>
  <c r="L13" i="18"/>
  <c r="E58" i="18"/>
  <c r="K12" i="18"/>
  <c r="C44" i="18"/>
  <c r="M13" i="18"/>
  <c r="L23" i="18"/>
  <c r="M23" i="18"/>
  <c r="L14" i="18" l="1"/>
  <c r="F44" i="18"/>
  <c r="K13" i="18"/>
  <c r="M14" i="18"/>
  <c r="E59" i="18"/>
  <c r="F324" i="1"/>
  <c r="L15" i="18" l="1"/>
  <c r="E60" i="18"/>
  <c r="K14" i="18"/>
  <c r="M15" i="18"/>
  <c r="F185" i="1"/>
  <c r="L16" i="18" l="1"/>
  <c r="E44" i="18"/>
  <c r="K15" i="18"/>
  <c r="M16" i="18"/>
  <c r="F56" i="1"/>
  <c r="F50" i="1"/>
  <c r="L17" i="18" l="1"/>
  <c r="M17" i="18"/>
  <c r="K16" i="18"/>
  <c r="L18" i="18" l="1"/>
  <c r="K17" i="18"/>
  <c r="M18" i="18"/>
  <c r="H183" i="1"/>
  <c r="H181" i="1"/>
  <c r="L19" i="18" l="1"/>
  <c r="M19" i="18"/>
  <c r="K18" i="18"/>
  <c r="I239" i="9"/>
  <c r="H190" i="1" s="1"/>
  <c r="I238" i="9"/>
  <c r="H189" i="1" s="1"/>
  <c r="I235" i="9"/>
  <c r="H177" i="1" s="1"/>
  <c r="K66" i="12" s="1"/>
  <c r="L20" i="18" l="1"/>
  <c r="K19" i="18"/>
  <c r="M20" i="18"/>
  <c r="F79" i="1"/>
  <c r="F77" i="1"/>
  <c r="F75" i="1"/>
  <c r="L21" i="18" l="1"/>
  <c r="M22" i="18"/>
  <c r="M21" i="18"/>
  <c r="K20" i="18"/>
  <c r="F328" i="1"/>
  <c r="F319" i="1"/>
  <c r="F317" i="1"/>
  <c r="F316" i="1"/>
  <c r="F315" i="1"/>
  <c r="F314" i="1"/>
  <c r="F312" i="1"/>
  <c r="F308" i="1"/>
  <c r="F307" i="1"/>
  <c r="F306" i="1"/>
  <c r="F305" i="1"/>
  <c r="F304" i="1"/>
  <c r="F301" i="1"/>
  <c r="F295" i="1"/>
  <c r="F294" i="1"/>
  <c r="F293" i="1"/>
  <c r="F292" i="1"/>
  <c r="F290" i="1"/>
  <c r="F287" i="1"/>
  <c r="F285" i="1"/>
  <c r="F284" i="1"/>
  <c r="F283" i="1"/>
  <c r="F282" i="1"/>
  <c r="F281" i="1"/>
  <c r="F279" i="1"/>
  <c r="F278" i="1"/>
  <c r="F277" i="1"/>
  <c r="F244" i="1"/>
  <c r="F242" i="1"/>
  <c r="F241" i="1"/>
  <c r="F240" i="1"/>
  <c r="F239" i="1"/>
  <c r="F236" i="1"/>
  <c r="F235" i="1"/>
  <c r="F229" i="1"/>
  <c r="F228" i="1"/>
  <c r="F226" i="1"/>
  <c r="F225" i="1"/>
  <c r="F215" i="1"/>
  <c r="F202" i="1"/>
  <c r="F193" i="1"/>
  <c r="F192" i="1"/>
  <c r="F191" i="1"/>
  <c r="F187" i="1"/>
  <c r="F186" i="1"/>
  <c r="F131" i="1"/>
  <c r="F127" i="1"/>
  <c r="F126" i="1"/>
  <c r="F122" i="1"/>
  <c r="F120" i="1"/>
  <c r="F117" i="1"/>
  <c r="F115" i="1"/>
  <c r="F114" i="1"/>
  <c r="F81" i="1"/>
  <c r="F76" i="1"/>
  <c r="F62" i="1"/>
  <c r="F58" i="1"/>
  <c r="F57" i="1"/>
  <c r="L22" i="18" l="1"/>
  <c r="D24" i="18"/>
  <c r="E24" i="18"/>
  <c r="K22" i="18"/>
  <c r="K21" i="18"/>
  <c r="H67" i="1"/>
  <c r="H55" i="1"/>
  <c r="F68" i="1"/>
  <c r="F21" i="1"/>
  <c r="H47" i="1"/>
  <c r="C24" i="18" l="1"/>
  <c r="H47" i="17"/>
  <c r="F156" i="1" l="1"/>
  <c r="F143" i="1"/>
  <c r="A24" i="1"/>
  <c r="H31" i="1"/>
  <c r="H29" i="1"/>
  <c r="F22" i="1"/>
  <c r="A26" i="1" l="1"/>
  <c r="F72" i="1" s="1"/>
  <c r="A28" i="1" l="1"/>
  <c r="F73" i="1" s="1"/>
  <c r="D51" i="18"/>
  <c r="E51" i="18"/>
  <c r="F51" i="18"/>
  <c r="D63" i="18"/>
  <c r="E63" i="18"/>
  <c r="F63" i="18"/>
  <c r="C63" i="18"/>
  <c r="C51" i="18"/>
  <c r="L11" i="18"/>
  <c r="K23" i="18"/>
  <c r="M11" i="18"/>
  <c r="A30" i="1" l="1"/>
  <c r="E52" i="18"/>
  <c r="F74" i="1" l="1"/>
  <c r="F32" i="1"/>
  <c r="F52" i="18"/>
  <c r="E53" i="18"/>
  <c r="F53" i="18" l="1"/>
  <c r="E54" i="18"/>
  <c r="E55" i="18" l="1"/>
  <c r="F54" i="18"/>
  <c r="F55" i="18" l="1"/>
  <c r="E56" i="18"/>
  <c r="F56" i="18" l="1"/>
  <c r="E57" i="18"/>
  <c r="F57" i="18" l="1"/>
  <c r="F58" i="18" l="1"/>
  <c r="F59" i="18" l="1"/>
  <c r="E62" i="18" l="1"/>
  <c r="E61" i="18"/>
  <c r="F60" i="18"/>
  <c r="E64" i="18" l="1"/>
  <c r="F62" i="18"/>
  <c r="F61" i="18"/>
  <c r="F64" i="18" l="1"/>
  <c r="H322" i="1"/>
  <c r="E37" i="5" l="1"/>
  <c r="I63" i="8"/>
  <c r="I61" i="8"/>
  <c r="I39" i="8"/>
  <c r="I35" i="8"/>
  <c r="I34" i="8"/>
  <c r="I29" i="8"/>
  <c r="I27" i="8"/>
  <c r="I24" i="8"/>
  <c r="H299" i="1"/>
  <c r="H291" i="1"/>
  <c r="H250" i="1"/>
  <c r="E258" i="9" s="1"/>
  <c r="E259" i="9" s="1"/>
  <c r="E260" i="9" s="1"/>
  <c r="E252" i="9" s="1"/>
  <c r="D34" i="7" s="1"/>
  <c r="I36" i="8"/>
  <c r="H166" i="1"/>
  <c r="K93" i="12" s="1"/>
  <c r="H162" i="1"/>
  <c r="H138" i="1"/>
  <c r="H137" i="1"/>
  <c r="H126" i="1"/>
  <c r="H125" i="1"/>
  <c r="H236" i="1"/>
  <c r="I33" i="8"/>
  <c r="H215" i="1"/>
  <c r="H218" i="1" s="1"/>
  <c r="J23" i="17"/>
  <c r="I23" i="17"/>
  <c r="H23" i="17"/>
  <c r="G23" i="17"/>
  <c r="F23" i="17"/>
  <c r="C23" i="17"/>
  <c r="I22" i="17"/>
  <c r="C22" i="17"/>
  <c r="C21" i="17"/>
  <c r="C20" i="17"/>
  <c r="G19" i="17"/>
  <c r="C19" i="17"/>
  <c r="C18" i="17"/>
  <c r="C17" i="17"/>
  <c r="C16" i="17"/>
  <c r="G15" i="17"/>
  <c r="C15" i="17"/>
  <c r="C14" i="17"/>
  <c r="I13" i="17"/>
  <c r="C13" i="17"/>
  <c r="C12" i="17"/>
  <c r="J11" i="17"/>
  <c r="I11" i="17"/>
  <c r="H11" i="17"/>
  <c r="G11" i="17"/>
  <c r="F11" i="17"/>
  <c r="E11" i="17"/>
  <c r="D11" i="17"/>
  <c r="C11" i="17"/>
  <c r="H102"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E23" i="17"/>
  <c r="E22" i="17"/>
  <c r="E21" i="17"/>
  <c r="E20" i="17"/>
  <c r="E19" i="17"/>
  <c r="E18" i="17"/>
  <c r="E17" i="17"/>
  <c r="E16" i="17"/>
  <c r="E15" i="17"/>
  <c r="E14" i="17"/>
  <c r="E13" i="17"/>
  <c r="E12" i="17"/>
  <c r="C103" i="19"/>
  <c r="H20"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40" i="1" s="1"/>
  <c r="M23" i="17" l="1"/>
  <c r="F70" i="19"/>
  <c r="I28" i="8"/>
  <c r="I48" i="8"/>
  <c r="H24" i="17"/>
  <c r="H26" i="17" s="1"/>
  <c r="D47" i="17"/>
  <c r="H60" i="1" s="1"/>
  <c r="E24" i="17"/>
  <c r="I24" i="17"/>
  <c r="H26" i="1" s="1"/>
  <c r="J24" i="17"/>
  <c r="J26" i="17" s="1"/>
  <c r="G24" i="17"/>
  <c r="H127" i="1"/>
  <c r="H228" i="1"/>
  <c r="I21" i="8"/>
  <c r="I62" i="8"/>
  <c r="E70" i="19"/>
  <c r="M14" i="17"/>
  <c r="M18" i="17"/>
  <c r="M22" i="17"/>
  <c r="H76" i="1"/>
  <c r="H113" i="1"/>
  <c r="C24" i="17"/>
  <c r="H46" i="1" s="1"/>
  <c r="M17" i="17"/>
  <c r="M19" i="17"/>
  <c r="D74" i="19"/>
  <c r="M15" i="17"/>
  <c r="M20" i="17"/>
  <c r="M12" i="17"/>
  <c r="N24" i="18"/>
  <c r="G64" i="18"/>
  <c r="H116" i="1"/>
  <c r="H64" i="18"/>
  <c r="D52" i="18"/>
  <c r="K23" i="17"/>
  <c r="M13" i="17"/>
  <c r="M16" i="17"/>
  <c r="M11" i="17"/>
  <c r="M21" i="17"/>
  <c r="H252" i="1"/>
  <c r="J270" i="9" s="1"/>
  <c r="L270" i="9" s="1"/>
  <c r="L275" i="9" s="1"/>
  <c r="C52" i="18"/>
  <c r="D53" i="18"/>
  <c r="H163" i="1"/>
  <c r="H209" i="1"/>
  <c r="I30" i="8"/>
  <c r="I40" i="8" s="1"/>
  <c r="I20" i="8"/>
  <c r="F31" i="5"/>
  <c r="H143" i="1"/>
  <c r="H191" i="1"/>
  <c r="H226" i="1"/>
  <c r="I37" i="8"/>
  <c r="I38" i="8" s="1"/>
  <c r="K11" i="17"/>
  <c r="L11" i="17"/>
  <c r="D12" i="17"/>
  <c r="L12" i="17" s="1"/>
  <c r="D35" i="7"/>
  <c r="D36" i="7" s="1"/>
  <c r="D38" i="7" s="1"/>
  <c r="D39" i="7" s="1"/>
  <c r="D24" i="7" s="1"/>
  <c r="G24" i="7" s="1"/>
  <c r="H186" i="1"/>
  <c r="D8" i="19"/>
  <c r="G8" i="19" s="1"/>
  <c r="H157" i="1"/>
  <c r="H114" i="1"/>
  <c r="H57" i="1"/>
  <c r="D14" i="19"/>
  <c r="D15" i="19"/>
  <c r="H192" i="1"/>
  <c r="G38" i="19"/>
  <c r="H254" i="1" l="1"/>
  <c r="F12" i="17"/>
  <c r="M24" i="17"/>
  <c r="M26" i="17" s="1"/>
  <c r="I22" i="8"/>
  <c r="I47" i="8" s="1"/>
  <c r="H253" i="1"/>
  <c r="H28" i="1"/>
  <c r="H30" i="1"/>
  <c r="C26" i="17"/>
  <c r="E66" i="12" s="1"/>
  <c r="E93" i="12" s="1"/>
  <c r="H115" i="1"/>
  <c r="D75" i="19"/>
  <c r="I64" i="8"/>
  <c r="I66" i="8" s="1"/>
  <c r="E26" i="17"/>
  <c r="H54" i="1"/>
  <c r="H21" i="1" s="1"/>
  <c r="H70" i="1"/>
  <c r="H193" i="1"/>
  <c r="H235" i="1"/>
  <c r="C53" i="18"/>
  <c r="F13" i="17"/>
  <c r="D54" i="18"/>
  <c r="F14" i="17" s="1"/>
  <c r="K14" i="17" s="1"/>
  <c r="H229" i="1"/>
  <c r="I41" i="8"/>
  <c r="G10" i="19"/>
  <c r="H50" i="1"/>
  <c r="D13" i="17"/>
  <c r="L13" i="17" s="1"/>
  <c r="H231" i="1" l="1"/>
  <c r="H232" i="1"/>
  <c r="H233" i="1"/>
  <c r="I45" i="8"/>
  <c r="I53" i="8" s="1"/>
  <c r="I44" i="8"/>
  <c r="I52" i="8" s="1"/>
  <c r="I43" i="8"/>
  <c r="I51" i="8" s="1"/>
  <c r="H258" i="1"/>
  <c r="Q147" i="53"/>
  <c r="Q149" i="53" s="1"/>
  <c r="Q161" i="53" s="1"/>
  <c r="Q163" i="53" s="1"/>
  <c r="K77" i="53"/>
  <c r="K79" i="53" s="1"/>
  <c r="K88" i="53" s="1"/>
  <c r="K147" i="53"/>
  <c r="K149" i="53" s="1"/>
  <c r="K161" i="53" s="1"/>
  <c r="K163" i="53" s="1"/>
  <c r="Q77" i="53"/>
  <c r="Q79" i="53" s="1"/>
  <c r="M147" i="53"/>
  <c r="M149" i="53" s="1"/>
  <c r="M161" i="53" s="1"/>
  <c r="M163" i="53" s="1"/>
  <c r="O77" i="53"/>
  <c r="O79" i="53" s="1"/>
  <c r="O88" i="53" s="1"/>
  <c r="O147" i="53"/>
  <c r="O149" i="53" s="1"/>
  <c r="O161" i="53" s="1"/>
  <c r="O163" i="53" s="1"/>
  <c r="M77" i="53"/>
  <c r="M79" i="53" s="1"/>
  <c r="M88" i="53" s="1"/>
  <c r="H267" i="1"/>
  <c r="H262" i="1"/>
  <c r="I65" i="8"/>
  <c r="K12" i="17"/>
  <c r="I18" i="12"/>
  <c r="I79" i="8"/>
  <c r="I70" i="8"/>
  <c r="H117" i="1"/>
  <c r="H73" i="1"/>
  <c r="H74" i="1"/>
  <c r="D76" i="19"/>
  <c r="K13" i="17"/>
  <c r="D55" i="18"/>
  <c r="C54" i="18"/>
  <c r="H290" i="1"/>
  <c r="D14" i="17"/>
  <c r="L14" i="17" s="1"/>
  <c r="O175" i="53" l="1"/>
  <c r="O177" i="53" s="1"/>
  <c r="O90" i="53"/>
  <c r="K175" i="53"/>
  <c r="K177" i="53" s="1"/>
  <c r="K90" i="53"/>
  <c r="M90" i="53"/>
  <c r="M175" i="53"/>
  <c r="M177" i="53" s="1"/>
  <c r="Q88" i="53"/>
  <c r="I54" i="8"/>
  <c r="I74" i="8"/>
  <c r="I78" i="8" s="1"/>
  <c r="I80" i="8" s="1"/>
  <c r="H266" i="1"/>
  <c r="H268" i="1" s="1"/>
  <c r="H240" i="1"/>
  <c r="H292" i="1"/>
  <c r="H239" i="1"/>
  <c r="H241" i="1"/>
  <c r="D77" i="19"/>
  <c r="F15" i="17"/>
  <c r="D56" i="18"/>
  <c r="F16" i="17" s="1"/>
  <c r="K16" i="17" s="1"/>
  <c r="C55" i="18"/>
  <c r="D15" i="17"/>
  <c r="L15" i="17" s="1"/>
  <c r="Q175" i="53" l="1"/>
  <c r="Q177" i="53" s="1"/>
  <c r="Q90" i="53"/>
  <c r="H242" i="1"/>
  <c r="H293" i="1"/>
  <c r="D78" i="19"/>
  <c r="C56" i="18"/>
  <c r="D57" i="18"/>
  <c r="F17" i="17" s="1"/>
  <c r="K17" i="17" s="1"/>
  <c r="K15" i="17"/>
  <c r="D16" i="17"/>
  <c r="L16" i="17" s="1"/>
  <c r="D79" i="19" l="1"/>
  <c r="D58" i="18"/>
  <c r="C57" i="18"/>
  <c r="D17" i="17"/>
  <c r="L17" i="17" s="1"/>
  <c r="D80" i="19" l="1"/>
  <c r="F18" i="17"/>
  <c r="C58" i="18"/>
  <c r="D59" i="18"/>
  <c r="F19" i="17" s="1"/>
  <c r="K19" i="17" s="1"/>
  <c r="D18" i="17"/>
  <c r="L18" i="17" s="1"/>
  <c r="D81" i="19" l="1"/>
  <c r="C59" i="18"/>
  <c r="D60" i="18"/>
  <c r="F20" i="17" s="1"/>
  <c r="K20" i="17" s="1"/>
  <c r="K18" i="17"/>
  <c r="D19" i="17"/>
  <c r="L19" i="17" s="1"/>
  <c r="D82" i="19" l="1"/>
  <c r="D61" i="18"/>
  <c r="F21" i="17" s="1"/>
  <c r="K21" i="17" s="1"/>
  <c r="C60" i="18"/>
  <c r="D20" i="17"/>
  <c r="L20" i="17" s="1"/>
  <c r="D83" i="19" l="1"/>
  <c r="C62" i="18"/>
  <c r="C61" i="18"/>
  <c r="D62" i="18"/>
  <c r="D64" i="18" s="1"/>
  <c r="K24" i="18"/>
  <c r="H19" i="1" s="1"/>
  <c r="D21" i="17"/>
  <c r="L21" i="17" s="1"/>
  <c r="C64" i="18" l="1"/>
  <c r="H22" i="1"/>
  <c r="D84" i="19"/>
  <c r="F22" i="17"/>
  <c r="F24" i="17" s="1"/>
  <c r="D22" i="17"/>
  <c r="L22" i="17" s="1"/>
  <c r="D85" i="19" l="1"/>
  <c r="D86" i="19" s="1"/>
  <c r="D51" i="19"/>
  <c r="I25" i="17" s="1"/>
  <c r="H24" i="1"/>
  <c r="K22" i="17"/>
  <c r="K24" i="17" s="1"/>
  <c r="M24" i="18"/>
  <c r="D23" i="17"/>
  <c r="D24" i="17" s="1"/>
  <c r="C15" i="19" l="1"/>
  <c r="H237" i="9" s="1"/>
  <c r="I237" i="9" s="1"/>
  <c r="H27" i="1"/>
  <c r="I26" i="17"/>
  <c r="F26" i="17"/>
  <c r="H66" i="1"/>
  <c r="K26" i="17"/>
  <c r="H66" i="12" s="1"/>
  <c r="L23" i="17"/>
  <c r="L24" i="17" s="1"/>
  <c r="H184" i="1" l="1"/>
  <c r="G15" i="19"/>
  <c r="H93" i="12"/>
  <c r="I19" i="12"/>
  <c r="H68" i="1"/>
  <c r="H72" i="1"/>
  <c r="H305" i="1"/>
  <c r="H52" i="1"/>
  <c r="H315" i="1" l="1"/>
  <c r="E75" i="13" l="1"/>
  <c r="E77" i="13" s="1"/>
  <c r="F12" i="13" s="1"/>
  <c r="B64" i="13"/>
  <c r="F41" i="14" l="1"/>
  <c r="F42" i="14" s="1"/>
  <c r="F43" i="14" s="1"/>
  <c r="F44" i="14" s="1"/>
  <c r="F45" i="14" s="1"/>
  <c r="F46" i="14" s="1"/>
  <c r="F47" i="14" s="1"/>
  <c r="F48" i="14" s="1"/>
  <c r="F49" i="14" s="1"/>
  <c r="F50" i="14" s="1"/>
  <c r="F51" i="14" s="1"/>
  <c r="F52" i="14" s="1"/>
  <c r="F53" i="14" s="1"/>
  <c r="E66" i="13" l="1"/>
  <c r="C47" i="17" l="1"/>
  <c r="H100" i="1" s="1"/>
  <c r="H153" i="1" l="1"/>
  <c r="H152" i="1"/>
  <c r="I24" i="33"/>
  <c r="I27" i="33" s="1"/>
  <c r="E20" i="5" l="1"/>
  <c r="G34" i="17"/>
  <c r="G42" i="17"/>
  <c r="G40" i="17"/>
  <c r="G43" i="17"/>
  <c r="G38" i="17"/>
  <c r="G46" i="17"/>
  <c r="G36" i="17"/>
  <c r="G35" i="17"/>
  <c r="G44" i="17"/>
  <c r="G41" i="17"/>
  <c r="G37" i="17"/>
  <c r="G45" i="17"/>
  <c r="G39" i="17"/>
  <c r="G47" i="17" l="1"/>
  <c r="H108" i="1" s="1"/>
  <c r="H109" i="1" l="1"/>
  <c r="D46" i="13" l="1"/>
  <c r="E28" i="13" l="1"/>
  <c r="E29" i="13"/>
  <c r="E30" i="13"/>
  <c r="E25" i="13"/>
  <c r="E27" i="13"/>
  <c r="E20" i="13"/>
  <c r="E26" i="13"/>
  <c r="E24" i="13"/>
  <c r="E19" i="13"/>
  <c r="E21" i="13"/>
  <c r="E18" i="13"/>
  <c r="E23" i="13"/>
  <c r="E22" i="13"/>
  <c r="F30" i="13" l="1"/>
  <c r="F29" i="13"/>
  <c r="F28" i="13"/>
  <c r="F22" i="13"/>
  <c r="F21" i="13"/>
  <c r="F26" i="13"/>
  <c r="F27" i="13"/>
  <c r="F19" i="13"/>
  <c r="F23" i="13"/>
  <c r="F20" i="13"/>
  <c r="F18" i="13"/>
  <c r="E46" i="13"/>
  <c r="F24" i="13"/>
  <c r="F25" i="13"/>
  <c r="F46" i="13" l="1"/>
  <c r="H24" i="33" l="1"/>
  <c r="H151" i="1"/>
  <c r="H165" i="1" s="1"/>
  <c r="H167" i="1" s="1"/>
  <c r="E24" i="33"/>
  <c r="H147" i="1" l="1"/>
  <c r="H156" i="1" l="1"/>
  <c r="H158" i="1" s="1"/>
  <c r="N75" i="12"/>
  <c r="N74" i="12"/>
  <c r="G39" i="19"/>
  <c r="C75" i="19"/>
  <c r="G75" i="19" s="1"/>
  <c r="G40" i="19" l="1"/>
  <c r="C74" i="19"/>
  <c r="G74" i="19" l="1"/>
  <c r="G41" i="19"/>
  <c r="C76" i="19"/>
  <c r="G76" i="19" s="1"/>
  <c r="G42" i="19" l="1"/>
  <c r="C77" i="19"/>
  <c r="G43" i="19" l="1"/>
  <c r="C78" i="19"/>
  <c r="G78" i="19" s="1"/>
  <c r="G77" i="19"/>
  <c r="G44" i="19" l="1"/>
  <c r="G45" i="19" l="1"/>
  <c r="C80" i="19"/>
  <c r="G80" i="19" s="1"/>
  <c r="G79" i="19"/>
  <c r="G46" i="19" l="1"/>
  <c r="C81" i="19"/>
  <c r="G81" i="19" s="1"/>
  <c r="G47" i="19" l="1"/>
  <c r="C82" i="19"/>
  <c r="G82" i="19" l="1"/>
  <c r="C83" i="19"/>
  <c r="G83" i="19" s="1"/>
  <c r="G48" i="19"/>
  <c r="G49" i="19" l="1"/>
  <c r="C84" i="19"/>
  <c r="G84" i="19" s="1"/>
  <c r="C51" i="19"/>
  <c r="G25" i="17" l="1"/>
  <c r="H25" i="1"/>
  <c r="H32" i="1" s="1"/>
  <c r="H34" i="1" s="1"/>
  <c r="G50" i="19"/>
  <c r="G51" i="19" s="1"/>
  <c r="C85" i="19"/>
  <c r="C86" i="19" l="1"/>
  <c r="C14" i="19" s="1"/>
  <c r="G85" i="19"/>
  <c r="H71" i="1"/>
  <c r="H75" i="1" s="1"/>
  <c r="H77" i="1" s="1"/>
  <c r="H79" i="1" s="1"/>
  <c r="G26" i="17"/>
  <c r="G86" i="19" l="1"/>
  <c r="H236" i="9" l="1"/>
  <c r="I236" i="9" s="1"/>
  <c r="C17" i="19"/>
  <c r="G14" i="19"/>
  <c r="G17" i="19" s="1"/>
  <c r="H182" i="1"/>
  <c r="H185" i="1" s="1"/>
  <c r="H187" i="1" s="1"/>
  <c r="D58" i="19" l="1"/>
  <c r="D66" i="19"/>
  <c r="D67" i="19"/>
  <c r="D64" i="19"/>
  <c r="D59" i="19"/>
  <c r="D60" i="19"/>
  <c r="D68" i="19"/>
  <c r="D65" i="19"/>
  <c r="D61" i="19"/>
  <c r="D69" i="19"/>
  <c r="D62" i="19"/>
  <c r="D63" i="19"/>
  <c r="I26" i="12"/>
  <c r="I27" i="12" s="1"/>
  <c r="L27" i="12" s="1"/>
  <c r="H196" i="1"/>
  <c r="H282" i="1" s="1"/>
  <c r="G22" i="19" l="1"/>
  <c r="C58" i="19"/>
  <c r="G58" i="19" s="1"/>
  <c r="G28" i="19"/>
  <c r="C64" i="19"/>
  <c r="G64" i="19" s="1"/>
  <c r="G24" i="19"/>
  <c r="C60" i="19"/>
  <c r="G60" i="19" s="1"/>
  <c r="G26" i="19"/>
  <c r="C62" i="19"/>
  <c r="G62" i="19" s="1"/>
  <c r="G29" i="19"/>
  <c r="C65" i="19"/>
  <c r="G65" i="19" s="1"/>
  <c r="G33" i="19"/>
  <c r="C69" i="19"/>
  <c r="G69" i="19" s="1"/>
  <c r="G32" i="19"/>
  <c r="C68" i="19"/>
  <c r="G68" i="19" s="1"/>
  <c r="G31" i="19"/>
  <c r="C67" i="19"/>
  <c r="G67" i="19" s="1"/>
  <c r="D57" i="19"/>
  <c r="D70" i="19" s="1"/>
  <c r="D34" i="19"/>
  <c r="G27" i="19"/>
  <c r="C63" i="19"/>
  <c r="G63" i="19" s="1"/>
  <c r="G25" i="19"/>
  <c r="C61" i="19"/>
  <c r="G61" i="19" s="1"/>
  <c r="C57" i="19"/>
  <c r="G21" i="19"/>
  <c r="G34" i="19" s="1"/>
  <c r="D25" i="17" s="1"/>
  <c r="C34" i="19"/>
  <c r="G23" i="19"/>
  <c r="C59" i="19"/>
  <c r="G59" i="19" s="1"/>
  <c r="G30" i="19"/>
  <c r="C66" i="19"/>
  <c r="G66" i="19" s="1"/>
  <c r="G57" i="19" l="1"/>
  <c r="G70" i="19" s="1"/>
  <c r="C70" i="19"/>
  <c r="H53" i="1"/>
  <c r="H56" i="1" s="1"/>
  <c r="H58" i="1" s="1"/>
  <c r="H62" i="1" s="1"/>
  <c r="D26" i="17"/>
  <c r="L25" i="17"/>
  <c r="L26" i="17" s="1"/>
  <c r="H36" i="1" l="1"/>
  <c r="H37" i="1" s="1"/>
  <c r="W119" i="9" s="1"/>
  <c r="H81" i="1"/>
  <c r="H39" i="1" l="1"/>
  <c r="H40" i="1" s="1"/>
  <c r="H168" i="1" s="1"/>
  <c r="H277" i="1"/>
  <c r="H290" i="50"/>
  <c r="H293" i="50" s="1"/>
  <c r="H219" i="50"/>
  <c r="H222" i="50" s="1"/>
  <c r="W114" i="9"/>
  <c r="X114" i="9" s="1"/>
  <c r="AC114" i="9" s="1"/>
  <c r="W118" i="9"/>
  <c r="X118" i="9" s="1"/>
  <c r="AC118" i="9" s="1"/>
  <c r="W117" i="9"/>
  <c r="X117" i="9" s="1"/>
  <c r="AC117" i="9" s="1"/>
  <c r="W113" i="9"/>
  <c r="X113" i="9" s="1"/>
  <c r="AC113" i="9" s="1"/>
  <c r="H310" i="50"/>
  <c r="H313" i="50" s="1"/>
  <c r="E313" i="50" s="1"/>
  <c r="H257" i="1" s="1"/>
  <c r="W108" i="9"/>
  <c r="X108" i="9" s="1"/>
  <c r="AC108" i="9" s="1"/>
  <c r="F37" i="5"/>
  <c r="G37" i="5" s="1"/>
  <c r="W112" i="9"/>
  <c r="X112" i="9" s="1"/>
  <c r="AC112" i="9" s="1"/>
  <c r="W109" i="9"/>
  <c r="X109" i="9" s="1"/>
  <c r="AC109" i="9" s="1"/>
  <c r="W116" i="9"/>
  <c r="X116" i="9" s="1"/>
  <c r="AC116" i="9" s="1"/>
  <c r="F20" i="5"/>
  <c r="G20" i="5" s="1"/>
  <c r="H133" i="9"/>
  <c r="G139" i="9" s="1"/>
  <c r="H73" i="50"/>
  <c r="H76" i="50" s="1"/>
  <c r="H171" i="50"/>
  <c r="W110" i="9"/>
  <c r="W115" i="9"/>
  <c r="X115" i="9" s="1"/>
  <c r="AC115" i="9" s="1"/>
  <c r="W120" i="9"/>
  <c r="X120" i="9" s="1"/>
  <c r="AC120" i="9" s="1"/>
  <c r="H100" i="50"/>
  <c r="H103" i="50" s="1"/>
  <c r="E103" i="50" s="1"/>
  <c r="H246" i="50"/>
  <c r="H249" i="50" s="1"/>
  <c r="E249" i="50" s="1"/>
  <c r="W106" i="9"/>
  <c r="X106" i="9" s="1"/>
  <c r="W111" i="9"/>
  <c r="H144" i="50"/>
  <c r="H147" i="50" s="1"/>
  <c r="W107" i="9"/>
  <c r="X107" i="9" s="1"/>
  <c r="AC107" i="9" s="1"/>
  <c r="D21" i="7" l="1"/>
  <c r="H15" i="50"/>
  <c r="E15" i="50" s="1"/>
  <c r="L164" i="49" s="1"/>
  <c r="L166" i="49" s="1"/>
  <c r="L168" i="49" s="1"/>
  <c r="L170" i="49" s="1"/>
  <c r="H90" i="1" s="1"/>
  <c r="E293" i="50"/>
  <c r="H13" i="50"/>
  <c r="E13" i="50" s="1"/>
  <c r="L98" i="49" s="1"/>
  <c r="L100" i="49" s="1"/>
  <c r="L102" i="49" s="1"/>
  <c r="L104" i="49" s="1"/>
  <c r="H88" i="1" s="1"/>
  <c r="E147" i="50"/>
  <c r="H174" i="50"/>
  <c r="E174" i="50" s="1"/>
  <c r="I175" i="50"/>
  <c r="H14" i="50"/>
  <c r="E14" i="50" s="1"/>
  <c r="L131" i="49" s="1"/>
  <c r="L133" i="49" s="1"/>
  <c r="L135" i="49" s="1"/>
  <c r="L137" i="49" s="1"/>
  <c r="H89" i="1" s="1"/>
  <c r="E222" i="50"/>
  <c r="H11" i="50"/>
  <c r="E76" i="50"/>
  <c r="H259" i="1"/>
  <c r="I69" i="8"/>
  <c r="I71" i="8" s="1"/>
  <c r="H169" i="1"/>
  <c r="H171" i="1" s="1"/>
  <c r="H26" i="33"/>
  <c r="H27" i="33" s="1"/>
  <c r="J28" i="33" s="1"/>
  <c r="X122" i="9"/>
  <c r="AC106" i="9"/>
  <c r="AC122" i="9" s="1"/>
  <c r="H105" i="1" s="1"/>
  <c r="G21" i="7" l="1"/>
  <c r="G23" i="7" s="1"/>
  <c r="G25" i="7" s="1"/>
  <c r="H298" i="1" s="1"/>
  <c r="I33" i="12" s="1"/>
  <c r="I34" i="12" s="1"/>
  <c r="L34" i="12" s="1"/>
  <c r="D23" i="7"/>
  <c r="I22" i="12"/>
  <c r="I23" i="12" s="1"/>
  <c r="L23" i="12" s="1"/>
  <c r="H120" i="1"/>
  <c r="H122" i="1" s="1"/>
  <c r="H281" i="1"/>
  <c r="E11" i="50"/>
  <c r="H17" i="50"/>
  <c r="E31" i="5"/>
  <c r="E53" i="5" s="1"/>
  <c r="D40" i="7" l="1"/>
  <c r="D44" i="7" s="1"/>
  <c r="L32" i="49"/>
  <c r="L34" i="49" s="1"/>
  <c r="L36" i="49" s="1"/>
  <c r="L38" i="49" s="1"/>
  <c r="H86" i="1" s="1"/>
  <c r="H91" i="1" s="1"/>
  <c r="H98" i="1" s="1"/>
  <c r="H129" i="1" s="1"/>
  <c r="E17" i="50"/>
  <c r="G31" i="5"/>
  <c r="G39" i="5" s="1"/>
  <c r="H200" i="1" s="1"/>
  <c r="H202" i="1" s="1"/>
  <c r="H283" i="1" s="1"/>
  <c r="E57" i="5"/>
  <c r="H278" i="1" l="1"/>
  <c r="H131" i="1"/>
  <c r="I30" i="12"/>
  <c r="I31" i="12" s="1"/>
  <c r="L31" i="12" s="1"/>
  <c r="L36" i="12" s="1"/>
  <c r="H244" i="1" l="1"/>
  <c r="I16" i="8"/>
  <c r="I56" i="8" s="1"/>
  <c r="I82" i="8" s="1"/>
  <c r="I84" i="8" s="1"/>
  <c r="I9" i="8" s="1"/>
  <c r="H313" i="1" s="1"/>
  <c r="H279" i="1"/>
  <c r="F68" i="12"/>
  <c r="G68" i="12" s="1"/>
  <c r="F76" i="12"/>
  <c r="G76" i="12" s="1"/>
  <c r="F77" i="12"/>
  <c r="G77" i="12" s="1"/>
  <c r="F78" i="12"/>
  <c r="G78" i="12" s="1"/>
  <c r="F75" i="12"/>
  <c r="G75" i="12" s="1"/>
  <c r="F71" i="12"/>
  <c r="G71" i="12" s="1"/>
  <c r="F72" i="12"/>
  <c r="G72" i="12" s="1"/>
  <c r="F74" i="12"/>
  <c r="G74" i="12" s="1"/>
  <c r="F73" i="12"/>
  <c r="G73" i="12" s="1"/>
  <c r="F70" i="12"/>
  <c r="G70" i="12" s="1"/>
  <c r="F67" i="12"/>
  <c r="G67" i="12" s="1"/>
  <c r="F69" i="12"/>
  <c r="G69" i="12" s="1"/>
  <c r="F66" i="12"/>
  <c r="G66" i="12" s="1"/>
  <c r="H284" i="1" l="1"/>
  <c r="I43" i="12" s="1"/>
  <c r="I44" i="12" s="1"/>
  <c r="H270" i="1"/>
  <c r="H272" i="1" s="1"/>
  <c r="H285" i="1" s="1"/>
  <c r="G93" i="12"/>
  <c r="I39" i="12" l="1"/>
  <c r="I40" i="12" s="1"/>
  <c r="L40" i="12" s="1"/>
  <c r="H287" i="1"/>
  <c r="H294" i="1" s="1"/>
  <c r="H295" i="1" s="1"/>
  <c r="H301" i="1" s="1"/>
  <c r="L44" i="12"/>
  <c r="I46" i="12" l="1"/>
  <c r="H304" i="1"/>
  <c r="H319" i="1"/>
  <c r="H312" i="1"/>
  <c r="H314" i="1" s="1"/>
  <c r="L46" i="12"/>
  <c r="H316" i="1" l="1"/>
  <c r="H317" i="1"/>
  <c r="L13" i="48" s="1"/>
  <c r="I73" i="12"/>
  <c r="J73" i="12" s="1"/>
  <c r="L73" i="12" s="1"/>
  <c r="I72" i="12"/>
  <c r="J72" i="12" s="1"/>
  <c r="L72" i="12" s="1"/>
  <c r="I67" i="12"/>
  <c r="J67" i="12" s="1"/>
  <c r="L67" i="12" s="1"/>
  <c r="I69" i="12"/>
  <c r="J69" i="12" s="1"/>
  <c r="L69" i="12" s="1"/>
  <c r="I77" i="12"/>
  <c r="J77" i="12" s="1"/>
  <c r="L77" i="12" s="1"/>
  <c r="O77" i="12" s="1"/>
  <c r="I78" i="12"/>
  <c r="J78" i="12" s="1"/>
  <c r="L78" i="12" s="1"/>
  <c r="O78" i="12" s="1"/>
  <c r="I74" i="12"/>
  <c r="J74" i="12" s="1"/>
  <c r="L74" i="12" s="1"/>
  <c r="O74" i="12" s="1"/>
  <c r="I76" i="12"/>
  <c r="J76" i="12" s="1"/>
  <c r="L76" i="12" s="1"/>
  <c r="I68" i="12"/>
  <c r="J68" i="12" s="1"/>
  <c r="L68" i="12" s="1"/>
  <c r="I66" i="12"/>
  <c r="J66" i="12" s="1"/>
  <c r="I75" i="12"/>
  <c r="J75" i="12" s="1"/>
  <c r="L75" i="12" s="1"/>
  <c r="O75" i="12" s="1"/>
  <c r="I71" i="12"/>
  <c r="J71" i="12" s="1"/>
  <c r="L71" i="12" s="1"/>
  <c r="I70" i="12"/>
  <c r="J70" i="12" s="1"/>
  <c r="L70" i="12" s="1"/>
  <c r="H306" i="1"/>
  <c r="H308" i="1"/>
  <c r="L18" i="48" s="1"/>
  <c r="H307" i="1"/>
  <c r="L12" i="48" s="1"/>
  <c r="BA29" i="48" s="1"/>
  <c r="BD60" i="48" l="1"/>
  <c r="BD62" i="48"/>
  <c r="BD64" i="48"/>
  <c r="BD66" i="48"/>
  <c r="BD68" i="48"/>
  <c r="BD70" i="48"/>
  <c r="BD72" i="48"/>
  <c r="BD74" i="48"/>
  <c r="AK29" i="48"/>
  <c r="AG29" i="48"/>
  <c r="AO29" i="48"/>
  <c r="AS29" i="48"/>
  <c r="AW29" i="48"/>
  <c r="M29" i="48"/>
  <c r="AC29" i="48"/>
  <c r="E29" i="48"/>
  <c r="I29" i="48"/>
  <c r="U29" i="48"/>
  <c r="Q29" i="48"/>
  <c r="Y29" i="48"/>
  <c r="L14" i="48"/>
  <c r="BA30" i="48" s="1"/>
  <c r="J93" i="12"/>
  <c r="L66" i="12"/>
  <c r="BD61" i="48" l="1"/>
  <c r="BD63" i="48"/>
  <c r="BD65" i="48"/>
  <c r="BD67" i="48"/>
  <c r="BD69" i="48"/>
  <c r="BD71" i="48"/>
  <c r="BD73" i="48"/>
  <c r="BD75" i="48"/>
  <c r="U30" i="48"/>
  <c r="M30" i="48"/>
  <c r="AS30" i="48"/>
  <c r="Q30" i="48"/>
  <c r="AO30" i="48"/>
  <c r="AK30" i="48"/>
  <c r="Y30" i="48"/>
  <c r="I30" i="48"/>
  <c r="AG30" i="48"/>
  <c r="AW30" i="48"/>
  <c r="E30" i="48"/>
  <c r="AC30" i="48"/>
  <c r="AB68" i="48"/>
  <c r="AB70" i="48"/>
  <c r="AB74" i="48"/>
  <c r="AB72" i="48"/>
  <c r="AB62" i="48"/>
  <c r="AB66" i="48"/>
  <c r="AB60" i="48"/>
  <c r="AB64" i="48"/>
  <c r="AR70" i="48"/>
  <c r="AR60" i="48"/>
  <c r="AR72" i="48"/>
  <c r="AR62" i="48"/>
  <c r="AR74" i="48"/>
  <c r="AR64" i="48"/>
  <c r="AR66" i="48"/>
  <c r="AR68" i="48"/>
  <c r="AJ72" i="48"/>
  <c r="AJ62" i="48"/>
  <c r="AJ64" i="48"/>
  <c r="AJ74" i="48"/>
  <c r="AJ60" i="48"/>
  <c r="AJ66" i="48"/>
  <c r="AJ68" i="48"/>
  <c r="AJ70" i="48"/>
  <c r="H66" i="48"/>
  <c r="H72" i="48"/>
  <c r="H68" i="48"/>
  <c r="H60" i="48"/>
  <c r="H70" i="48"/>
  <c r="H74" i="48"/>
  <c r="H62" i="48"/>
  <c r="H64" i="48"/>
  <c r="L93" i="12"/>
  <c r="O66" i="12"/>
  <c r="AF60" i="48"/>
  <c r="AF62" i="48"/>
  <c r="AF68" i="48"/>
  <c r="AF64" i="48"/>
  <c r="AF66" i="48"/>
  <c r="AF70" i="48"/>
  <c r="AF72" i="48"/>
  <c r="AF74" i="48"/>
  <c r="P64" i="48"/>
  <c r="P66" i="48"/>
  <c r="P68" i="48"/>
  <c r="P72" i="48"/>
  <c r="P70" i="48"/>
  <c r="P74" i="48"/>
  <c r="P62" i="48"/>
  <c r="P60" i="48"/>
  <c r="AZ62" i="48"/>
  <c r="AZ64" i="48"/>
  <c r="AZ66" i="48"/>
  <c r="AZ70" i="48"/>
  <c r="AZ68" i="48"/>
  <c r="AZ72" i="48"/>
  <c r="AZ74" i="48"/>
  <c r="AZ60" i="48"/>
  <c r="AV60" i="48"/>
  <c r="AV74" i="48"/>
  <c r="AV64" i="48"/>
  <c r="AV62" i="48"/>
  <c r="AV66" i="48"/>
  <c r="AV68" i="48"/>
  <c r="AV72" i="48"/>
  <c r="AV70" i="48"/>
  <c r="T66" i="48"/>
  <c r="T68" i="48"/>
  <c r="T74" i="48"/>
  <c r="T70" i="48"/>
  <c r="T72" i="48"/>
  <c r="T60" i="48"/>
  <c r="T62" i="48"/>
  <c r="T64" i="48"/>
  <c r="X72" i="48"/>
  <c r="X64" i="48"/>
  <c r="X60" i="48"/>
  <c r="X74" i="48"/>
  <c r="X62" i="48"/>
  <c r="X66" i="48"/>
  <c r="X70" i="48"/>
  <c r="X68" i="48"/>
  <c r="L70" i="48"/>
  <c r="L60" i="48"/>
  <c r="L72" i="48"/>
  <c r="L62" i="48"/>
  <c r="L74" i="48"/>
  <c r="L64" i="48"/>
  <c r="L66" i="48"/>
  <c r="L68" i="48"/>
  <c r="AN68" i="48"/>
  <c r="AN70" i="48"/>
  <c r="AN72" i="48"/>
  <c r="AN74" i="48"/>
  <c r="AN60" i="48"/>
  <c r="AN62" i="48"/>
  <c r="AN66" i="48"/>
  <c r="AN64" i="48"/>
  <c r="BE60" i="48" l="1"/>
  <c r="BG60" i="48" s="1"/>
  <c r="BE68" i="48"/>
  <c r="BG68" i="48" s="1"/>
  <c r="BE72" i="48"/>
  <c r="BE66" i="48"/>
  <c r="BE64" i="48"/>
  <c r="BG64" i="48" s="1"/>
  <c r="BE62" i="48"/>
  <c r="BG62" i="48" s="1"/>
  <c r="BE74" i="48"/>
  <c r="BG74" i="48" s="1"/>
  <c r="BE70" i="48"/>
  <c r="BG70" i="48" s="1"/>
  <c r="AN63" i="48"/>
  <c r="AN65" i="48"/>
  <c r="AN67" i="48"/>
  <c r="AN71" i="48"/>
  <c r="AN75" i="48"/>
  <c r="AN73" i="48"/>
  <c r="AN61" i="48"/>
  <c r="AN69" i="48"/>
  <c r="N73" i="12"/>
  <c r="O73" i="12" s="1"/>
  <c r="AF75" i="48"/>
  <c r="AF61" i="48"/>
  <c r="AF65" i="48"/>
  <c r="AF63" i="48"/>
  <c r="AF69" i="48"/>
  <c r="AF67" i="48"/>
  <c r="AF71" i="48"/>
  <c r="AF73" i="48"/>
  <c r="T67" i="48"/>
  <c r="T69" i="48"/>
  <c r="T61" i="48"/>
  <c r="T71" i="48"/>
  <c r="T73" i="48"/>
  <c r="N70" i="12"/>
  <c r="O70" i="12" s="1"/>
  <c r="T75" i="48"/>
  <c r="T63" i="48"/>
  <c r="T65" i="48"/>
  <c r="H69" i="48"/>
  <c r="H71" i="48"/>
  <c r="H75" i="48"/>
  <c r="H73" i="48"/>
  <c r="H61" i="48"/>
  <c r="H63" i="48"/>
  <c r="H65" i="48"/>
  <c r="H67" i="48"/>
  <c r="AV63" i="48"/>
  <c r="AV75" i="48"/>
  <c r="AV65" i="48"/>
  <c r="AV61" i="48"/>
  <c r="AV69" i="48"/>
  <c r="AV73" i="48"/>
  <c r="AV67" i="48"/>
  <c r="AV71" i="48"/>
  <c r="L65" i="48"/>
  <c r="L67" i="48"/>
  <c r="L69" i="48"/>
  <c r="L71" i="48"/>
  <c r="L73" i="48"/>
  <c r="L61" i="48"/>
  <c r="L75" i="48"/>
  <c r="L63" i="48"/>
  <c r="N68" i="12"/>
  <c r="O68" i="12" s="1"/>
  <c r="AR65" i="48"/>
  <c r="AR67" i="48"/>
  <c r="AR69" i="48"/>
  <c r="AR71" i="48"/>
  <c r="AR63" i="48"/>
  <c r="AR75" i="48"/>
  <c r="AR73" i="48"/>
  <c r="AR61" i="48"/>
  <c r="N76" i="12"/>
  <c r="O76" i="12" s="1"/>
  <c r="AZ67" i="48"/>
  <c r="AZ75" i="48"/>
  <c r="AZ69" i="48"/>
  <c r="AZ71" i="48"/>
  <c r="AZ73" i="48"/>
  <c r="AZ61" i="48"/>
  <c r="AZ63" i="48"/>
  <c r="AZ65" i="48"/>
  <c r="P73" i="48"/>
  <c r="N69" i="12"/>
  <c r="O69" i="12" s="1"/>
  <c r="P75" i="48"/>
  <c r="P61" i="48"/>
  <c r="P63" i="48"/>
  <c r="P67" i="48"/>
  <c r="P69" i="48"/>
  <c r="P71" i="48"/>
  <c r="P65" i="48"/>
  <c r="BG66" i="48"/>
  <c r="AB63" i="48"/>
  <c r="AB65" i="48"/>
  <c r="AB71" i="48"/>
  <c r="AB67" i="48"/>
  <c r="AB69" i="48"/>
  <c r="AB73" i="48"/>
  <c r="N72" i="12"/>
  <c r="O72" i="12" s="1"/>
  <c r="AB61" i="48"/>
  <c r="AB75" i="48"/>
  <c r="BG72" i="48"/>
  <c r="AJ63" i="48"/>
  <c r="AJ65" i="48"/>
  <c r="AJ67" i="48"/>
  <c r="AJ69" i="48"/>
  <c r="AJ73" i="48"/>
  <c r="AJ61" i="48"/>
  <c r="AJ75" i="48"/>
  <c r="AJ71" i="48"/>
  <c r="X73" i="48"/>
  <c r="X65" i="48"/>
  <c r="N71" i="12"/>
  <c r="O71" i="12" s="1"/>
  <c r="X75" i="48"/>
  <c r="X61" i="48"/>
  <c r="X63" i="48"/>
  <c r="X67" i="48"/>
  <c r="X71" i="48"/>
  <c r="X69" i="48"/>
  <c r="BE69" i="48" l="1"/>
  <c r="BE67" i="48"/>
  <c r="BE65" i="48"/>
  <c r="BF65" i="48" s="1"/>
  <c r="BE63" i="48"/>
  <c r="BF63" i="48" s="1"/>
  <c r="BE61" i="48"/>
  <c r="BF61" i="48" s="1"/>
  <c r="BE73" i="48"/>
  <c r="BF73" i="48" s="1"/>
  <c r="BE75" i="48"/>
  <c r="BF75" i="48" s="1"/>
  <c r="BE71" i="48"/>
  <c r="BF71" i="48" s="1"/>
  <c r="BF69" i="48"/>
  <c r="BG78" i="48"/>
  <c r="N67" i="12"/>
  <c r="BF67" i="48"/>
  <c r="G24" i="13"/>
  <c r="H24" i="13" s="1"/>
  <c r="D47" i="14" s="1"/>
  <c r="G47" i="14" s="1"/>
  <c r="J24" i="13" s="1"/>
  <c r="K24" i="13" s="1"/>
  <c r="P72" i="12" s="1"/>
  <c r="Q72" i="12" s="1"/>
  <c r="G28" i="13"/>
  <c r="H28" i="13" s="1"/>
  <c r="D51" i="14" s="1"/>
  <c r="G51" i="14" s="1"/>
  <c r="J28" i="13" s="1"/>
  <c r="K28" i="13" s="1"/>
  <c r="P76" i="12" s="1"/>
  <c r="Q76" i="12" s="1"/>
  <c r="G27" i="13"/>
  <c r="H27" i="13" s="1"/>
  <c r="D50" i="14" s="1"/>
  <c r="G50" i="14" s="1"/>
  <c r="J27" i="13" s="1"/>
  <c r="K27" i="13" s="1"/>
  <c r="P75" i="12" s="1"/>
  <c r="Q75" i="12" s="1"/>
  <c r="G23" i="13"/>
  <c r="H23" i="13" s="1"/>
  <c r="D46" i="14" s="1"/>
  <c r="G46" i="14" s="1"/>
  <c r="J23" i="13" s="1"/>
  <c r="K23" i="13" s="1"/>
  <c r="P71" i="12" s="1"/>
  <c r="Q71" i="12" s="1"/>
  <c r="G30" i="13"/>
  <c r="H30" i="13" s="1"/>
  <c r="D53" i="14" s="1"/>
  <c r="G53" i="14" s="1"/>
  <c r="J30" i="13" s="1"/>
  <c r="K30" i="13" s="1"/>
  <c r="P78" i="12" s="1"/>
  <c r="Q78" i="12" s="1"/>
  <c r="G21" i="13"/>
  <c r="H21" i="13" s="1"/>
  <c r="D44" i="14" s="1"/>
  <c r="G44" i="14" s="1"/>
  <c r="J21" i="13" s="1"/>
  <c r="K21" i="13" s="1"/>
  <c r="P69" i="12" s="1"/>
  <c r="Q69" i="12" s="1"/>
  <c r="G18" i="13"/>
  <c r="G25" i="13"/>
  <c r="H25" i="13" s="1"/>
  <c r="D48" i="14" s="1"/>
  <c r="G48" i="14" s="1"/>
  <c r="J25" i="13" s="1"/>
  <c r="K25" i="13" s="1"/>
  <c r="P73" i="12" s="1"/>
  <c r="Q73" i="12" s="1"/>
  <c r="G26" i="13"/>
  <c r="H26" i="13" s="1"/>
  <c r="D49" i="14" s="1"/>
  <c r="G49" i="14" s="1"/>
  <c r="J26" i="13" s="1"/>
  <c r="K26" i="13" s="1"/>
  <c r="P74" i="12" s="1"/>
  <c r="Q74" i="12" s="1"/>
  <c r="G20" i="13"/>
  <c r="H20" i="13" s="1"/>
  <c r="D43" i="14" s="1"/>
  <c r="G43" i="14" s="1"/>
  <c r="J20" i="13" s="1"/>
  <c r="K20" i="13" s="1"/>
  <c r="P68" i="12" s="1"/>
  <c r="Q68" i="12" s="1"/>
  <c r="G29" i="13"/>
  <c r="H29" i="13" s="1"/>
  <c r="D52" i="14" s="1"/>
  <c r="G52" i="14" s="1"/>
  <c r="J29" i="13" s="1"/>
  <c r="K29" i="13" s="1"/>
  <c r="P77" i="12" s="1"/>
  <c r="Q77" i="12" s="1"/>
  <c r="G22" i="13"/>
  <c r="H22" i="13" s="1"/>
  <c r="D45" i="14" s="1"/>
  <c r="G45" i="14" s="1"/>
  <c r="J22" i="13" s="1"/>
  <c r="K22" i="13" s="1"/>
  <c r="P70" i="12" s="1"/>
  <c r="Q70" i="12" s="1"/>
  <c r="G19" i="13"/>
  <c r="H19" i="13" s="1"/>
  <c r="D42" i="14" s="1"/>
  <c r="G42" i="14" s="1"/>
  <c r="J19" i="13" s="1"/>
  <c r="K19" i="13" s="1"/>
  <c r="P67" i="12" s="1"/>
  <c r="H321" i="1" l="1"/>
  <c r="N93" i="12"/>
  <c r="O67" i="12"/>
  <c r="O93" i="12" s="1"/>
  <c r="BF78" i="48"/>
  <c r="H18" i="13"/>
  <c r="G46" i="13"/>
  <c r="Q67" i="12" l="1"/>
  <c r="D41" i="14"/>
  <c r="H46" i="13"/>
  <c r="G41" i="14" l="1"/>
  <c r="D70" i="14"/>
  <c r="J18" i="13" l="1"/>
  <c r="G70" i="14"/>
  <c r="J46" i="13" l="1"/>
  <c r="J49" i="13" s="1"/>
  <c r="K18" i="13"/>
  <c r="K46" i="13" l="1"/>
  <c r="H320" i="1" s="1"/>
  <c r="P66" i="12"/>
  <c r="P93" i="12" l="1"/>
  <c r="Q66" i="12"/>
  <c r="Q93" i="12" s="1"/>
  <c r="H324" i="1"/>
  <c r="H328" i="1" l="1"/>
  <c r="H330" i="1" s="1"/>
</calcChain>
</file>

<file path=xl/sharedStrings.xml><?xml version="1.0" encoding="utf-8"?>
<sst xmlns="http://schemas.openxmlformats.org/spreadsheetml/2006/main" count="5242" uniqueCount="1934">
  <si>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</si>
  <si>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</si>
  <si>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</si>
  <si>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</si>
  <si>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</si>
  <si>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</si>
  <si>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</si>
  <si>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</si>
  <si>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</si>
  <si>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</si>
  <si>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</si>
  <si>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</si>
  <si>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</si>
  <si>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</si>
  <si>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</si>
  <si>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</si>
  <si>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</si>
  <si>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</si>
  <si>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</si>
  <si>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</si>
  <si>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</si>
  <si>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</si>
  <si>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</si>
  <si>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</si>
  <si>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</si>
  <si>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</si>
  <si>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</si>
  <si>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</si>
  <si>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</si>
  <si>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</si>
  <si>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</si>
  <si>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</si>
  <si>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</si>
  <si>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</si>
  <si>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</si>
  <si>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</si>
  <si>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</si>
  <si>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</si>
  <si>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</si>
  <si>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</si>
  <si>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</si>
  <si>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</si>
  <si>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</si>
  <si>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</si>
  <si>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</si>
  <si>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</si>
  <si>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</si>
  <si>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</si>
  <si>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</si>
  <si>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</si>
  <si>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</si>
  <si>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</si>
  <si>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</si>
  <si>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</si>
  <si>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</si>
  <si>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</si>
  <si>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</si>
  <si>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</si>
  <si>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</si>
  <si>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</si>
  <si>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</si>
  <si>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</si>
  <si>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</si>
  <si>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</si>
  <si>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</si>
  <si>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</si>
  <si>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</si>
  <si>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</si>
  <si>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</si>
  <si>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</si>
  <si>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</si>
  <si>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</si>
  <si>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</si>
  <si>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</si>
  <si>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</si>
  <si>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</si>
  <si>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</si>
  <si>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</si>
  <si>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</si>
  <si>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</si>
  <si>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</si>
  <si>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</si>
  <si>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</si>
  <si>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</si>
  <si>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</si>
  <si>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</si>
  <si>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</si>
  <si>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</si>
  <si>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</si>
  <si>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</si>
  <si>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</si>
  <si>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</si>
  <si>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</si>
  <si>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</si>
  <si>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</si>
  <si>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</si>
  <si>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</si>
  <si>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</si>
  <si>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</si>
  <si>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</si>
  <si>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</si>
  <si>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</si>
  <si>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</si>
  <si>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</si>
  <si>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</si>
  <si>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</si>
  <si>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</si>
  <si>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</si>
  <si>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</si>
  <si>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</si>
  <si>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</si>
  <si>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</si>
  <si>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</si>
  <si>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</si>
  <si>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</si>
  <si>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</si>
  <si>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</si>
  <si>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</si>
  <si>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</si>
  <si>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</si>
  <si>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</si>
  <si>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</si>
  <si>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</si>
  <si>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</si>
  <si>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</si>
  <si>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</si>
  <si>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</si>
  <si>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</si>
  <si>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</si>
  <si>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</si>
  <si>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</si>
  <si>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</si>
  <si>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</si>
  <si>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</si>
  <si>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</si>
  <si>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</si>
  <si>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</si>
  <si>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</si>
  <si>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</si>
  <si>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</si>
  <si>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MAPP Abandonment recovery pursuant to ER13-607</t>
  </si>
  <si>
    <t>Pepco</t>
  </si>
  <si>
    <t>171a</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</si>
  <si>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</si>
  <si>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</si>
  <si>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</si>
  <si>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</si>
  <si>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</si>
  <si>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</si>
  <si>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</si>
  <si>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</si>
  <si>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</si>
  <si>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</si>
  <si>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</si>
  <si>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</si>
  <si>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</si>
  <si>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</si>
  <si>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</si>
  <si>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</si>
  <si>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</si>
  <si>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</si>
  <si>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</si>
  <si>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</si>
  <si>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</si>
  <si>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</si>
  <si>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</si>
  <si>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</si>
  <si>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</si>
  <si>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</si>
  <si>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</si>
  <si>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</si>
  <si>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</si>
  <si>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</si>
  <si>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</si>
  <si>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</si>
  <si>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</si>
  <si>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</si>
  <si>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</si>
  <si>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</si>
  <si>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</si>
  <si>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</si>
  <si>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</si>
  <si>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</si>
  <si>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</si>
  <si>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</si>
  <si>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</si>
  <si>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</si>
  <si>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</si>
  <si>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</si>
  <si>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</si>
  <si>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</si>
  <si>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</si>
  <si>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</si>
  <si>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</si>
  <si>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Net Plant Allocation Factor</t>
  </si>
  <si>
    <t>ITC Adjustment Allocated to Transmission</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</si>
  <si>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</si>
  <si>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</si>
  <si>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</si>
  <si>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</si>
  <si>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</si>
  <si>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</si>
  <si>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</si>
  <si>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</si>
  <si>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</si>
  <si>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</si>
  <si>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</si>
  <si>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</si>
  <si>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</si>
  <si>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</si>
  <si>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</si>
  <si>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</si>
  <si>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</si>
  <si>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</si>
  <si>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</si>
  <si>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</si>
  <si>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</si>
  <si>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</si>
  <si>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</si>
  <si>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</si>
  <si>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</si>
  <si>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</si>
  <si>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</si>
  <si>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</si>
  <si>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</si>
  <si>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</si>
  <si>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</si>
  <si>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</si>
  <si>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</si>
  <si>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</si>
  <si>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</si>
  <si>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</si>
  <si>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</si>
  <si>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</si>
  <si>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</si>
  <si>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</si>
  <si>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</si>
  <si>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</si>
  <si>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</si>
  <si>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</si>
  <si>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</si>
  <si>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</si>
  <si>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</si>
  <si>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</si>
  <si>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Miscellaneous</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</si>
  <si>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</si>
  <si>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</si>
  <si>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</si>
  <si>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</si>
  <si>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</si>
  <si>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</si>
  <si>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</si>
  <si>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</si>
  <si>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</si>
  <si>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</si>
  <si>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</si>
  <si>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</si>
  <si>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</si>
  <si>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</si>
  <si>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</si>
  <si>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</si>
  <si>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</si>
  <si>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</si>
  <si>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</si>
  <si>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</si>
  <si>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</si>
  <si>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</si>
  <si>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</si>
  <si>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</si>
  <si>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</si>
  <si>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Environmental Expense</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</si>
  <si>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</si>
  <si>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</si>
  <si>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</si>
  <si>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</si>
  <si>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</si>
  <si>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</si>
  <si>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</si>
  <si>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</si>
  <si>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</si>
  <si>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</si>
  <si>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</si>
  <si>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</si>
  <si>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</si>
  <si>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</si>
  <si>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Transmission Wages Expense</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</si>
  <si>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</si>
  <si>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</si>
  <si>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</si>
  <si>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</si>
  <si>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</si>
  <si>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</si>
  <si>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</si>
  <si>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</si>
  <si>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</si>
  <si>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</si>
  <si>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</si>
  <si>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</si>
  <si>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</si>
  <si>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</si>
  <si>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</si>
  <si>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</si>
  <si>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</si>
  <si>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</si>
  <si>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</si>
  <si>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</si>
  <si>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</si>
  <si>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</si>
  <si>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</si>
  <si>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</si>
  <si>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</si>
  <si>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</si>
  <si>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</si>
  <si>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</si>
  <si>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</si>
  <si>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</si>
  <si>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</si>
  <si>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</si>
  <si>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</si>
  <si>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</si>
  <si>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</si>
  <si>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</si>
  <si>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</si>
  <si>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</si>
  <si>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</si>
  <si>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</si>
  <si>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</si>
  <si>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</si>
  <si>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</si>
  <si>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</si>
  <si>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</si>
  <si>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</si>
  <si>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</si>
  <si>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</si>
  <si>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</si>
  <si>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</si>
  <si>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</si>
  <si>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</si>
  <si>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</si>
  <si>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</si>
  <si>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</si>
  <si>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</si>
  <si>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</si>
  <si>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</si>
  <si>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</si>
  <si>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</si>
  <si>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</si>
  <si>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</si>
  <si>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</si>
  <si>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</si>
  <si>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</si>
  <si>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</si>
  <si>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</si>
  <si>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</si>
  <si>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</si>
  <si>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</si>
  <si>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</si>
  <si>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</si>
  <si>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</si>
  <si>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</si>
  <si>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</si>
  <si>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</si>
  <si>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</si>
  <si>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</si>
  <si>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</si>
  <si>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</si>
  <si>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</si>
  <si>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</si>
  <si>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</si>
  <si>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</si>
  <si>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</si>
  <si>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</si>
  <si>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</si>
  <si>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</si>
  <si>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</si>
  <si>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</si>
  <si>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</si>
  <si>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</si>
  <si>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</si>
  <si>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</si>
  <si>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</si>
  <si>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</si>
  <si>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</si>
  <si>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</si>
  <si>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</si>
  <si>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</si>
  <si>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</si>
  <si>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</si>
  <si>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</si>
  <si>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</si>
  <si>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</si>
  <si>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</si>
  <si>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</si>
  <si>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</si>
  <si>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</si>
  <si>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</si>
  <si>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</si>
  <si>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</si>
  <si>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</si>
  <si>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</si>
  <si>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</si>
  <si>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</si>
  <si>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</si>
  <si>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</si>
  <si>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</si>
  <si>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</si>
  <si>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</si>
  <si>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</si>
  <si>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</si>
  <si>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</si>
  <si>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</si>
  <si>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</si>
  <si>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</si>
  <si>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</si>
  <si>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</si>
  <si>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</si>
  <si>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</si>
  <si>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</si>
  <si>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</si>
  <si>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</si>
  <si>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</si>
  <si>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</si>
  <si>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</si>
  <si>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</si>
  <si>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</si>
  <si>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</si>
  <si>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</si>
  <si>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</si>
  <si>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</si>
  <si>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</si>
  <si>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</si>
  <si>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</si>
  <si>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</si>
  <si>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</si>
  <si>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</si>
  <si>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</si>
  <si>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</si>
  <si>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</si>
  <si>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</si>
  <si>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</si>
  <si>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</si>
  <si>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</si>
  <si>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</si>
  <si>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</si>
  <si>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</si>
  <si>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</si>
  <si>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</si>
  <si>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</si>
  <si>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</si>
  <si>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</si>
  <si>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</si>
  <si>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</si>
  <si>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</si>
  <si>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</si>
  <si>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</si>
  <si>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</si>
  <si>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</si>
  <si>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</si>
  <si>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</si>
  <si>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</si>
  <si>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</si>
  <si>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</si>
  <si>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</si>
  <si>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</si>
  <si>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</si>
  <si>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</si>
  <si>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</si>
  <si>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</si>
  <si>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</si>
  <si>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</si>
  <si>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</si>
  <si>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</si>
  <si>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</si>
  <si>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</si>
  <si>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</si>
  <si>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</si>
  <si>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</si>
  <si>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</si>
  <si>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</si>
  <si>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</si>
  <si>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</si>
  <si>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</si>
  <si>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</si>
  <si>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</si>
  <si>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</si>
  <si>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</si>
  <si>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</si>
  <si>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</si>
  <si>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</si>
  <si>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</si>
  <si>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</si>
  <si>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</si>
  <si>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</si>
  <si>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</si>
  <si>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</si>
  <si>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</si>
  <si>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</si>
  <si>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</si>
  <si>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</si>
  <si>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</si>
  <si>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</si>
  <si>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</si>
  <si>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</si>
  <si>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</si>
  <si>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</si>
  <si>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</si>
  <si>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</si>
  <si>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</si>
  <si>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</si>
  <si>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</si>
  <si>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</si>
  <si>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</si>
  <si>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</si>
  <si>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</si>
  <si>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</si>
  <si>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</si>
  <si>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</si>
  <si>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</si>
  <si>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</si>
  <si>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</si>
  <si>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</si>
  <si>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</si>
  <si>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</si>
  <si>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</si>
  <si>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207.99.g  minus 207.98.g for end of year, records for other months</t>
  </si>
  <si>
    <t>Electric Only, Form No 1, page 356 for end of year, records for other months</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</si>
  <si>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</si>
  <si>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</si>
  <si>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</si>
  <si>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</si>
  <si>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</si>
  <si>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</si>
  <si>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</si>
  <si>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</si>
  <si>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</si>
  <si>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</si>
  <si>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</si>
  <si>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</si>
  <si>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</si>
  <si>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</si>
  <si>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</si>
  <si>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</si>
  <si>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</si>
  <si>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</si>
  <si>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</si>
  <si>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</si>
  <si>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</si>
  <si>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</si>
  <si>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</si>
  <si>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</si>
  <si>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</si>
  <si>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</si>
  <si>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</si>
  <si>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</si>
  <si>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</si>
  <si>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</si>
  <si>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</si>
  <si>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</si>
  <si>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</si>
  <si>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</si>
  <si>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</si>
  <si>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</si>
  <si>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</si>
  <si>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</si>
  <si>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</si>
  <si>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</si>
  <si>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</si>
  <si>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</si>
  <si>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</si>
  <si>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</si>
  <si>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</si>
  <si>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</si>
  <si>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</si>
  <si>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</si>
  <si>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</si>
  <si>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</si>
  <si>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</si>
  <si>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</si>
  <si>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</si>
  <si>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</si>
  <si>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</si>
  <si>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</si>
  <si>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</si>
  <si>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</si>
  <si>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</si>
  <si>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</si>
  <si>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</si>
  <si>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</si>
  <si>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</si>
  <si>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</si>
  <si>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</si>
  <si>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</si>
  <si>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</si>
  <si>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</si>
  <si>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</si>
  <si>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</si>
  <si>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</si>
  <si>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</si>
  <si>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</si>
  <si>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</si>
  <si>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</si>
  <si>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</si>
  <si>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</si>
  <si>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</si>
  <si>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</si>
  <si>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</si>
  <si>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</si>
  <si>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</si>
  <si>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</si>
  <si>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</si>
  <si>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</si>
  <si>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</si>
  <si>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</si>
  <si>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</si>
  <si>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</si>
  <si>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</si>
  <si>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</si>
  <si>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</si>
  <si>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</si>
  <si>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</si>
  <si>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</si>
  <si>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</si>
  <si>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</si>
  <si>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</si>
  <si>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</si>
  <si>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</si>
  <si>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</si>
  <si>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</si>
  <si>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</si>
  <si>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</si>
  <si>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</si>
  <si>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</si>
  <si>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</si>
  <si>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</si>
  <si>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</si>
  <si>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</si>
  <si>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</si>
  <si>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</si>
  <si>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</si>
  <si>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</si>
  <si>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</si>
  <si>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</si>
  <si>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</si>
  <si>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</si>
  <si>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</si>
  <si>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</si>
  <si>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</si>
  <si>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</si>
  <si>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</si>
  <si>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</si>
  <si>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</si>
  <si>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</si>
  <si>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</si>
  <si>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</si>
  <si>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</si>
  <si>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</si>
  <si>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</si>
  <si>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</si>
  <si>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</si>
  <si>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</si>
  <si>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</si>
  <si>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</si>
  <si>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</si>
  <si>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</si>
  <si>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</si>
  <si>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</si>
  <si>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</si>
  <si>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</si>
  <si>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</si>
  <si>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</si>
  <si>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</si>
  <si>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</si>
  <si>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</si>
  <si>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</si>
  <si>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</si>
  <si>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</si>
  <si>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</si>
  <si>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</si>
  <si>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</si>
  <si>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</si>
  <si>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</si>
  <si>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</si>
  <si>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</si>
  <si>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</si>
  <si>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</si>
  <si>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</si>
  <si>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</si>
  <si>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</si>
  <si>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</si>
  <si>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</si>
  <si>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</si>
  <si>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</si>
  <si>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</si>
  <si>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</si>
  <si>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</si>
  <si>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</si>
  <si>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</si>
  <si>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</si>
  <si>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</si>
  <si>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</si>
  <si>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</si>
  <si>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</si>
  <si>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</si>
  <si>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</si>
  <si>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</si>
  <si>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</si>
  <si>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</si>
  <si>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</si>
  <si>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</si>
  <si>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</si>
  <si>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</si>
  <si>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</si>
  <si>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</si>
  <si>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</si>
  <si>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</si>
  <si>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</si>
  <si>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</si>
  <si>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</si>
  <si>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</si>
  <si>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</si>
  <si>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</si>
  <si>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</si>
  <si>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</si>
  <si>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</si>
  <si>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</si>
  <si>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</si>
  <si>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</si>
  <si>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</si>
  <si>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</si>
  <si>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</si>
  <si>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</si>
  <si>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</si>
  <si>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</si>
  <si>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</si>
  <si>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</si>
  <si>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</si>
  <si>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</si>
  <si>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</si>
  <si>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</si>
  <si>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</si>
  <si>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</si>
  <si>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</si>
  <si>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</si>
  <si>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</si>
  <si>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</si>
  <si>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</si>
  <si>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</si>
  <si>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</si>
  <si>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</si>
  <si>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</si>
  <si>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</si>
  <si>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</si>
  <si>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</si>
  <si>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</si>
  <si>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</si>
  <si>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</si>
  <si>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</si>
  <si>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</si>
  <si>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</si>
  <si>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</si>
  <si>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</si>
  <si>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</si>
  <si>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</si>
  <si>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</si>
  <si>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</si>
  <si>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</si>
  <si>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</si>
  <si>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</si>
  <si>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</si>
  <si>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</si>
  <si>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</si>
  <si>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</si>
  <si>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</si>
  <si>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</si>
  <si>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</si>
  <si>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</si>
  <si>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</si>
  <si>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</si>
  <si>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</si>
  <si>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</si>
  <si>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</si>
  <si>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</si>
  <si>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</si>
  <si>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</si>
  <si>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</si>
  <si>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</si>
  <si>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</si>
  <si>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</si>
  <si>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</si>
  <si>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</si>
  <si>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</si>
  <si>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</si>
  <si>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</si>
  <si>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</si>
  <si>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</si>
  <si>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</si>
  <si>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</si>
  <si>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</si>
  <si>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</si>
  <si>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</si>
  <si>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</si>
  <si>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</si>
  <si>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6A, Col. G + Col H</t>
  </si>
  <si>
    <t>Attach 9, line 16, column b</t>
  </si>
  <si>
    <t>Attach 9, line 16, column i</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</si>
  <si>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</si>
  <si>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</si>
  <si>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</si>
  <si>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</si>
  <si>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</si>
  <si>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</si>
  <si>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</si>
  <si>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</si>
  <si>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</si>
  <si>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</si>
  <si>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</si>
  <si>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</si>
  <si>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</si>
  <si>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</si>
  <si>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</si>
  <si>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</si>
  <si>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2 - 3)</t>
  </si>
  <si>
    <t>(Line 1 / 4)</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</si>
  <si>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</si>
  <si>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</si>
  <si>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</si>
  <si>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</si>
  <si>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</si>
  <si>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</si>
  <si>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</si>
  <si>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</si>
  <si>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</si>
  <si>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</si>
  <si>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</si>
  <si>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</si>
  <si>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</si>
  <si>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</si>
  <si>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</si>
  <si>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</si>
  <si>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</si>
  <si>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</si>
  <si>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</si>
  <si>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</si>
  <si>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</si>
  <si>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</si>
  <si>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</si>
  <si>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</si>
  <si>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</si>
  <si>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</si>
  <si>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</si>
  <si>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</si>
  <si>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</si>
  <si>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</si>
  <si>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</si>
  <si>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</si>
  <si>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</si>
  <si>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</si>
  <si>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</si>
  <si>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</si>
  <si>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</si>
  <si>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</si>
  <si>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</si>
  <si>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</si>
  <si>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</si>
  <si>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</si>
  <si>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</si>
  <si>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</si>
  <si>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</si>
  <si>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</si>
  <si>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</si>
  <si>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</si>
  <si>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</si>
  <si>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</si>
  <si>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</si>
  <si>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</si>
  <si>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</si>
  <si>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</si>
  <si>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</si>
  <si>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</si>
  <si>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</si>
  <si>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</si>
  <si>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</si>
  <si>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</si>
  <si>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</si>
  <si>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</si>
  <si>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</si>
  <si>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</si>
  <si>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</si>
  <si>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</si>
  <si>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</si>
  <si>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</si>
  <si>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</si>
  <si>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</si>
  <si>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</si>
  <si>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</si>
  <si>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</si>
  <si>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</si>
  <si>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</si>
  <si>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</si>
  <si>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</si>
  <si>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</si>
  <si>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</si>
  <si>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</si>
  <si>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</si>
  <si>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</si>
  <si>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</si>
  <si>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</si>
  <si>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</si>
  <si>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</si>
  <si>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</si>
  <si>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</si>
  <si>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</si>
  <si>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</si>
  <si>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</si>
  <si>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</si>
  <si>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</si>
  <si>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</si>
  <si>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</si>
  <si>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</si>
  <si>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</si>
  <si>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</si>
  <si>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</si>
  <si>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</si>
  <si>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</si>
  <si>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</si>
  <si>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</si>
  <si>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</si>
  <si>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</si>
  <si>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</si>
  <si>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</si>
  <si>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</si>
  <si>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</si>
  <si>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</si>
  <si>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</si>
  <si>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</si>
  <si>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</si>
  <si>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</si>
  <si>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</si>
  <si>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</si>
  <si>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</si>
  <si>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</si>
  <si>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</si>
  <si>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</si>
  <si>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</si>
  <si>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</si>
  <si>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</si>
  <si>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</si>
  <si>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</si>
  <si>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</si>
  <si>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</si>
  <si>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</si>
  <si>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</si>
  <si>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</si>
  <si>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</si>
  <si>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</si>
  <si>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</si>
  <si>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</si>
  <si>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</si>
  <si>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</si>
  <si>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</si>
  <si>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</si>
  <si>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</si>
  <si>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</si>
  <si>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</si>
  <si>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</si>
  <si>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</si>
  <si>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</si>
  <si>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</si>
  <si>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</si>
  <si>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</si>
  <si>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</si>
  <si>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</si>
  <si>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</si>
  <si>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</si>
  <si>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</si>
  <si>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</si>
  <si>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</si>
  <si>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</si>
  <si>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</si>
  <si>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</si>
  <si>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</si>
  <si>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</si>
  <si>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</si>
  <si>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</si>
  <si>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</si>
  <si>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</si>
  <si>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</si>
  <si>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</si>
  <si>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</si>
  <si>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</si>
  <si>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</si>
  <si>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</si>
  <si>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</si>
  <si>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</si>
  <si>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</si>
  <si>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</si>
  <si>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</si>
  <si>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</si>
  <si>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</si>
  <si>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</si>
  <si>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</si>
  <si>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</si>
  <si>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</si>
  <si>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</si>
  <si>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</si>
  <si>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</si>
  <si>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</si>
  <si>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</si>
  <si>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</si>
  <si>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</si>
  <si>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</si>
  <si>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</si>
  <si>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</si>
  <si>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</si>
  <si>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</si>
  <si>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</si>
  <si>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</si>
  <si>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</si>
  <si>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</si>
  <si>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</si>
  <si>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</si>
  <si>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</si>
  <si>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</si>
  <si>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</si>
  <si>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</si>
  <si>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</si>
  <si>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</si>
  <si>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</si>
  <si>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</si>
  <si>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</si>
  <si>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</si>
  <si>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</si>
  <si>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 xml:space="preserve"> Non-Leases</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</si>
  <si>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</si>
  <si>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</si>
  <si>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</si>
  <si>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</si>
  <si>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</si>
  <si>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</si>
  <si>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</si>
  <si>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</si>
  <si>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</si>
  <si>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</si>
  <si>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</si>
  <si>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</si>
  <si>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</si>
  <si>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</si>
  <si>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</si>
  <si>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</si>
  <si>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</si>
  <si>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</si>
  <si>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</si>
  <si>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</si>
  <si>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</si>
  <si>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</si>
  <si>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</si>
  <si>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</si>
  <si>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</si>
  <si>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</si>
  <si>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</si>
  <si>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</si>
  <si>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</si>
  <si>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</si>
  <si>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</si>
  <si>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</si>
  <si>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</si>
  <si>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</si>
  <si>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</si>
  <si>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</si>
  <si>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</si>
  <si>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</si>
  <si>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</si>
  <si>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</si>
  <si>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</si>
  <si>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</si>
  <si>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</si>
  <si>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</si>
  <si>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</si>
  <si>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</si>
  <si>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</si>
  <si>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</si>
  <si>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</si>
  <si>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</si>
  <si>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</si>
  <si>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</si>
  <si>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</si>
  <si>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</si>
  <si>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</si>
  <si>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</si>
  <si>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</si>
  <si>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</si>
  <si>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</si>
  <si>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</si>
  <si>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</si>
  <si>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</si>
  <si>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</si>
  <si>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</si>
  <si>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</si>
  <si>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</si>
  <si>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</si>
  <si>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</si>
  <si>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</si>
  <si>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</si>
  <si>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</si>
  <si>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</si>
  <si>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</si>
  <si>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</si>
  <si>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</si>
  <si>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</si>
  <si>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</si>
  <si>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</si>
  <si>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</si>
  <si>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</si>
  <si>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</si>
  <si>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</si>
  <si>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</si>
  <si>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</si>
  <si>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</si>
  <si>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</si>
  <si>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</si>
  <si>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</si>
  <si>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</si>
  <si>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</si>
  <si>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</si>
  <si>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</si>
  <si>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</si>
  <si>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</si>
  <si>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</si>
  <si>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</si>
  <si>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</si>
  <si>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</si>
  <si>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</si>
  <si>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</si>
  <si>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</si>
  <si>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</si>
  <si>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</si>
  <si>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</si>
  <si>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</si>
  <si>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</si>
  <si>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</si>
  <si>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</si>
  <si>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</si>
  <si>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</si>
  <si>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</si>
  <si>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</si>
  <si>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</si>
  <si>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</si>
  <si>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</si>
  <si>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</si>
  <si>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</si>
  <si>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</si>
  <si>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</si>
  <si>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</si>
  <si>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</si>
  <si>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</si>
  <si>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</si>
  <si>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</si>
  <si>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</si>
  <si>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</si>
  <si>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</si>
  <si>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</si>
  <si>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</si>
  <si>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</si>
  <si>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</si>
  <si>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</si>
  <si>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</si>
  <si>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</si>
  <si>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</si>
  <si>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</si>
  <si>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</si>
  <si>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</si>
  <si>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</si>
  <si>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</si>
  <si>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</si>
  <si>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</si>
  <si>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</si>
  <si>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</si>
  <si>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</si>
  <si>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</si>
  <si>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</si>
  <si>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</si>
  <si>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</si>
  <si>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</si>
  <si>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</si>
  <si>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</si>
  <si>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</si>
  <si>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</si>
  <si>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</si>
  <si>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</si>
  <si>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</si>
  <si>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</si>
  <si>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</si>
  <si>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</si>
  <si>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</si>
  <si>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</si>
  <si>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</si>
  <si>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</si>
  <si>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</si>
  <si>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</si>
  <si>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</si>
  <si>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</si>
  <si>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</si>
  <si>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</si>
  <si>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</si>
  <si>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</si>
  <si>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</si>
  <si>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</si>
  <si>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</si>
  <si>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</si>
  <si>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</si>
  <si>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</si>
  <si>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</si>
  <si>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</si>
  <si>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</si>
  <si>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</si>
  <si>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Projected Activity</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</si>
  <si>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</si>
  <si>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</si>
  <si>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</si>
  <si>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</si>
  <si>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</si>
  <si>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</si>
  <si>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</si>
  <si>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</si>
  <si>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</si>
  <si>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</si>
  <si>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</si>
  <si>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</si>
  <si>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</si>
  <si>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</si>
  <si>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</si>
  <si>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</si>
  <si>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</si>
  <si>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</si>
  <si>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</si>
  <si>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</si>
  <si>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</si>
  <si>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</si>
  <si>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</si>
  <si>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</si>
  <si>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</si>
  <si>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</si>
  <si>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</si>
  <si>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</si>
  <si>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</si>
  <si>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</si>
  <si>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</si>
  <si>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</si>
  <si>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Attachment 1A - ADIT</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</si>
  <si>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</si>
  <si>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</si>
  <si>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</si>
  <si>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</si>
  <si>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</si>
  <si>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</si>
  <si>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</si>
  <si>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</si>
  <si>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</si>
  <si>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</si>
  <si>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</si>
  <si>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</si>
  <si>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</si>
  <si>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</si>
  <si>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</si>
  <si>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</si>
  <si>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</si>
  <si>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</si>
  <si>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</si>
  <si>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Accrued Retention</t>
  </si>
  <si>
    <t xml:space="preserve">Severance Liability </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</si>
  <si>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</si>
  <si>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</si>
  <si>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</si>
  <si>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</si>
  <si>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</si>
  <si>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</si>
  <si>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</si>
  <si>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</si>
  <si>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</si>
  <si>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</si>
  <si>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</si>
  <si>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</si>
  <si>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</si>
  <si>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</si>
  <si>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</si>
  <si>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</si>
  <si>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</si>
  <si>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</si>
  <si>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</si>
  <si>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</si>
  <si>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</si>
  <si>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</si>
  <si>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</si>
  <si>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</si>
  <si>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</si>
  <si>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</si>
  <si>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</si>
  <si>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</si>
  <si>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</si>
  <si>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</si>
  <si>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</si>
  <si>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</si>
  <si>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</si>
  <si>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</si>
  <si>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</si>
  <si>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</si>
  <si>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</si>
  <si>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</si>
  <si>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</si>
  <si>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</si>
  <si>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</si>
  <si>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</si>
  <si>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</si>
  <si>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</si>
  <si>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</si>
  <si>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</si>
  <si>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</si>
  <si>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</si>
  <si>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</si>
  <si>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</si>
  <si>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</si>
  <si>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</si>
  <si>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</si>
  <si>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</si>
  <si>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</si>
  <si>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</si>
  <si>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</si>
  <si>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</si>
  <si>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</si>
  <si>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</si>
  <si>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</si>
  <si>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</si>
  <si>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</si>
  <si>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</si>
  <si>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</si>
  <si>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</si>
  <si>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</si>
  <si>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</si>
  <si>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</si>
  <si>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</si>
  <si>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</si>
  <si>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</si>
  <si>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</si>
  <si>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</si>
  <si>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</si>
  <si>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</si>
  <si>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</si>
  <si>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</si>
  <si>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</si>
  <si>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</si>
  <si>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</si>
  <si>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</si>
  <si>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</si>
  <si>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</si>
  <si>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</si>
  <si>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</si>
  <si>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</si>
  <si>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</si>
  <si>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</si>
  <si>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</si>
  <si>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</si>
  <si>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</si>
  <si>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</si>
  <si>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</si>
  <si>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</si>
  <si>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</si>
  <si>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</si>
  <si>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</si>
  <si>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</si>
  <si>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</si>
  <si>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</si>
  <si>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</si>
  <si>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</si>
  <si>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</si>
  <si>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</si>
  <si>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</si>
  <si>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</si>
  <si>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</si>
  <si>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</si>
  <si>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</si>
  <si>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</si>
  <si>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</si>
  <si>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</si>
  <si>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</si>
  <si>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</si>
  <si>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</si>
  <si>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</si>
  <si>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</si>
  <si>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</si>
  <si>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</si>
  <si>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</si>
  <si>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</si>
  <si>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</si>
  <si>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</si>
  <si>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</si>
  <si>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</si>
  <si>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</si>
  <si>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</si>
  <si>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</si>
  <si>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</si>
  <si>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</si>
  <si>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</si>
  <si>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</si>
  <si>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</si>
  <si>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</si>
  <si>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</si>
  <si>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</si>
  <si>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</si>
  <si>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</si>
  <si>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</si>
  <si>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</si>
  <si>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</si>
  <si>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</si>
  <si>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</si>
  <si>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</si>
  <si>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</si>
  <si>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</si>
  <si>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</si>
  <si>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</si>
  <si>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</si>
  <si>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</si>
  <si>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</si>
  <si>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</si>
  <si>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</si>
  <si>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</si>
  <si>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</si>
  <si>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</si>
  <si>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</si>
  <si>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</si>
  <si>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</si>
  <si>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</si>
  <si>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</si>
  <si>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</si>
  <si>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</si>
  <si>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</si>
  <si>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</si>
  <si>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</si>
  <si>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</si>
  <si>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</si>
  <si>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</si>
  <si>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</si>
  <si>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</si>
  <si>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</si>
  <si>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</si>
  <si>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</si>
  <si>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</si>
  <si>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</si>
  <si>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</si>
  <si>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</si>
  <si>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</si>
  <si>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</si>
  <si>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</si>
  <si>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</si>
  <si>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</si>
  <si>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</si>
  <si>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</si>
  <si>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</si>
  <si>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</si>
  <si>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</si>
  <si>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</si>
  <si>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</si>
  <si>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</si>
  <si>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</si>
  <si>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</si>
  <si>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</si>
  <si>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</si>
  <si>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</si>
  <si>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</si>
  <si>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</si>
  <si>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</si>
  <si>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</si>
  <si>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Accrued Payroll Taxes - Manual</t>
  </si>
  <si>
    <t>Non-Property</t>
  </si>
  <si>
    <t>Accrued Liab-General Liability</t>
  </si>
  <si>
    <t>Accrued Liab-Auto Liability</t>
  </si>
  <si>
    <t>Accrued Liab-LTIP</t>
  </si>
  <si>
    <t>Accrued Liability - PHI Incentive Plan</t>
  </si>
  <si>
    <t>Accrued Liab-SERP</t>
  </si>
  <si>
    <t>Accrued Liab-Sick Pay Carryover</t>
  </si>
  <si>
    <t>Accrued Liab-Vacation</t>
  </si>
  <si>
    <t>Deferred Credits-General</t>
  </si>
  <si>
    <t>Provision for Uncollectible Accounts - MD</t>
  </si>
  <si>
    <t>100% MD</t>
  </si>
  <si>
    <t>Charitable Contribution Carryforward</t>
  </si>
  <si>
    <t>Accrued Liab-OPEB</t>
  </si>
  <si>
    <t>Merger Commitments</t>
  </si>
  <si>
    <t>Plant</t>
  </si>
  <si>
    <t>Other Regulatory Liability - General</t>
  </si>
  <si>
    <t>State NOL</t>
  </si>
  <si>
    <t>Federal NOL</t>
  </si>
  <si>
    <t>FAS109 Non-TCJA</t>
  </si>
  <si>
    <t>N/A</t>
  </si>
  <si>
    <t>SFAS109-Regulatory Liability Electric</t>
  </si>
  <si>
    <t>FAS109 TCJA</t>
  </si>
  <si>
    <t>Total FERC Account 190</t>
  </si>
  <si>
    <t>Protected Property (PowerTax)</t>
  </si>
  <si>
    <t>Fixed Asset Basis Differences (PowerTax) - Non-Protected</t>
  </si>
  <si>
    <t>Non-Protected Property (PowerTax)</t>
  </si>
  <si>
    <t>Fixed Asset Basis Differences (PowerTax) - Non-Protected CIAC</t>
  </si>
  <si>
    <t>Fixed Asset Basis Differences (PowerTax FT) - Non-Protected</t>
  </si>
  <si>
    <t>Non-Protected Property (Non-PowerTax)</t>
  </si>
  <si>
    <t>Fixed Asset Basis Differences (Non-PowerTax) - Non-Protected</t>
  </si>
  <si>
    <t>Fixed Asset Basis Differences (Non-PowerTax) - Non-Protected CIAC</t>
  </si>
  <si>
    <t>Total FERC Account 282</t>
  </si>
  <si>
    <t>Unamortized Loss - Pollution Bonds</t>
  </si>
  <si>
    <t>Prepayments - Other Taxes</t>
  </si>
  <si>
    <t>Regulatory Assets - Asset Retirement Obligation</t>
  </si>
  <si>
    <t>Regulatory Assets - MD</t>
  </si>
  <si>
    <t>Regulatory Asset- Maryland Meters</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</si>
  <si>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</si>
  <si>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</si>
  <si>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</si>
  <si>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</si>
  <si>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</si>
  <si>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</si>
  <si>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</si>
  <si>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</si>
  <si>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</si>
  <si>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</si>
  <si>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</si>
  <si>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</si>
  <si>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Postretiree Benefit Obligation</t>
  </si>
  <si>
    <t>Accrued Benefits</t>
  </si>
  <si>
    <t>Accrued Environmental Liability</t>
  </si>
  <si>
    <t>Accrued OPEB</t>
  </si>
  <si>
    <t>Accrued Other Expenses</t>
  </si>
  <si>
    <t>Accrued Payroll Taxes - AIP</t>
  </si>
  <si>
    <t>Accrued Worker's Compensation</t>
  </si>
  <si>
    <t>Asset Retirement Obligation</t>
  </si>
  <si>
    <t>Other Deferred Credits</t>
  </si>
  <si>
    <t>Regulatory Liability</t>
  </si>
  <si>
    <t>Sales &amp; Use Tax Reserve</t>
  </si>
  <si>
    <t>State Net Operating Loss Carryforward</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</si>
  <si>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</si>
  <si>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</si>
  <si>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</si>
  <si>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</si>
  <si>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</si>
  <si>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</si>
  <si>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</si>
  <si>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</si>
  <si>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</si>
  <si>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</si>
  <si>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</si>
  <si>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Regulatory Asset - FERC Transmission True-up</t>
  </si>
  <si>
    <t>Unamortized Loss on Reacquired Debt</t>
  </si>
  <si>
    <t>Prior Period Adjustments listed in row 3r to 3t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</si>
  <si>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</si>
  <si>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</si>
  <si>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</si>
  <si>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</si>
  <si>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</si>
  <si>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</si>
  <si>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</si>
  <si>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</si>
  <si>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</si>
  <si>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 xml:space="preserve">Plant related basis difference not currently includible in rate base.
</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</si>
  <si>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</si>
  <si>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</si>
  <si>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</si>
  <si>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ADIT relates to transmission function and included in rate base.
</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</si>
  <si>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</si>
  <si>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</si>
  <si>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</si>
  <si>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t>
  </si>
  <si>
    <t>Personal property</t>
  </si>
  <si>
    <t>Government Affiars</t>
  </si>
  <si>
    <t xml:space="preserve">  </t>
  </si>
  <si>
    <t>Annual Depreciation Exp</t>
  </si>
  <si>
    <t>….</t>
  </si>
  <si>
    <t>…..</t>
  </si>
  <si>
    <t>(Line 113 / 116)</t>
  </si>
  <si>
    <t>(Line 114 / 116)</t>
  </si>
  <si>
    <t>(Line 115 / 116)</t>
  </si>
  <si>
    <t>Delmarva Power &amp; Light Company</t>
  </si>
  <si>
    <t xml:space="preserve">Real property (State, Municipal or Local) </t>
  </si>
  <si>
    <t>Federal/State Excise</t>
  </si>
  <si>
    <t>`</t>
  </si>
  <si>
    <t>Federal FICA &amp; Unemployment &amp; State unemployment</t>
  </si>
  <si>
    <t>MD State Franchise Tax</t>
  </si>
  <si>
    <t>DE Gross Receipts Tax</t>
  </si>
  <si>
    <t>MD Sales and Use Tax</t>
  </si>
  <si>
    <t>Sales and Use tax VA</t>
  </si>
  <si>
    <t xml:space="preserve">PA Franchise </t>
  </si>
  <si>
    <t>DE Public Utility Tax</t>
  </si>
  <si>
    <t>Wilmington City Franchise Tax</t>
  </si>
  <si>
    <t>MD Environmental Surcharge</t>
  </si>
  <si>
    <t>Exclude State Dist RA amort in line 7</t>
  </si>
  <si>
    <t>ATTACHMENT H-3D</t>
  </si>
  <si>
    <t>MD</t>
  </si>
  <si>
    <t>DE</t>
  </si>
  <si>
    <t>Apportioned: DE 5.600%, MD 2.900%</t>
  </si>
  <si>
    <t>DPL zone</t>
  </si>
  <si>
    <t>86a</t>
  </si>
  <si>
    <t>Amortization of Abandoned Transmission Plant</t>
  </si>
  <si>
    <t>Long Term Debt balance will reflect the 13 month average of the balances, of which the 1st and 13th are found on page 112 lines 18.c &amp; d to 21.c &amp; d in the Form No. 1. The balances for January through November shall represent the actual balances in DPL’s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</si>
  <si>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DPL’s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</si>
  <si>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DPL’s books and records (trial balance or monthly balance sheet). </t>
  </si>
  <si>
    <t>Only the transmission portion of amounts reported at Form 1, page 227, line 5 is used.  The transmission portion of line 5 is specified in a footnote to the Form 1, page 227.</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</si>
  <si>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DPL resides in the amortization cycle.  The current year amortization of deficient and (excess) ADIT is recorded in FERC Accounts 410.1 and 411.1.</t>
  </si>
  <si>
    <t>390 DE</t>
  </si>
  <si>
    <t>390 MD</t>
  </si>
  <si>
    <t>391.1 DE</t>
  </si>
  <si>
    <t>391.2 DE</t>
  </si>
  <si>
    <t>391.3 DE</t>
  </si>
  <si>
    <t>391.1 MD</t>
  </si>
  <si>
    <t>391.2 MD</t>
  </si>
  <si>
    <t>391.3 MD</t>
  </si>
  <si>
    <t>393 DE</t>
  </si>
  <si>
    <t>394 DE</t>
  </si>
  <si>
    <t>394 MD</t>
  </si>
  <si>
    <t>393 MD</t>
  </si>
  <si>
    <t>394.1 DE</t>
  </si>
  <si>
    <t>395 DE</t>
  </si>
  <si>
    <t>395 MD</t>
  </si>
  <si>
    <t>397 DE</t>
  </si>
  <si>
    <t>397.1 DE</t>
  </si>
  <si>
    <t>397 MD</t>
  </si>
  <si>
    <t>397.1 MD</t>
  </si>
  <si>
    <t>394.1 MD</t>
  </si>
  <si>
    <t>397.3 DE</t>
  </si>
  <si>
    <t>397.3 MD</t>
  </si>
  <si>
    <t>398 DE</t>
  </si>
  <si>
    <t>398 MD</t>
  </si>
  <si>
    <t>390.3a</t>
  </si>
  <si>
    <t>390.3b</t>
  </si>
  <si>
    <t>397.1a</t>
  </si>
  <si>
    <t>398.1a</t>
  </si>
  <si>
    <t>B0241.3 Red Lion sub reconfiguration</t>
  </si>
  <si>
    <t>B0494.1-4 Red Lion-Keeney</t>
  </si>
  <si>
    <t>B0241.1-.2 Red Lion-Keeney</t>
  </si>
  <si>
    <t>B0567 Mt.Pleasant-Townsend</t>
  </si>
  <si>
    <t>B0483.1-.3 Oak Hall-Wattsville</t>
  </si>
  <si>
    <t>B0320 Cool Springs</t>
  </si>
  <si>
    <t>BO568 3rd Indian River</t>
  </si>
  <si>
    <t xml:space="preserve">BO272.1 Keeney 500kV Sub </t>
  </si>
  <si>
    <t>BO751 Keeney - Additional Breakers on 500kV Bus</t>
  </si>
  <si>
    <t xml:space="preserve">BO566 Trappe Tap - Todd </t>
  </si>
  <si>
    <t>BO733 Harmony Add 2nd 230/138 Auto Tr</t>
  </si>
  <si>
    <t>B1247 Glasgow - Cecil 138 kV Circuit Rebuild</t>
  </si>
  <si>
    <t>Beginning Balance of Unamortized Transmission Plant</t>
  </si>
  <si>
    <t>Per FERC Order</t>
  </si>
  <si>
    <t>Months Remaining in Amortization Period</t>
  </si>
  <si>
    <t>A/B</t>
  </si>
  <si>
    <t>Months in Year to be Amortized</t>
  </si>
  <si>
    <t>Amortization in Rate Year</t>
  </si>
  <si>
    <t>C*D</t>
  </si>
  <si>
    <t>Line 86a</t>
  </si>
  <si>
    <t>Deductions</t>
  </si>
  <si>
    <t>End of Year Balance in Unamortized Transmission Plant</t>
  </si>
  <si>
    <t>A-E-F</t>
  </si>
  <si>
    <t>Line 43b</t>
  </si>
  <si>
    <t>DPL</t>
  </si>
  <si>
    <t>2013-14 rate period</t>
  </si>
  <si>
    <t>2014-15 rate period</t>
  </si>
  <si>
    <t>2015-16 rate period</t>
  </si>
  <si>
    <t xml:space="preserve">B0241.3 </t>
  </si>
  <si>
    <t>B0494.1-4</t>
  </si>
  <si>
    <t xml:space="preserve">B0241.1-.2 </t>
  </si>
  <si>
    <t>B0567</t>
  </si>
  <si>
    <t xml:space="preserve">B0483.1-.3 </t>
  </si>
  <si>
    <t xml:space="preserve">B0320 </t>
  </si>
  <si>
    <t>BO568</t>
  </si>
  <si>
    <t>BO272.1</t>
  </si>
  <si>
    <t xml:space="preserve">BO751 </t>
  </si>
  <si>
    <t xml:space="preserve">BO566 </t>
  </si>
  <si>
    <t>BO733</t>
  </si>
  <si>
    <t>B1247</t>
  </si>
  <si>
    <t>Red Lion sub reconfiguration</t>
  </si>
  <si>
    <t>Red Lion-Keeney</t>
  </si>
  <si>
    <t>Mt.Pleasant-Townsend</t>
  </si>
  <si>
    <t>Oak Hall-Wattsville</t>
  </si>
  <si>
    <t>Cool Springs</t>
  </si>
  <si>
    <t>3rd Indian River</t>
  </si>
  <si>
    <t xml:space="preserve">Keeney 500kV Sub </t>
  </si>
  <si>
    <t>Keeney - Additional Breakers on 500kV Bus</t>
  </si>
  <si>
    <t xml:space="preserve">Trappe Tap - Todd </t>
  </si>
  <si>
    <t>Harmony Add 2nd 230/138 Auto Tr</t>
  </si>
  <si>
    <t>Glasgow - Cecil 138 kV Circuit Rebuild</t>
  </si>
  <si>
    <t>W&amp;S Allocator</t>
  </si>
  <si>
    <t>Electric vs Gas</t>
  </si>
  <si>
    <t>Modified Wages &amp; Salaries Allocator</t>
  </si>
  <si>
    <t>Common General</t>
  </si>
  <si>
    <t>Common Intangible</t>
  </si>
  <si>
    <t>Practice Areas</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</si>
  <si>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</si>
  <si>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</si>
  <si>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</si>
  <si>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</si>
  <si>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</si>
  <si>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</si>
  <si>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</si>
  <si>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</si>
  <si>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</si>
  <si>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</si>
  <si>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</si>
  <si>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</si>
  <si>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</si>
  <si>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</si>
  <si>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</si>
  <si>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</si>
  <si>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</si>
  <si>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</si>
  <si>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</si>
  <si>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</si>
  <si>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Delmarva Power &amp; Light Company </t>
  </si>
  <si>
    <t>Renewable Energy Credits</t>
  </si>
  <si>
    <t>Regulatory Asset - Accrued Vacation</t>
  </si>
  <si>
    <t xml:space="preserve">Included because the pension asset is included in rate base.  Related to accrual recognition of expense for book purposes &amp; deductibility of cash funding's for tax purposes.  </t>
  </si>
  <si>
    <t>ADIT relates to all functions and attributable materials and supplies included in rate base.</t>
  </si>
  <si>
    <t>Materials Reserve</t>
  </si>
  <si>
    <t>Purchased Power</t>
  </si>
  <si>
    <t>Merrill Creek Liability</t>
  </si>
  <si>
    <t>State Tax Rate Change</t>
  </si>
  <si>
    <t>Reg Liab - Other</t>
  </si>
  <si>
    <t>Current State Income Taxes Deductible</t>
  </si>
  <si>
    <t>100% DE</t>
  </si>
  <si>
    <t>Regulatory Asset Contra-DE Electric CTA</t>
  </si>
  <si>
    <t>Reg Asset-DSM-MD-Egy Eff-CIF Merger Commitments</t>
  </si>
  <si>
    <t>Regulatory Assets-DE Renewable Energy</t>
  </si>
  <si>
    <t>Reg Liab-MD Dfd Energy Supply-Netting</t>
  </si>
  <si>
    <t>Reg Liab-DE Dfd Energy Supply-Netting</t>
  </si>
  <si>
    <t>Other Regulatory Assets - DE SOS</t>
  </si>
  <si>
    <t>Reg Assets-Third Party Supplier Recover</t>
  </si>
  <si>
    <t>Regulatory Assets-Gas-Contra-Asset Acct</t>
  </si>
  <si>
    <t>Regulatory Assets-Elec Gen'l-Contra</t>
  </si>
  <si>
    <t>Other Reg Assets - Gas Derivatives FAS</t>
  </si>
  <si>
    <t>Regulatory Assets-DPL DE-DSM-Energy Efficiency</t>
  </si>
  <si>
    <t>Reg Assets-Asset Retirement Oblig-Gas-Contra</t>
  </si>
  <si>
    <t>Regulatory Assets-Contra-Rev Acctg</t>
  </si>
  <si>
    <t>Regulatory Assets-Contra-Corp Acctg</t>
  </si>
  <si>
    <t>Regulatory Assets-Gas-Current-Asset</t>
  </si>
  <si>
    <t>Regulatory Assets-Elec Gen'l</t>
  </si>
  <si>
    <t>Regulatory Assets-Current-Rev Acctg</t>
  </si>
  <si>
    <t>Reg Asset-MD Dfd Energy Supply</t>
  </si>
  <si>
    <t>Reg Asset-DE Dfd Energy Supply</t>
  </si>
  <si>
    <t>Regulatory Assets-Current-Corp Acctg</t>
  </si>
  <si>
    <t>Reg Asset- COPCO Acquisition Adjustment</t>
  </si>
  <si>
    <t>Regulatory Assets - COPCO Acquisition</t>
  </si>
  <si>
    <t>Reg Asset - Other</t>
  </si>
  <si>
    <t>Regulatory Asset Contra - MD AMI</t>
  </si>
  <si>
    <t>Regulatory Asst-Meters-Incremental Depreciation</t>
  </si>
  <si>
    <t>Other Reg Assets - DE SOS Administrative</t>
  </si>
  <si>
    <t>Other Reg Assets - MD SOS Administrative</t>
  </si>
  <si>
    <t>Other Regulatory Assets - MD SOS</t>
  </si>
  <si>
    <t>Other Regulatory Assets - Vacation Accrual</t>
  </si>
  <si>
    <t>Regulatory Assets - DSM - Direct Load</t>
  </si>
  <si>
    <t>Other Reg Assets - Gas - Other</t>
  </si>
  <si>
    <t>Other Reg Assets - Gas - Base</t>
  </si>
  <si>
    <t>Other Regulatory Assets - General</t>
  </si>
  <si>
    <t>Regulatory Assets - DE</t>
  </si>
  <si>
    <t xml:space="preserve">Regulatory Assets - DE Recovery </t>
  </si>
  <si>
    <t xml:space="preserve">Regulatory Assets - MD Recovery </t>
  </si>
  <si>
    <t>Reg Asset - FERC Formula Rate Adj.</t>
  </si>
  <si>
    <t>Reg Assets-FERC Formula Rate Adj-Transmission</t>
  </si>
  <si>
    <t>Reg Asset - DSM</t>
  </si>
  <si>
    <t>DSM - Energy Efficient Products</t>
  </si>
  <si>
    <t>Reacquired Debt</t>
  </si>
  <si>
    <t>Unamortized Loss - Revenue Bonds</t>
  </si>
  <si>
    <t>Property Taxes</t>
  </si>
  <si>
    <t>Pension</t>
  </si>
  <si>
    <t>Merger Commitment Fees</t>
  </si>
  <si>
    <t>Accrued Charitable Contributions-MD Long Term</t>
  </si>
  <si>
    <t>Accrued Charitable Contributions-DE Long Term</t>
  </si>
  <si>
    <t>Accrued Charitable Contributions-MD</t>
  </si>
  <si>
    <t>Accrued Charitable Contributions-DE</t>
  </si>
  <si>
    <t>Materials-Reserve for Obsolete Material</t>
  </si>
  <si>
    <t>Deferred Fuel Interest</t>
  </si>
  <si>
    <t>Interest Factor - Deferred Fuel - Gas</t>
  </si>
  <si>
    <t>Deferred Fuel</t>
  </si>
  <si>
    <t>Deferred Fuel Adjustment Gas Production</t>
  </si>
  <si>
    <t>Blueprint for the Future</t>
  </si>
  <si>
    <t>Regulatory Asset-Return on Blueprint</t>
  </si>
  <si>
    <t>Reg Asset-Blueprint for the Future-MD</t>
  </si>
  <si>
    <t>Delaware Fixed Asset Basis (Non-PowerTax) - CIAC</t>
  </si>
  <si>
    <t>Delaware Fixed Asset Basis (Non-PowerTax)</t>
  </si>
  <si>
    <t>Maryland Fixed Asset Basis (Non-PowerTax) - CIAC</t>
  </si>
  <si>
    <t>Maryland Fixed Asset Basis (Non-PowerTax)</t>
  </si>
  <si>
    <t>Delaware Fixed Asset Basis (PowerTax FT)</t>
  </si>
  <si>
    <t>Maryland Fixed Asset Basis (PowerTax FT)</t>
  </si>
  <si>
    <t>Delaware Fixed Asset Basis (PowerTax) - CIAC</t>
  </si>
  <si>
    <t>Delaware Fixed Asset Basis (PowerTax)</t>
  </si>
  <si>
    <t>Maryland Fixed Asset Basis (PowerTax) - CIAC</t>
  </si>
  <si>
    <t>Maryland Fixed Asset Basis (PowerTax)</t>
  </si>
  <si>
    <t xml:space="preserve">Fixed Asset Basis Differences (PowerTax) - Protected </t>
  </si>
  <si>
    <t>FAS109 Regulatory Liability - Gas</t>
  </si>
  <si>
    <t>FAS109 Regulatory Liability - Electric</t>
  </si>
  <si>
    <t>FAS109 Regulatory Asset</t>
  </si>
  <si>
    <t>FAS109 Regulatory Asset - Electric</t>
  </si>
  <si>
    <t>Federal Net Operating Loss Carry-forward</t>
  </si>
  <si>
    <t>Delaware Net Operating Loss Carry-forward</t>
  </si>
  <si>
    <t>Maryland Net Operating Loss Carry-forward</t>
  </si>
  <si>
    <t>Accrued Liability - Other Energy Purchases</t>
  </si>
  <si>
    <t>Other Regulatory Liability - DE SOS</t>
  </si>
  <si>
    <t>Renewable Energy Credits - DE</t>
  </si>
  <si>
    <t>Accrued Liab-General</t>
  </si>
  <si>
    <t>Miscellaneous Deferred Debits</t>
  </si>
  <si>
    <t>Asset Retirement Obligation-Gas Utility</t>
  </si>
  <si>
    <t>Asset Retirement Obligation-Electric Utility</t>
  </si>
  <si>
    <t>Asset Retirement Obligation - Non-Utility</t>
  </si>
  <si>
    <t>Accrued Liability - LTIP - Long-Term</t>
  </si>
  <si>
    <t>Accrued Liability-Claims-Long-Term</t>
  </si>
  <si>
    <t>Other Regulatory Liability - MD SOS</t>
  </si>
  <si>
    <t>Regulatory Liability - Gas - Unbilled</t>
  </si>
  <si>
    <t>Reg Liab-Asset Retirement Oblig-Gas-Contra</t>
  </si>
  <si>
    <t>Reg Liab-Asset Retirement Oblig-Electric</t>
  </si>
  <si>
    <t>Regulatory Liability-Current-Rev Acct</t>
  </si>
  <si>
    <t>Accrued Liability-Claims-Contra</t>
  </si>
  <si>
    <t>Virginia Use Tax Payable</t>
  </si>
  <si>
    <t>Use Tax Payable</t>
  </si>
  <si>
    <t>Deferred Debits - Payment Plan - Long-Term</t>
  </si>
  <si>
    <t>Misc Deferred Debits - Long-Term Receivable</t>
  </si>
  <si>
    <t>SERP Asset</t>
  </si>
  <si>
    <t>Renewable Energy Credits - MD</t>
  </si>
  <si>
    <t>Provision for Uncollectible POR - DPL MD</t>
  </si>
  <si>
    <t>Reg Liab-MD Dynamic Pricing/Critical Pk</t>
  </si>
  <si>
    <t>Other Labor Related Accruals</t>
  </si>
  <si>
    <t>481(a) - Payroll Taxes</t>
  </si>
  <si>
    <t>Acc Liab - Deferred Comp LT - Active</t>
  </si>
  <si>
    <t>Acc Liab - Deferred Comp LT</t>
  </si>
  <si>
    <t>Liability-Deferred Comp (92530P)-Contra</t>
  </si>
  <si>
    <t>Accrued Liabilities - Workers Comp - Long Term</t>
  </si>
  <si>
    <t>Liab-Workers Comp (92420L)-Contra</t>
  </si>
  <si>
    <t>Liabilities-SERP (92420L) - Contra</t>
  </si>
  <si>
    <t>Acc Liab - Deferred Comp ST</t>
  </si>
  <si>
    <t>Accrued Liabilities - Disability</t>
  </si>
  <si>
    <t>Accrued Liabilities - Workers Comp</t>
  </si>
  <si>
    <t>Accrued Liab-Required Health Claims Residential</t>
  </si>
  <si>
    <t>Other (190)</t>
  </si>
  <si>
    <t>Accrued Liabilities - Disability - Long Term</t>
  </si>
  <si>
    <t>Liabilities-Disability (92420L)-Contra</t>
  </si>
  <si>
    <t>Regulatory Liability-MD Grid Resiliency</t>
  </si>
  <si>
    <t>Oth Reg Liab - Asset Retirement Obligation</t>
  </si>
  <si>
    <t>Oth Reg Liab-Asset Retirement Obligation</t>
  </si>
  <si>
    <t>Above-market Energy Supply Contracts</t>
  </si>
  <si>
    <t>Taxes Accrued - Taxes other than income</t>
  </si>
  <si>
    <t>OPEB</t>
  </si>
  <si>
    <t>Merrill Creek</t>
  </si>
  <si>
    <t>Excess Merrill Creek Capacity</t>
  </si>
  <si>
    <t>Liab-Merril Crk Lease (92420X)-Contra</t>
  </si>
  <si>
    <t>Liab-Merrill Crk Capacity (92420X)-Contra</t>
  </si>
  <si>
    <t>Accrued Liab-Merrill Creek Lease - Long Term</t>
  </si>
  <si>
    <t>Accrued Liab-Merrill Creek Lease</t>
  </si>
  <si>
    <t>Accrued Liab-Environmental Site Exp - Long Term</t>
  </si>
  <si>
    <t>Liability-Environmental (925300)-Contra</t>
  </si>
  <si>
    <t>Other Liability - State Funds</t>
  </si>
  <si>
    <t>Accrued Liab-Environmental Site Exp</t>
  </si>
  <si>
    <t>Deferred ITC</t>
  </si>
  <si>
    <t>Accumulated Deferred Investment Tax Credit</t>
  </si>
  <si>
    <t>Claims Reserve</t>
  </si>
  <si>
    <t>Charitable Contributions</t>
  </si>
  <si>
    <t>Delaware Charitable Contribution Carry-forward</t>
  </si>
  <si>
    <t>Maryland Charitable Contribution Carry-forward</t>
  </si>
  <si>
    <t>Federal Charitable Contribution Carry-forward</t>
  </si>
  <si>
    <t>Prov for Uncollectible Accounts-DE</t>
  </si>
  <si>
    <t>Provision for Uncollectible Accounts - DE</t>
  </si>
  <si>
    <t>Provision for Uncollectible Accounts-Special Billing</t>
  </si>
  <si>
    <t>Unamortized Deficient / (Excess) ADIT</t>
  </si>
  <si>
    <t>Net Plant Carrying Charge per 100 Basis Point increase in ROE without Depreciation</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</si>
  <si>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</si>
  <si>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Attachment 1D - EDIT Rate Base Adjustment</t>
  </si>
  <si>
    <t>Amount for Attachment H-3D, Line 40a</t>
  </si>
  <si>
    <t>Amount for Attachment H-3D, Line 40b</t>
  </si>
  <si>
    <t>Amount for Attachment H-3D, Line 40e</t>
  </si>
  <si>
    <t>Amount for Attachment H-3D, Line 40d</t>
  </si>
  <si>
    <t>Amount for Attachment H-3D, Line 40c</t>
  </si>
  <si>
    <t>(Entered in ATT H-3D, Line 41a)</t>
  </si>
  <si>
    <t>(Entered in ATT H-3D, Line 41b)</t>
  </si>
  <si>
    <t>ATT H-3D, Line 132b</t>
  </si>
  <si>
    <t>(Note I from ATT H-3D)</t>
  </si>
  <si>
    <t>(Note U from ATT H-3D)</t>
  </si>
  <si>
    <t>(Note T from ATT H-3D)</t>
  </si>
  <si>
    <t>Attachment H-3D, Line 131</t>
  </si>
  <si>
    <t>Amount to Line 136e</t>
  </si>
  <si>
    <t>ACE capital structure is initially fixed at 50% common equity and 50% debt per settlement in ER05-515 subject to moratorium provisions in the settlement.</t>
  </si>
  <si>
    <t>Note: ADIT associated with Gain or Loss on Reacquired Debt included in ADIT-283, Column A is excluded from rate base and instead included in Cost of Debt on Attachment H-3D, Line 111.   A deferred tax (liability) should be reported as a positive balance and a deferred tax asset should be reported as a negative balance on Attachment H-3D, Line 111. The ADIT balance is based on the 13 month average.</t>
  </si>
  <si>
    <t>207.58.g minus 207.57.g.  Projected monthly balances that are the amounts expected to be included in 207.58.g for end of year and records for other months (Note F)</t>
  </si>
  <si>
    <t>Projected monthly balances that are expected to be included in 219.25.c for end of year and records for other months (Note F)</t>
  </si>
  <si>
    <t>(Note H)</t>
  </si>
  <si>
    <t>(Notes G)</t>
  </si>
  <si>
    <t>(Notes B &amp; E)</t>
  </si>
  <si>
    <t>Attachment H-3D, Line 44</t>
  </si>
  <si>
    <t>To be completed in conjunction with Attachment H-3D.</t>
  </si>
  <si>
    <t>Attachment H-3D</t>
  </si>
  <si>
    <t>Attach H-3D, line 85</t>
  </si>
  <si>
    <t>Attach H-3D, line 86a plus line 91 plus line 96</t>
  </si>
  <si>
    <t>Attach H-3D, line 99</t>
  </si>
  <si>
    <t>Attach H-3D, line 154</t>
  </si>
  <si>
    <t>Attach H-3D, line 138</t>
  </si>
  <si>
    <t>Attach H-3D, line 145</t>
  </si>
  <si>
    <t>All transmission facilities reflected in the revenue requirement on Attachment H-3D are to be included in this Attachment 6.</t>
  </si>
  <si>
    <t>For each project or Attachment H-3D, the utility will populate the formula rate with the inputs for the True-Up Year.  The revenue requirements, based on actual operating results for the True-Up Year, associated with the projects and Attachment H-3D will then be entered in Col. (F) above.  Column (E) above contains the actual revenues received associated with Attachment H-3D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</si>
  <si>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H-3D, Line No:</t>
  </si>
  <si>
    <t>227. 8. c + 227.5.c (see Att H-3D Note AA) for end of year, records for other months</t>
  </si>
  <si>
    <t xml:space="preserve">Beginning Balance - ADIT Adjustment </t>
  </si>
  <si>
    <t xml:space="preserve">Ending Balance - ADIT Adjustment </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</si>
  <si>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</si>
  <si>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</si>
  <si>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</si>
  <si>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</si>
  <si>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(Percent of federal income tax deductible for state purposes)</t>
  </si>
  <si>
    <t>T=1 - {[(1 - SIT) * (1 - FIT)] / (1 - SIT * FIT * P)} =</t>
  </si>
  <si>
    <t>Amortization of Deficient / (Excess) Deferred Taxes - Transmission Component</t>
  </si>
  <si>
    <t>Transportation Equipment</t>
  </si>
  <si>
    <t>Abandoned Transmission Plant</t>
  </si>
  <si>
    <t>Monthly Amortization</t>
  </si>
  <si>
    <t>From Attachment 5 for the end of year balance and records for other months.</t>
  </si>
  <si>
    <t>(Notes A)</t>
  </si>
  <si>
    <t>207.58.g. Projected monthly balances that are the amounts expected to be included in 207.58.g for end of year and records for other months (Note F)</t>
  </si>
  <si>
    <t>Accrued Liability - Legal</t>
  </si>
  <si>
    <t>Accrued Severance</t>
  </si>
  <si>
    <t>Deferred Revenue</t>
  </si>
  <si>
    <t>State Income Taxes</t>
  </si>
  <si>
    <t>Acct 454</t>
  </si>
  <si>
    <t>December 31, 2020</t>
  </si>
  <si>
    <t>12/31/2020 (Actual)</t>
  </si>
  <si>
    <t>General Capital Lease $25,369,863</t>
  </si>
  <si>
    <t>Other Accrued Incentive Plans</t>
  </si>
  <si>
    <t xml:space="preserve">  FERC Form 1 page 351 line 18 (h)</t>
  </si>
  <si>
    <t>392.2 DE</t>
  </si>
  <si>
    <t>392.2 MD</t>
  </si>
  <si>
    <t>General Capital Lease $5,068,726</t>
  </si>
  <si>
    <t>2021
Projected</t>
  </si>
  <si>
    <t>December 31, 2020 (Actuals)</t>
  </si>
  <si>
    <t>December 31, 2021 (Projected)</t>
  </si>
  <si>
    <t>December 31, 2021</t>
  </si>
  <si>
    <t>Projected for the 12 Months Ended December 31, 2021</t>
  </si>
  <si>
    <t>2021 Projected</t>
  </si>
  <si>
    <t>2020 Annual Update Credit</t>
  </si>
  <si>
    <t>Jun-Aug 2020 True up 3/12th</t>
  </si>
  <si>
    <t>Separation Costs</t>
  </si>
  <si>
    <t>b2633.10 Interconnect the new
Silver Run 230 kV
substation with existing
Red Lion – Cartanza and
Red Lion – Cedar Creek
230 kV lines</t>
  </si>
  <si>
    <t>The actuarially determined amount of OPEB expense in FERC 926 decreased $0.5 million from the prior year; The decrease was mainly due to favorable asset returns which were 14.40% in 2020 compared to the expected return of 6.7%. Returns in 2019 were unfavorable at -4.66% compared to the expected return of 6.7%. Further, interest rates decreased from 4.27% in 2019 to 3.27% in 2020. The impact of the decrease in the discount rate decreases interest cost and increases service cost; however, the decrease in interest cost more than offset the increase in service cost.</t>
  </si>
  <si>
    <t xml:space="preserve">Federal Taxes on state income taxes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</si>
</sst>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s>
  <fonts count="129">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i/>
      <sz val="14"/>
      <name val="Arial Narrow"/>
      <family val="2"/>
    </font>
    <font>
      <b/>
      <sz val="16"/>
      <color indexed="10"/>
      <name val="Arial"/>
      <family val="2"/>
    </font>
    <font>
      <b/>
      <sz val="14"/>
      <color indexed="10"/>
      <name val="Arial"/>
      <family val="2"/>
    </font>
    <font>
      <b/>
      <sz val="10"/>
      <color indexed="10"/>
      <name val="Arial Narrow"/>
      <family val="2"/>
    </font>
    <font>
      <b/>
      <sz val="12"/>
      <name val="Arial Narrow"/>
      <family val="2"/>
    </font>
    <font>
      <sz val="12"/>
      <color indexed="12"/>
      <name val="Arial Narrow"/>
      <family val="2"/>
    </font>
    <font>
      <sz val="10"/>
      <color indexed="10"/>
      <name val="Arial Narrow"/>
      <family val="2"/>
    </font>
    <font>
      <sz val="10"/>
      <color rgb="FFFF0000"/>
      <name val="Arial"/>
      <family val="2"/>
    </font>
    <font>
      <sz val="12"/>
      <name val="Arial"/>
      <family val="2"/>
    </font>
    <font>
      <b/>
      <sz val="16"/>
      <color rgb="FFFF0000"/>
      <name val="Arial"/>
      <family val="2"/>
    </font>
    <font>
      <b/>
      <sz val="16"/>
      <name val="Arial"/>
      <family val="2"/>
    </font>
    <font>
      <sz val="11"/>
      <name val="Arial Narrow"/>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name val="Calibri"/>
      <family val="2"/>
      <scheme val="minor"/>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sz val="12"/>
      <color theme="1"/>
      <name val="Arial Narrow"/>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b/>
      <sz val="11"/>
      <color theme="1"/>
      <name val="Times New Roman"/>
      <family val="1"/>
    </font>
    <font>
      <b/>
      <sz val="12"/>
      <name val="Arial MT"/>
    </font>
    <font>
      <sz val="8"/>
      <name val="Calibri"/>
      <family val="2"/>
      <scheme val="minor"/>
    </font>
    <font>
      <sz val="10"/>
      <color theme="1"/>
      <name val="Arial Narrow"/>
      <family val="2"/>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b/>
      <sz val="11"/>
      <name val="Calibri"/>
      <family val="2"/>
      <scheme val="minor"/>
    </font>
    <font>
      <sz val="11"/>
      <color rgb="FFFF0000"/>
      <name val="Calibri"/>
      <family val="2"/>
      <scheme val="minor"/>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sz val="8"/>
      <name val="Arial Narrow"/>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sz val="15"/>
      <color theme="1"/>
      <name val="Arial"/>
      <family val="2"/>
    </font>
    <font>
      <b/>
      <sz val="12"/>
      <color theme="0"/>
      <name val="Arial"/>
      <family val="2"/>
    </font>
    <font>
      <b/>
      <sz val="10"/>
      <color rgb="FFFF0000"/>
      <name val="Calibri"/>
      <family val="2"/>
      <scheme val="minor"/>
    </font>
    <font>
      <sz val="10"/>
      <color rgb="FFFF0000"/>
      <name val="Calibri"/>
      <family val="2"/>
      <scheme val="minor"/>
    </font>
    <font>
      <sz val="10"/>
      <name val="Calibri"/>
      <family val="2"/>
      <scheme val="minor"/>
    </font>
  </fonts>
  <fills count="1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rgb="FFFFFFCC"/>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2">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31"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6" fillId="0" borderId="0"/>
    <xf numFmtId="43" fontId="46" fillId="0" borderId="0" applyFont="0" applyFill="0" applyBorder="0" applyAlignment="0" applyProtection="0"/>
    <xf numFmtId="168" fontId="35" fillId="0" borderId="0" applyProtection="0"/>
    <xf numFmtId="0" fontId="63" fillId="0" borderId="0"/>
    <xf numFmtId="0" fontId="61" fillId="0" borderId="0"/>
    <xf numFmtId="44" fontId="61" fillId="0" borderId="0" applyFont="0" applyFill="0" applyBorder="0" applyAlignment="0" applyProtection="0"/>
    <xf numFmtId="0" fontId="61" fillId="0" borderId="0"/>
    <xf numFmtId="43" fontId="61" fillId="0" borderId="0" applyFont="0" applyFill="0" applyBorder="0" applyAlignment="0" applyProtection="0"/>
    <xf numFmtId="168" fontId="35" fillId="0" borderId="0" applyProtection="0"/>
    <xf numFmtId="0" fontId="8" fillId="0" borderId="0"/>
    <xf numFmtId="168" fontId="35" fillId="0" borderId="0" applyProtection="0"/>
    <xf numFmtId="168" fontId="35" fillId="0" borderId="0" applyProtection="0"/>
    <xf numFmtId="0" fontId="35" fillId="0" borderId="0" applyProtection="0"/>
    <xf numFmtId="0" fontId="8" fillId="0" borderId="0"/>
    <xf numFmtId="0" fontId="8" fillId="0" borderId="0"/>
    <xf numFmtId="168" fontId="35" fillId="0" borderId="0" applyProtection="0"/>
    <xf numFmtId="0" fontId="8" fillId="0" borderId="0"/>
    <xf numFmtId="0" fontId="61" fillId="0" borderId="0"/>
    <xf numFmtId="168" fontId="35" fillId="0" borderId="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41" fontId="61" fillId="0" borderId="0" applyFont="0" applyFill="0" applyBorder="0" applyAlignment="0" applyProtection="0"/>
    <xf numFmtId="0" fontId="61" fillId="0" borderId="0"/>
    <xf numFmtId="0" fontId="61" fillId="0" borderId="0"/>
    <xf numFmtId="41" fontId="61" fillId="0" borderId="0" applyFont="0" applyFill="0" applyBorder="0" applyAlignment="0" applyProtection="0"/>
    <xf numFmtId="0" fontId="61" fillId="0" borderId="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61" fillId="0" borderId="0"/>
    <xf numFmtId="168" fontId="35" fillId="0" borderId="0" applyProtection="0"/>
    <xf numFmtId="168" fontId="35" fillId="0" borderId="0" applyProtection="0"/>
    <xf numFmtId="0" fontId="8" fillId="0" borderId="0"/>
    <xf numFmtId="0" fontId="82" fillId="0" borderId="0"/>
    <xf numFmtId="0" fontId="61" fillId="0" borderId="0"/>
    <xf numFmtId="0" fontId="8" fillId="0" borderId="0"/>
    <xf numFmtId="168" fontId="35" fillId="0" borderId="0" applyProtection="0"/>
    <xf numFmtId="0" fontId="8" fillId="0" borderId="0"/>
    <xf numFmtId="168" fontId="35" fillId="0" borderId="0" applyProtection="0"/>
    <xf numFmtId="44" fontId="61" fillId="0" borderId="0" applyFont="0" applyFill="0" applyBorder="0" applyAlignment="0" applyProtection="0"/>
    <xf numFmtId="44" fontId="8" fillId="0" borderId="0" applyFont="0" applyFill="0" applyBorder="0" applyAlignment="0" applyProtection="0"/>
    <xf numFmtId="0" fontId="61" fillId="0" borderId="0"/>
    <xf numFmtId="0" fontId="8"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0" fontId="8" fillId="0" borderId="0"/>
    <xf numFmtId="43" fontId="61" fillId="0" borderId="0" applyFont="0" applyFill="0" applyBorder="0" applyAlignment="0" applyProtection="0"/>
    <xf numFmtId="9"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4" fillId="0" borderId="0"/>
    <xf numFmtId="0" fontId="8" fillId="0" borderId="0"/>
    <xf numFmtId="0" fontId="100" fillId="0" borderId="0"/>
    <xf numFmtId="0" fontId="8" fillId="0" borderId="0"/>
    <xf numFmtId="43" fontId="46" fillId="0" borderId="0" applyFont="0" applyFill="0" applyBorder="0" applyAlignment="0" applyProtection="0"/>
    <xf numFmtId="0" fontId="46" fillId="0" borderId="0"/>
    <xf numFmtId="9" fontId="8" fillId="0" borderId="0" applyFont="0" applyFill="0" applyBorder="0" applyAlignment="0" applyProtection="0"/>
    <xf numFmtId="0" fontId="8" fillId="0" borderId="0"/>
    <xf numFmtId="0" fontId="117" fillId="0" borderId="0"/>
    <xf numFmtId="44" fontId="8" fillId="0" borderId="0" applyFont="0" applyFill="0" applyBorder="0" applyAlignment="0" applyProtection="0"/>
    <xf numFmtId="43" fontId="8" fillId="0" borderId="0" applyFont="0" applyFill="0" applyBorder="0" applyAlignment="0" applyProtection="0"/>
    <xf numFmtId="43" fontId="46" fillId="0" borderId="0" applyFont="0" applyFill="0" applyBorder="0" applyAlignment="0" applyProtection="0"/>
    <xf numFmtId="0" fontId="46" fillId="0" borderId="0"/>
    <xf numFmtId="0" fontId="8" fillId="0" borderId="0"/>
    <xf numFmtId="0" fontId="8" fillId="0" borderId="0"/>
  </cellStyleXfs>
  <cellXfs count="1995">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0" fillId="0" borderId="0" xfId="0" applyAlignment="1"/>
    <xf numFmtId="0" fontId="9" fillId="0" borderId="0" xfId="0" applyFont="1" applyAlignment="1">
      <alignment horizontal="left"/>
    </xf>
    <xf numFmtId="0" fontId="0" fillId="0" borderId="0" xfId="0" applyAlignment="1">
      <alignment horizontal="left"/>
    </xf>
    <xf numFmtId="165" fontId="8" fillId="0" borderId="0" xfId="2" applyNumberFormat="1"/>
    <xf numFmtId="0" fontId="12" fillId="0" borderId="4"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0" fillId="0" borderId="0"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164" fontId="12" fillId="0" borderId="6" xfId="4" applyNumberFormat="1" applyFont="1" applyBorder="1"/>
    <xf numFmtId="164" fontId="12" fillId="0" borderId="0" xfId="1" applyNumberFormat="1" applyFont="1" applyBorder="1"/>
    <xf numFmtId="164" fontId="12" fillId="0" borderId="0"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164" fontId="12" fillId="0" borderId="1" xfId="1" applyNumberFormat="1" applyFont="1" applyBorder="1"/>
    <xf numFmtId="0" fontId="12" fillId="0" borderId="1" xfId="0" applyFont="1" applyBorder="1"/>
    <xf numFmtId="0" fontId="12" fillId="0" borderId="8" xfId="0" applyFont="1" applyBorder="1"/>
    <xf numFmtId="0" fontId="13" fillId="0" borderId="0" xfId="0" applyFont="1" applyFill="1" applyBorder="1" applyAlignment="1">
      <alignment horizontal="center"/>
    </xf>
    <xf numFmtId="164" fontId="12" fillId="0" borderId="0" xfId="0" applyNumberFormat="1" applyFont="1" applyBorder="1"/>
    <xf numFmtId="166" fontId="0" fillId="0" borderId="0" xfId="0" applyNumberFormat="1"/>
    <xf numFmtId="0" fontId="12" fillId="0" borderId="0" xfId="0" applyFont="1"/>
    <xf numFmtId="0" fontId="12" fillId="0" borderId="0" xfId="0" applyFont="1" applyAlignment="1">
      <alignment horizontal="center"/>
    </xf>
    <xf numFmtId="0" fontId="8" fillId="0" borderId="0" xfId="0" applyFont="1"/>
    <xf numFmtId="0" fontId="0" fillId="0" borderId="0" xfId="0" applyFill="1" applyBorder="1"/>
    <xf numFmtId="0" fontId="15" fillId="0" borderId="0" xfId="0" applyNumberFormat="1" applyFont="1" applyBorder="1" applyAlignment="1">
      <alignment horizontal="center"/>
    </xf>
    <xf numFmtId="0" fontId="6" fillId="0" borderId="0" xfId="0" applyNumberFormat="1" applyFont="1" applyBorder="1" applyAlignment="1">
      <alignment horizontal="center"/>
    </xf>
    <xf numFmtId="0" fontId="6" fillId="0" borderId="0" xfId="0" applyFont="1" applyBorder="1" applyAlignment="1"/>
    <xf numFmtId="0" fontId="10" fillId="0" borderId="0" xfId="0" applyFont="1" applyBorder="1" applyAlignment="1">
      <alignment horizontal="center"/>
    </xf>
    <xf numFmtId="37" fontId="6" fillId="0" borderId="0" xfId="0" applyNumberFormat="1" applyFont="1" applyBorder="1" applyAlignment="1">
      <alignment horizontal="left"/>
    </xf>
    <xf numFmtId="0" fontId="16" fillId="0" borderId="0" xfId="0" applyFont="1"/>
    <xf numFmtId="0" fontId="12" fillId="0" borderId="0" xfId="0" applyFont="1" applyAlignment="1">
      <alignment horizontal="right"/>
    </xf>
    <xf numFmtId="0" fontId="17" fillId="0" borderId="0" xfId="0" applyFont="1" applyAlignment="1">
      <alignment horizontal="center"/>
    </xf>
    <xf numFmtId="0" fontId="18" fillId="0" borderId="0" xfId="0" applyFont="1" applyFill="1" applyBorder="1" applyAlignment="1">
      <alignment horizontal="left"/>
    </xf>
    <xf numFmtId="0" fontId="20" fillId="3" borderId="2" xfId="0" applyFont="1" applyFill="1" applyBorder="1" applyAlignment="1">
      <alignment horizontal="center" wrapText="1"/>
    </xf>
    <xf numFmtId="0" fontId="20" fillId="3" borderId="4" xfId="0" applyFont="1" applyFill="1" applyBorder="1" applyAlignment="1">
      <alignment horizontal="center" wrapText="1"/>
    </xf>
    <xf numFmtId="0" fontId="6" fillId="0" borderId="5" xfId="0" applyFont="1" applyBorder="1" applyAlignment="1">
      <alignment horizontal="center"/>
    </xf>
    <xf numFmtId="0" fontId="21" fillId="0" borderId="0" xfId="0" applyNumberFormat="1" applyFont="1" applyFill="1" applyBorder="1" applyAlignment="1"/>
    <xf numFmtId="0" fontId="6" fillId="0" borderId="0" xfId="0" applyFont="1" applyBorder="1"/>
    <xf numFmtId="0" fontId="6" fillId="0" borderId="0" xfId="0" applyFont="1" applyBorder="1" applyAlignment="1">
      <alignment horizontal="center"/>
    </xf>
    <xf numFmtId="0" fontId="6" fillId="0" borderId="6" xfId="0" applyFont="1" applyBorder="1"/>
    <xf numFmtId="0" fontId="6" fillId="0" borderId="5" xfId="0" applyNumberFormat="1" applyFont="1" applyFill="1" applyBorder="1" applyAlignment="1">
      <alignment horizontal="center"/>
    </xf>
    <xf numFmtId="0" fontId="6" fillId="0" borderId="0" xfId="0" applyNumberFormat="1" applyFont="1" applyFill="1" applyBorder="1" applyAlignment="1">
      <alignment horizontal="left"/>
    </xf>
    <xf numFmtId="0" fontId="22" fillId="0" borderId="0" xfId="0" applyNumberFormat="1" applyFont="1" applyFill="1" applyBorder="1" applyAlignment="1">
      <alignment horizontal="center"/>
    </xf>
    <xf numFmtId="3" fontId="12" fillId="0" borderId="5" xfId="0" applyNumberFormat="1" applyFont="1" applyBorder="1" applyAlignment="1">
      <alignment horizontal="center"/>
    </xf>
    <xf numFmtId="3" fontId="22" fillId="0" borderId="0" xfId="0" applyNumberFormat="1" applyFont="1" applyFill="1" applyBorder="1" applyAlignment="1">
      <alignment horizontal="center"/>
    </xf>
    <xf numFmtId="3" fontId="6" fillId="0" borderId="6" xfId="0" applyNumberFormat="1" applyFont="1" applyFill="1" applyBorder="1" applyAlignment="1"/>
    <xf numFmtId="0" fontId="12" fillId="0" borderId="0" xfId="0" applyFont="1" applyBorder="1" applyAlignment="1">
      <alignment horizontal="left" wrapText="1"/>
    </xf>
    <xf numFmtId="0" fontId="6" fillId="0" borderId="5" xfId="0" applyFont="1" applyFill="1" applyBorder="1" applyAlignment="1">
      <alignment horizontal="center"/>
    </xf>
    <xf numFmtId="0" fontId="21" fillId="0" borderId="0" xfId="0" applyNumberFormat="1" applyFont="1" applyFill="1" applyBorder="1" applyAlignment="1">
      <alignment horizontal="left"/>
    </xf>
    <xf numFmtId="0" fontId="6" fillId="0" borderId="0" xfId="0" applyFont="1" applyBorder="1" applyAlignment="1">
      <alignment horizontal="left"/>
    </xf>
    <xf numFmtId="0" fontId="6" fillId="0" borderId="0" xfId="0" applyFont="1" applyFill="1" applyBorder="1"/>
    <xf numFmtId="0" fontId="22" fillId="0" borderId="0" xfId="0" applyFont="1" applyFill="1" applyBorder="1" applyAlignment="1">
      <alignment horizontal="right"/>
    </xf>
    <xf numFmtId="0" fontId="6" fillId="0" borderId="6" xfId="0" applyFont="1" applyBorder="1" applyAlignment="1"/>
    <xf numFmtId="0" fontId="22" fillId="0" borderId="0" xfId="0" applyFont="1" applyFill="1" applyBorder="1"/>
    <xf numFmtId="0" fontId="6" fillId="0" borderId="0" xfId="0" applyFont="1" applyFill="1" applyBorder="1" applyAlignment="1">
      <alignment horizontal="left"/>
    </xf>
    <xf numFmtId="0" fontId="22" fillId="0" borderId="0" xfId="0" applyFont="1" applyFill="1" applyBorder="1" applyAlignment="1">
      <alignment horizontal="center"/>
    </xf>
    <xf numFmtId="3" fontId="22" fillId="0" borderId="6" xfId="0" applyNumberFormat="1" applyFont="1" applyFill="1" applyBorder="1" applyAlignment="1"/>
    <xf numFmtId="0" fontId="6" fillId="0" borderId="0" xfId="0" applyFont="1" applyFill="1" applyBorder="1" applyAlignment="1"/>
    <xf numFmtId="0" fontId="6" fillId="0" borderId="6" xfId="0" applyFont="1" applyFill="1" applyBorder="1" applyAlignment="1"/>
    <xf numFmtId="0" fontId="6" fillId="0" borderId="0" xfId="0" applyNumberFormat="1" applyFont="1" applyFill="1" applyBorder="1" applyAlignment="1">
      <alignment horizontal="center"/>
    </xf>
    <xf numFmtId="0" fontId="21" fillId="0" borderId="0" xfId="0" applyNumberFormat="1" applyFont="1" applyBorder="1" applyAlignment="1">
      <alignment horizontal="left"/>
    </xf>
    <xf numFmtId="0" fontId="22" fillId="0" borderId="0" xfId="0" applyFont="1" applyBorder="1" applyAlignment="1">
      <alignment horizontal="center"/>
    </xf>
    <xf numFmtId="0" fontId="6" fillId="0" borderId="5" xfId="0" applyNumberFormat="1" applyFont="1" applyBorder="1" applyAlignment="1">
      <alignment horizontal="center"/>
    </xf>
    <xf numFmtId="0" fontId="6" fillId="0" borderId="0" xfId="0" applyNumberFormat="1" applyFont="1" applyFill="1" applyBorder="1" applyAlignment="1">
      <alignment horizontal="right"/>
    </xf>
    <xf numFmtId="0" fontId="6" fillId="0" borderId="7" xfId="0" applyNumberFormat="1" applyFont="1" applyFill="1" applyBorder="1" applyAlignment="1">
      <alignment horizontal="center"/>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left"/>
    </xf>
    <xf numFmtId="0" fontId="6" fillId="0" borderId="1" xfId="0" applyFont="1" applyFill="1" applyBorder="1" applyAlignment="1"/>
    <xf numFmtId="0" fontId="22" fillId="0" borderId="1" xfId="0" applyNumberFormat="1" applyFont="1" applyFill="1" applyBorder="1" applyAlignment="1">
      <alignment horizontal="center"/>
    </xf>
    <xf numFmtId="3" fontId="12" fillId="0" borderId="7" xfId="0" applyNumberFormat="1" applyFont="1" applyBorder="1" applyAlignment="1">
      <alignment horizontal="center"/>
    </xf>
    <xf numFmtId="3" fontId="12" fillId="0" borderId="1" xfId="0" applyNumberFormat="1" applyFont="1" applyBorder="1" applyAlignment="1">
      <alignment horizontal="center"/>
    </xf>
    <xf numFmtId="0" fontId="22" fillId="0" borderId="0" xfId="0" applyFont="1" applyFill="1" applyBorder="1" applyAlignment="1"/>
    <xf numFmtId="0" fontId="6" fillId="0" borderId="6" xfId="0" applyNumberFormat="1" applyFont="1" applyFill="1" applyBorder="1" applyAlignment="1">
      <alignment horizontal="left"/>
    </xf>
    <xf numFmtId="3" fontId="6" fillId="0" borderId="0" xfId="0" applyNumberFormat="1" applyFont="1" applyBorder="1" applyAlignment="1">
      <alignment horizontal="center"/>
    </xf>
    <xf numFmtId="0" fontId="13" fillId="0" borderId="0" xfId="0" applyFont="1" applyBorder="1" applyAlignment="1">
      <alignment horizontal="center"/>
    </xf>
    <xf numFmtId="0" fontId="0" fillId="0" borderId="7" xfId="0" applyBorder="1"/>
    <xf numFmtId="0" fontId="0" fillId="0" borderId="1" xfId="0" applyBorder="1"/>
    <xf numFmtId="0" fontId="0" fillId="0" borderId="1" xfId="0" applyFill="1" applyBorder="1"/>
    <xf numFmtId="0" fontId="0" fillId="0" borderId="8" xfId="0" applyBorder="1"/>
    <xf numFmtId="0" fontId="12" fillId="0" borderId="1" xfId="0" applyFont="1" applyFill="1" applyBorder="1"/>
    <xf numFmtId="3" fontId="6" fillId="0" borderId="6" xfId="0" applyNumberFormat="1" applyFont="1" applyFill="1" applyBorder="1" applyAlignment="1">
      <alignment horizontal="left"/>
    </xf>
    <xf numFmtId="0" fontId="6" fillId="0" borderId="6" xfId="0" applyFont="1" applyBorder="1" applyAlignment="1">
      <alignment horizontal="left"/>
    </xf>
    <xf numFmtId="3" fontId="6" fillId="0" borderId="0" xfId="0" applyNumberFormat="1" applyFont="1" applyFill="1" applyBorder="1" applyAlignment="1"/>
    <xf numFmtId="3" fontId="22" fillId="0" borderId="0" xfId="0" applyNumberFormat="1" applyFont="1" applyBorder="1" applyAlignment="1">
      <alignment horizontal="center"/>
    </xf>
    <xf numFmtId="3" fontId="6" fillId="0" borderId="6" xfId="0" applyNumberFormat="1" applyFont="1" applyBorder="1" applyAlignment="1">
      <alignment horizontal="left"/>
    </xf>
    <xf numFmtId="0" fontId="6" fillId="0" borderId="1" xfId="0" applyNumberFormat="1" applyFont="1" applyBorder="1" applyAlignment="1">
      <alignment horizontal="center"/>
    </xf>
    <xf numFmtId="0" fontId="6" fillId="0" borderId="1" xfId="0" applyFont="1" applyBorder="1" applyAlignment="1"/>
    <xf numFmtId="0" fontId="6" fillId="0" borderId="8" xfId="0" applyNumberFormat="1" applyFont="1" applyFill="1" applyBorder="1" applyAlignment="1">
      <alignment horizontal="left"/>
    </xf>
    <xf numFmtId="0" fontId="12" fillId="0" borderId="1" xfId="0" applyFont="1" applyBorder="1" applyAlignment="1">
      <alignment horizontal="center"/>
    </xf>
    <xf numFmtId="3" fontId="6" fillId="0" borderId="0" xfId="0" applyNumberFormat="1" applyFont="1" applyFill="1" applyBorder="1" applyAlignment="1">
      <alignment horizontal="center"/>
    </xf>
    <xf numFmtId="0" fontId="6" fillId="0" borderId="1" xfId="0" applyNumberFormat="1" applyFont="1" applyFill="1" applyBorder="1" applyAlignment="1">
      <alignment horizontal="center"/>
    </xf>
    <xf numFmtId="0" fontId="6" fillId="0" borderId="1" xfId="0" applyFont="1" applyBorder="1"/>
    <xf numFmtId="0" fontId="12" fillId="0" borderId="0" xfId="0" applyFont="1" applyFill="1" applyBorder="1" applyAlignment="1">
      <alignment horizontal="left"/>
    </xf>
    <xf numFmtId="0" fontId="12" fillId="0" borderId="0" xfId="0" applyFont="1" applyFill="1" applyBorder="1" applyAlignment="1">
      <alignment horizontal="centerContinuous"/>
    </xf>
    <xf numFmtId="0" fontId="12" fillId="0" borderId="6" xfId="0" applyFont="1" applyFill="1" applyBorder="1" applyAlignment="1">
      <alignment horizontal="centerContinuous"/>
    </xf>
    <xf numFmtId="0" fontId="22" fillId="0" borderId="1" xfId="0" applyFont="1" applyFill="1" applyBorder="1" applyAlignment="1">
      <alignment horizontal="center"/>
    </xf>
    <xf numFmtId="0" fontId="6" fillId="0" borderId="7" xfId="0" applyNumberFormat="1" applyFont="1" applyBorder="1" applyAlignment="1">
      <alignment horizontal="center"/>
    </xf>
    <xf numFmtId="0" fontId="6" fillId="0" borderId="1" xfId="0" applyNumberFormat="1" applyFont="1" applyBorder="1" applyAlignment="1">
      <alignment horizontal="left"/>
    </xf>
    <xf numFmtId="0" fontId="22" fillId="0" borderId="1" xfId="0" applyNumberFormat="1" applyFont="1" applyBorder="1" applyAlignment="1">
      <alignment horizontal="center"/>
    </xf>
    <xf numFmtId="0" fontId="6" fillId="0" borderId="8" xfId="0" applyNumberFormat="1" applyFont="1" applyBorder="1" applyAlignment="1">
      <alignment horizontal="left"/>
    </xf>
    <xf numFmtId="0" fontId="13" fillId="0" borderId="0" xfId="0" applyFont="1" applyFill="1" applyBorder="1" applyAlignment="1">
      <alignment horizontal="center" wrapText="1"/>
    </xf>
    <xf numFmtId="0" fontId="12" fillId="0" borderId="0" xfId="0" applyFont="1" applyFill="1" applyBorder="1" applyAlignment="1">
      <alignment horizontal="center" wrapText="1"/>
    </xf>
    <xf numFmtId="167" fontId="21" fillId="0" borderId="0" xfId="0" applyNumberFormat="1" applyFont="1" applyBorder="1" applyAlignment="1">
      <alignment horizontal="left"/>
    </xf>
    <xf numFmtId="3" fontId="6" fillId="0" borderId="6" xfId="0" applyNumberFormat="1" applyFont="1" applyBorder="1" applyAlignment="1"/>
    <xf numFmtId="168" fontId="6" fillId="0" borderId="1" xfId="0" applyNumberFormat="1" applyFont="1" applyBorder="1" applyAlignment="1"/>
    <xf numFmtId="0" fontId="22" fillId="0" borderId="1" xfId="0" applyFont="1" applyFill="1" applyBorder="1" applyAlignment="1"/>
    <xf numFmtId="0" fontId="24" fillId="0" borderId="0" xfId="0" applyFont="1"/>
    <xf numFmtId="0" fontId="15" fillId="0" borderId="5" xfId="0" applyNumberFormat="1" applyFont="1" applyBorder="1" applyAlignment="1">
      <alignment horizontal="center"/>
    </xf>
    <xf numFmtId="0" fontId="13" fillId="0" borderId="0" xfId="0" applyNumberFormat="1" applyFont="1" applyBorder="1" applyAlignment="1">
      <alignment horizontal="left"/>
    </xf>
    <xf numFmtId="0" fontId="15" fillId="0" borderId="0" xfId="0" applyNumberFormat="1" applyFont="1" applyFill="1" applyBorder="1" applyAlignment="1"/>
    <xf numFmtId="0" fontId="15" fillId="0" borderId="0" xfId="0" applyFont="1" applyFill="1" applyBorder="1" applyAlignment="1"/>
    <xf numFmtId="3" fontId="15" fillId="0" borderId="0" xfId="0" applyNumberFormat="1" applyFont="1" applyBorder="1" applyAlignment="1">
      <alignment horizontal="center"/>
    </xf>
    <xf numFmtId="3" fontId="21" fillId="0" borderId="0" xfId="0" applyNumberFormat="1" applyFont="1" applyBorder="1" applyAlignment="1"/>
    <xf numFmtId="0" fontId="13" fillId="0" borderId="5" xfId="0" applyFont="1" applyBorder="1"/>
    <xf numFmtId="0" fontId="6" fillId="0" borderId="0" xfId="0" applyNumberFormat="1" applyFont="1" applyFill="1" applyBorder="1" applyAlignment="1"/>
    <xf numFmtId="0" fontId="13" fillId="0" borderId="5" xfId="0" applyFont="1" applyBorder="1" applyAlignment="1">
      <alignment horizontal="center"/>
    </xf>
    <xf numFmtId="0" fontId="13" fillId="2" borderId="5" xfId="0" applyFont="1" applyFill="1" applyBorder="1" applyAlignment="1">
      <alignment horizontal="center"/>
    </xf>
    <xf numFmtId="0" fontId="12" fillId="0" borderId="6" xfId="0" applyFont="1" applyFill="1" applyBorder="1" applyAlignment="1">
      <alignment horizontal="center" wrapText="1"/>
    </xf>
    <xf numFmtId="0" fontId="15" fillId="0" borderId="0" xfId="0" applyFont="1" applyFill="1" applyBorder="1" applyAlignment="1">
      <alignment horizontal="center"/>
    </xf>
    <xf numFmtId="0" fontId="0" fillId="0" borderId="5" xfId="0" applyFill="1" applyBorder="1"/>
    <xf numFmtId="0" fontId="0" fillId="0" borderId="0" xfId="0" applyFill="1" applyBorder="1" applyAlignment="1">
      <alignment horizontal="right"/>
    </xf>
    <xf numFmtId="164" fontId="0" fillId="0" borderId="0" xfId="1" applyNumberFormat="1" applyFont="1" applyFill="1" applyBorder="1"/>
    <xf numFmtId="0" fontId="20" fillId="0" borderId="1" xfId="0" applyFont="1" applyBorder="1"/>
    <xf numFmtId="0" fontId="0" fillId="0" borderId="0" xfId="0" applyBorder="1"/>
    <xf numFmtId="0" fontId="20" fillId="0" borderId="0" xfId="0" applyFont="1" applyBorder="1"/>
    <xf numFmtId="0" fontId="0" fillId="0" borderId="7" xfId="0" applyFill="1" applyBorder="1"/>
    <xf numFmtId="0" fontId="21" fillId="0" borderId="5" xfId="0" applyFont="1" applyFill="1" applyBorder="1"/>
    <xf numFmtId="0" fontId="21" fillId="0" borderId="0" xfId="0" applyFont="1" applyBorder="1"/>
    <xf numFmtId="0" fontId="21" fillId="0" borderId="0" xfId="0" applyFont="1" applyBorder="1" applyAlignment="1">
      <alignment horizontal="left"/>
    </xf>
    <xf numFmtId="0" fontId="13" fillId="0" borderId="0" xfId="0" applyFont="1" applyBorder="1"/>
    <xf numFmtId="164" fontId="6" fillId="0" borderId="6" xfId="1" applyNumberFormat="1" applyFont="1" applyFill="1" applyBorder="1" applyAlignment="1">
      <alignment horizontal="left"/>
    </xf>
    <xf numFmtId="0" fontId="6" fillId="0" borderId="8" xfId="0" applyNumberFormat="1" applyFont="1" applyFill="1" applyBorder="1" applyAlignment="1">
      <alignment horizontal="center"/>
    </xf>
    <xf numFmtId="0" fontId="21" fillId="0" borderId="5" xfId="0" applyFont="1" applyBorder="1"/>
    <xf numFmtId="0" fontId="6" fillId="0" borderId="6" xfId="0" applyNumberFormat="1" applyFont="1" applyFill="1" applyBorder="1" applyAlignment="1">
      <alignment horizontal="center"/>
    </xf>
    <xf numFmtId="0" fontId="18" fillId="0" borderId="0" xfId="0" applyNumberFormat="1" applyFont="1" applyFill="1" applyBorder="1" applyAlignment="1">
      <alignment horizontal="left"/>
    </xf>
    <xf numFmtId="0" fontId="0" fillId="0" borderId="2" xfId="0" applyBorder="1"/>
    <xf numFmtId="0" fontId="20" fillId="0" borderId="4" xfId="0" applyFont="1" applyBorder="1"/>
    <xf numFmtId="166" fontId="12" fillId="0" borderId="5" xfId="6" applyNumberFormat="1" applyFont="1" applyBorder="1"/>
    <xf numFmtId="0" fontId="25" fillId="0" borderId="0" xfId="0" applyFont="1"/>
    <xf numFmtId="44" fontId="12" fillId="0" borderId="7" xfId="6" applyFont="1" applyBorder="1"/>
    <xf numFmtId="166" fontId="12" fillId="0" borderId="1" xfId="6" applyNumberFormat="1" applyFont="1" applyBorder="1"/>
    <xf numFmtId="164" fontId="13" fillId="0" borderId="7" xfId="1" applyNumberFormat="1" applyFont="1" applyBorder="1" applyAlignment="1">
      <alignment horizontal="center"/>
    </xf>
    <xf numFmtId="0" fontId="19" fillId="3" borderId="2" xfId="0" applyFont="1" applyFill="1" applyBorder="1" applyAlignment="1">
      <alignment horizontal="center"/>
    </xf>
    <xf numFmtId="0" fontId="19" fillId="3" borderId="4" xfId="0" applyFont="1" applyFill="1" applyBorder="1" applyAlignment="1">
      <alignment horizontal="center"/>
    </xf>
    <xf numFmtId="0" fontId="16" fillId="3" borderId="4" xfId="0" applyFont="1" applyFill="1" applyBorder="1" applyAlignment="1">
      <alignment horizontal="center"/>
    </xf>
    <xf numFmtId="0" fontId="23" fillId="3" borderId="4" xfId="0" applyFont="1" applyFill="1" applyBorder="1" applyAlignment="1">
      <alignment horizontal="center"/>
    </xf>
    <xf numFmtId="0" fontId="23" fillId="3" borderId="3" xfId="0" applyFont="1" applyFill="1" applyBorder="1" applyAlignment="1">
      <alignment horizontal="center"/>
    </xf>
    <xf numFmtId="2" fontId="6" fillId="0" borderId="0" xfId="0" applyNumberFormat="1" applyFont="1" applyFill="1" applyBorder="1" applyAlignment="1">
      <alignment horizontal="center"/>
    </xf>
    <xf numFmtId="0" fontId="12" fillId="0" borderId="0" xfId="0" applyFont="1" applyBorder="1" applyAlignment="1"/>
    <xf numFmtId="0" fontId="12" fillId="0" borderId="6" xfId="0" applyFont="1" applyBorder="1" applyAlignment="1"/>
    <xf numFmtId="0" fontId="12" fillId="0" borderId="0" xfId="0" applyFont="1" applyFill="1" applyBorder="1" applyAlignment="1">
      <alignment horizontal="center"/>
    </xf>
    <xf numFmtId="0" fontId="12" fillId="0" borderId="6" xfId="0" applyFont="1" applyFill="1" applyBorder="1" applyAlignment="1">
      <alignment horizontal="center"/>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0" fontId="21" fillId="0" borderId="0" xfId="0" applyFont="1" applyFill="1" applyBorder="1" applyAlignment="1">
      <alignment horizontal="center"/>
    </xf>
    <xf numFmtId="0" fontId="8" fillId="0" borderId="0" xfId="0" applyFont="1" applyFill="1" applyBorder="1" applyAlignment="1">
      <alignment horizontal="center"/>
    </xf>
    <xf numFmtId="0" fontId="12" fillId="0" borderId="1" xfId="0" applyFont="1" applyBorder="1" applyAlignment="1"/>
    <xf numFmtId="0" fontId="12" fillId="0" borderId="8" xfId="0" applyFont="1" applyBorder="1" applyAlignment="1"/>
    <xf numFmtId="0" fontId="28" fillId="0" borderId="0" xfId="0" applyFont="1"/>
    <xf numFmtId="0" fontId="8" fillId="0" borderId="1" xfId="0" applyFont="1" applyFill="1" applyBorder="1"/>
    <xf numFmtId="0" fontId="26" fillId="0" borderId="0" xfId="0" applyFont="1" applyFill="1" applyBorder="1"/>
    <xf numFmtId="0" fontId="19" fillId="0" borderId="5" xfId="0" applyFont="1" applyFill="1" applyBorder="1" applyAlignment="1">
      <alignment horizontal="center"/>
    </xf>
    <xf numFmtId="0" fontId="19" fillId="0" borderId="0" xfId="0" applyFont="1" applyFill="1" applyBorder="1" applyAlignment="1">
      <alignment horizontal="center"/>
    </xf>
    <xf numFmtId="0" fontId="19" fillId="0" borderId="6" xfId="0" applyFont="1" applyFill="1" applyBorder="1" applyAlignment="1">
      <alignment horizontal="center"/>
    </xf>
    <xf numFmtId="0" fontId="20" fillId="0" borderId="0" xfId="0" applyFont="1" applyFill="1" applyBorder="1" applyAlignment="1">
      <alignment horizontal="center" wrapText="1"/>
    </xf>
    <xf numFmtId="0" fontId="23" fillId="0" borderId="0" xfId="0" applyFont="1" applyFill="1" applyBorder="1" applyAlignment="1">
      <alignment horizontal="center" wrapText="1"/>
    </xf>
    <xf numFmtId="0" fontId="23" fillId="0" borderId="6" xfId="0" applyFont="1" applyFill="1" applyBorder="1" applyAlignment="1">
      <alignment horizontal="center" wrapText="1"/>
    </xf>
    <xf numFmtId="164" fontId="12" fillId="0" borderId="1" xfId="0" applyNumberFormat="1" applyFont="1" applyBorder="1"/>
    <xf numFmtId="0" fontId="12" fillId="0" borderId="6" xfId="0" applyNumberFormat="1" applyFont="1" applyFill="1" applyBorder="1" applyAlignment="1">
      <alignment horizontal="left" wrapText="1"/>
    </xf>
    <xf numFmtId="164" fontId="28" fillId="0" borderId="0" xfId="0" applyNumberFormat="1" applyFont="1"/>
    <xf numFmtId="0" fontId="8" fillId="0" borderId="0" xfId="0" applyFont="1" applyFill="1" applyAlignment="1">
      <alignment vertical="center" wrapText="1"/>
    </xf>
    <xf numFmtId="0" fontId="0" fillId="0" borderId="0" xfId="0" applyAlignment="1">
      <alignment horizontal="right"/>
    </xf>
    <xf numFmtId="166" fontId="0" fillId="5" borderId="0" xfId="6" applyNumberFormat="1" applyFont="1" applyFill="1" applyAlignment="1"/>
    <xf numFmtId="0" fontId="8" fillId="0" borderId="0" xfId="7"/>
    <xf numFmtId="10" fontId="0" fillId="5" borderId="0" xfId="0" applyNumberFormat="1" applyFill="1"/>
    <xf numFmtId="0" fontId="8" fillId="0" borderId="0" xfId="7" applyAlignment="1">
      <alignment horizontal="right"/>
    </xf>
    <xf numFmtId="164" fontId="0" fillId="5" borderId="0" xfId="8" applyNumberFormat="1" applyFont="1" applyFill="1" applyAlignment="1"/>
    <xf numFmtId="167" fontId="0" fillId="5" borderId="0" xfId="0" applyNumberFormat="1" applyFill="1"/>
    <xf numFmtId="166" fontId="0" fillId="5" borderId="17" xfId="6" applyNumberFormat="1" applyFont="1" applyFill="1" applyBorder="1" applyAlignment="1"/>
    <xf numFmtId="164" fontId="6" fillId="0" borderId="0" xfId="5" applyNumberFormat="1" applyFont="1"/>
    <xf numFmtId="0" fontId="6" fillId="0" borderId="0" xfId="5" applyFont="1"/>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5" fillId="0" borderId="0" xfId="0" applyFont="1" applyAlignment="1">
      <alignment horizontal="center"/>
    </xf>
    <xf numFmtId="0" fontId="25" fillId="0" borderId="0" xfId="0" applyFont="1" applyFill="1"/>
    <xf numFmtId="164" fontId="25" fillId="0" borderId="0" xfId="8" applyNumberFormat="1" applyFont="1"/>
    <xf numFmtId="10" fontId="25" fillId="0" borderId="0" xfId="12" applyNumberFormat="1" applyFont="1" applyFill="1"/>
    <xf numFmtId="0" fontId="30" fillId="6" borderId="0" xfId="0" applyFont="1" applyFill="1"/>
    <xf numFmtId="0" fontId="25" fillId="6" borderId="0" xfId="0" applyFont="1" applyFill="1"/>
    <xf numFmtId="0" fontId="25" fillId="0" borderId="0" xfId="0" applyFont="1" applyAlignment="1">
      <alignment wrapText="1"/>
    </xf>
    <xf numFmtId="0" fontId="25" fillId="0" borderId="0" xfId="0" applyFont="1" applyAlignment="1">
      <alignment horizontal="left"/>
    </xf>
    <xf numFmtId="0" fontId="25" fillId="0" borderId="0" xfId="0" applyNumberFormat="1" applyFont="1" applyFill="1" applyAlignment="1">
      <alignment horizontal="center"/>
    </xf>
    <xf numFmtId="0" fontId="25" fillId="0" borderId="0" xfId="0" applyNumberFormat="1" applyFont="1" applyFill="1" applyAlignment="1">
      <alignment horizontal="left"/>
    </xf>
    <xf numFmtId="3" fontId="7" fillId="0" borderId="0" xfId="0" applyNumberFormat="1" applyFont="1" applyBorder="1" applyAlignment="1"/>
    <xf numFmtId="0" fontId="25" fillId="0" borderId="0" xfId="0" applyFont="1" applyBorder="1" applyAlignment="1"/>
    <xf numFmtId="0" fontId="25" fillId="0" borderId="0" xfId="0" applyFont="1" applyAlignment="1"/>
    <xf numFmtId="3" fontId="25" fillId="0" borderId="0" xfId="0" applyNumberFormat="1" applyFont="1" applyBorder="1" applyAlignment="1">
      <alignment horizontal="left"/>
    </xf>
    <xf numFmtId="3" fontId="25" fillId="0" borderId="0" xfId="0" applyNumberFormat="1" applyFont="1" applyBorder="1" applyAlignme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170" fontId="25" fillId="0" borderId="12" xfId="13" applyFont="1" applyBorder="1" applyAlignment="1">
      <alignment vertical="center"/>
    </xf>
    <xf numFmtId="3" fontId="25" fillId="0" borderId="12" xfId="0" applyNumberFormat="1" applyFont="1" applyBorder="1" applyAlignment="1">
      <alignment horizontal="left"/>
    </xf>
    <xf numFmtId="3" fontId="25" fillId="0" borderId="12" xfId="0" applyNumberFormat="1" applyFont="1" applyBorder="1" applyAlignment="1"/>
    <xf numFmtId="0" fontId="25" fillId="0" borderId="0" xfId="0" applyFont="1" applyBorder="1" applyAlignment="1">
      <alignment horizontal="left"/>
    </xf>
    <xf numFmtId="3" fontId="25" fillId="0" borderId="0" xfId="0" applyNumberFormat="1" applyFont="1" applyAlignment="1"/>
    <xf numFmtId="3" fontId="25" fillId="0" borderId="0" xfId="0" applyNumberFormat="1" applyFont="1" applyFill="1" applyAlignment="1"/>
    <xf numFmtId="3" fontId="7" fillId="0" borderId="0" xfId="0" applyNumberFormat="1" applyFont="1" applyAlignment="1">
      <alignment horizontal="left"/>
    </xf>
    <xf numFmtId="3" fontId="25" fillId="0" borderId="0" xfId="0" applyNumberFormat="1" applyFont="1" applyAlignment="1">
      <alignment horizontal="left"/>
    </xf>
    <xf numFmtId="0" fontId="25" fillId="0" borderId="0" xfId="0" applyNumberFormat="1" applyFont="1" applyAlignment="1"/>
    <xf numFmtId="0" fontId="7" fillId="0" borderId="0" xfId="0" applyNumberFormat="1" applyFont="1" applyAlignment="1">
      <alignment horizontal="left"/>
    </xf>
    <xf numFmtId="3" fontId="25" fillId="0" borderId="0" xfId="0" applyNumberFormat="1" applyFont="1" applyFill="1" applyAlignment="1">
      <alignment horizontal="left"/>
    </xf>
    <xf numFmtId="3" fontId="25" fillId="0" borderId="12" xfId="0" applyNumberFormat="1" applyFont="1" applyFill="1" applyBorder="1" applyAlignment="1"/>
    <xf numFmtId="3" fontId="25" fillId="0" borderId="12" xfId="0" applyNumberFormat="1" applyFont="1" applyFill="1" applyBorder="1" applyAlignment="1">
      <alignment horizontal="left"/>
    </xf>
    <xf numFmtId="0" fontId="25" fillId="0" borderId="0" xfId="0" applyFont="1" applyFill="1" applyBorder="1" applyAlignment="1">
      <alignment horizontal="left"/>
    </xf>
    <xf numFmtId="0" fontId="25" fillId="0" borderId="0" xfId="0" applyNumberFormat="1" applyFont="1" applyBorder="1"/>
    <xf numFmtId="0" fontId="25" fillId="0" borderId="0" xfId="0" applyFont="1" applyFill="1" applyAlignment="1">
      <alignment horizontal="left"/>
    </xf>
    <xf numFmtId="0" fontId="25" fillId="0" borderId="0" xfId="0" applyFont="1" applyFill="1" applyAlignment="1"/>
    <xf numFmtId="0" fontId="25" fillId="0" borderId="19" xfId="0" applyFont="1" applyFill="1" applyBorder="1" applyAlignment="1"/>
    <xf numFmtId="0" fontId="25" fillId="0" borderId="19" xfId="0" applyNumberFormat="1" applyFont="1" applyFill="1" applyBorder="1" applyAlignment="1"/>
    <xf numFmtId="3" fontId="25" fillId="0" borderId="19" xfId="0" applyNumberFormat="1" applyFont="1" applyFill="1" applyBorder="1" applyAlignment="1"/>
    <xf numFmtId="0" fontId="25" fillId="0" borderId="0" xfId="0" applyNumberFormat="1" applyFont="1" applyFill="1" applyAlignment="1"/>
    <xf numFmtId="0" fontId="25" fillId="0" borderId="19" xfId="0" applyFont="1" applyBorder="1" applyAlignment="1"/>
    <xf numFmtId="0" fontId="7" fillId="0" borderId="19" xfId="0" applyNumberFormat="1" applyFont="1" applyBorder="1" applyAlignment="1"/>
    <xf numFmtId="0" fontId="25" fillId="0" borderId="19" xfId="0" applyFont="1" applyBorder="1" applyAlignment="1">
      <alignment horizontal="left"/>
    </xf>
    <xf numFmtId="3" fontId="25" fillId="0" borderId="19" xfId="0" applyNumberFormat="1" applyFont="1" applyBorder="1" applyAlignment="1"/>
    <xf numFmtId="3" fontId="25" fillId="0" borderId="0" xfId="0" applyNumberFormat="1" applyFont="1" applyFill="1" applyAlignment="1">
      <alignment horizontal="center"/>
    </xf>
    <xf numFmtId="0" fontId="25" fillId="0" borderId="0" xfId="0" applyNumberFormat="1" applyFont="1" applyFill="1" applyBorder="1" applyAlignment="1"/>
    <xf numFmtId="0" fontId="25" fillId="0" borderId="0" xfId="0" applyNumberFormat="1" applyFont="1" applyBorder="1" applyAlignment="1">
      <alignment horizontal="left"/>
    </xf>
    <xf numFmtId="171" fontId="25" fillId="0" borderId="0" xfId="0" applyNumberFormat="1" applyFont="1" applyFill="1" applyAlignment="1"/>
    <xf numFmtId="172" fontId="25" fillId="0" borderId="0" xfId="8" applyNumberFormat="1" applyFont="1" applyFill="1" applyBorder="1" applyAlignment="1"/>
    <xf numFmtId="3" fontId="25" fillId="0" borderId="0" xfId="0" quotePrefix="1" applyNumberFormat="1" applyFont="1" applyAlignment="1">
      <alignment horizontal="right"/>
    </xf>
    <xf numFmtId="171" fontId="25" fillId="0" borderId="0" xfId="0" applyNumberFormat="1" applyFont="1" applyAlignment="1"/>
    <xf numFmtId="0" fontId="25" fillId="0" borderId="0" xfId="0" applyFont="1" applyAlignment="1">
      <alignment horizontal="right"/>
    </xf>
    <xf numFmtId="0" fontId="25" fillId="0" borderId="12" xfId="0" applyNumberFormat="1" applyFont="1" applyBorder="1" applyAlignment="1">
      <alignment horizontal="left"/>
    </xf>
    <xf numFmtId="0" fontId="25" fillId="0" borderId="12" xfId="0" applyNumberFormat="1" applyFont="1" applyBorder="1" applyAlignment="1"/>
    <xf numFmtId="3" fontId="25" fillId="0" borderId="12" xfId="0" applyNumberFormat="1" applyFont="1" applyBorder="1" applyAlignment="1">
      <alignment horizontal="right"/>
    </xf>
    <xf numFmtId="171" fontId="25"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1"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5" fillId="0" borderId="20" xfId="0" applyFont="1" applyBorder="1"/>
    <xf numFmtId="3" fontId="7" fillId="0" borderId="20" xfId="0" applyNumberFormat="1" applyFont="1" applyBorder="1" applyAlignment="1">
      <alignment horizontal="left"/>
    </xf>
    <xf numFmtId="173" fontId="7" fillId="0" borderId="20" xfId="0" applyNumberFormat="1" applyFont="1" applyBorder="1" applyAlignment="1">
      <alignment horizontal="center"/>
    </xf>
    <xf numFmtId="3" fontId="7" fillId="0" borderId="20" xfId="0" applyNumberFormat="1" applyFont="1" applyBorder="1" applyAlignment="1"/>
    <xf numFmtId="0" fontId="32" fillId="6" borderId="0" xfId="0" applyFont="1" applyFill="1" applyAlignment="1">
      <alignment horizontal="left"/>
    </xf>
    <xf numFmtId="0" fontId="32" fillId="6" borderId="0" xfId="0" applyFont="1" applyFill="1" applyAlignment="1"/>
    <xf numFmtId="0" fontId="33" fillId="6" borderId="0" xfId="0" applyNumberFormat="1" applyFont="1" applyFill="1" applyAlignment="1">
      <alignment horizontal="left"/>
    </xf>
    <xf numFmtId="0" fontId="25" fillId="6" borderId="0" xfId="0" applyFont="1" applyFill="1" applyAlignment="1"/>
    <xf numFmtId="0" fontId="33" fillId="6" borderId="0" xfId="0" applyNumberFormat="1" applyFont="1" applyFill="1" applyAlignment="1">
      <alignment horizontal="center"/>
    </xf>
    <xf numFmtId="0" fontId="25" fillId="6" borderId="0" xfId="0" applyFont="1" applyFill="1" applyBorder="1" applyAlignment="1">
      <alignment horizontal="center" wrapText="1"/>
    </xf>
    <xf numFmtId="0" fontId="7" fillId="0" borderId="0" xfId="0" applyNumberFormat="1" applyFont="1" applyFill="1" applyAlignment="1"/>
    <xf numFmtId="3" fontId="25" fillId="0" borderId="0" xfId="0" applyNumberFormat="1" applyFont="1" applyAlignment="1">
      <alignment horizontal="center"/>
    </xf>
    <xf numFmtId="165" fontId="7" fillId="0" borderId="0" xfId="12" applyNumberFormat="1" applyFont="1" applyAlignment="1"/>
    <xf numFmtId="173"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168" fontId="25" fillId="0" borderId="0" xfId="0" applyNumberFormat="1" applyFont="1" applyAlignment="1"/>
    <xf numFmtId="167" fontId="25" fillId="0" borderId="0" xfId="0" applyNumberFormat="1" applyFont="1" applyAlignment="1">
      <alignment horizontal="left"/>
    </xf>
    <xf numFmtId="167" fontId="25" fillId="0" borderId="0" xfId="0" applyNumberFormat="1" applyFont="1" applyAlignment="1">
      <alignment horizontal="center"/>
    </xf>
    <xf numFmtId="10" fontId="25" fillId="0" borderId="0" xfId="0" applyNumberFormat="1" applyFont="1" applyFill="1" applyAlignment="1">
      <alignment horizontal="right"/>
    </xf>
    <xf numFmtId="10" fontId="25" fillId="0" borderId="0" xfId="12" applyNumberFormat="1" applyFont="1" applyFill="1" applyAlignment="1"/>
    <xf numFmtId="0" fontId="25" fillId="0" borderId="0" xfId="0" applyNumberFormat="1" applyFont="1" applyBorder="1" applyAlignment="1">
      <alignment horizontal="center"/>
    </xf>
    <xf numFmtId="0" fontId="25" fillId="0" borderId="12" xfId="0" applyFont="1" applyFill="1" applyBorder="1" applyAlignment="1">
      <alignment horizontal="left"/>
    </xf>
    <xf numFmtId="0" fontId="25" fillId="0" borderId="12" xfId="0" applyNumberFormat="1" applyFont="1" applyBorder="1" applyAlignment="1">
      <alignment horizontal="center"/>
    </xf>
    <xf numFmtId="3" fontId="37" fillId="0" borderId="0" xfId="0" applyNumberFormat="1" applyFont="1" applyBorder="1" applyAlignment="1">
      <alignment horizontal="right"/>
    </xf>
    <xf numFmtId="0" fontId="38" fillId="0" borderId="19" xfId="0" applyNumberFormat="1" applyFont="1" applyFill="1" applyBorder="1" applyAlignment="1">
      <alignment horizontal="center"/>
    </xf>
    <xf numFmtId="3" fontId="37" fillId="0" borderId="19" xfId="0" applyNumberFormat="1" applyFont="1" applyBorder="1" applyAlignment="1">
      <alignment horizontal="right"/>
    </xf>
    <xf numFmtId="0" fontId="7" fillId="0" borderId="0" xfId="0" applyNumberFormat="1" applyFont="1" applyBorder="1" applyAlignment="1">
      <alignment horizontal="left"/>
    </xf>
    <xf numFmtId="0" fontId="25" fillId="0" borderId="0" xfId="0" applyFont="1" applyFill="1" applyBorder="1" applyAlignment="1"/>
    <xf numFmtId="0" fontId="7" fillId="0" borderId="0" xfId="0" applyFont="1"/>
    <xf numFmtId="164" fontId="25" fillId="0" borderId="0" xfId="8" applyNumberFormat="1" applyFont="1" applyFill="1" applyAlignment="1"/>
    <xf numFmtId="0" fontId="25" fillId="0" borderId="0" xfId="0" applyNumberFormat="1" applyFont="1" applyFill="1" applyBorder="1" applyAlignment="1">
      <alignment horizontal="center"/>
    </xf>
    <xf numFmtId="3" fontId="36"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3" fontId="7" fillId="0" borderId="20" xfId="0" applyNumberFormat="1" applyFont="1" applyBorder="1" applyAlignment="1"/>
    <xf numFmtId="3" fontId="25" fillId="0" borderId="0" xfId="0" applyNumberFormat="1" applyFont="1" applyFill="1" applyAlignment="1">
      <alignment horizontal="right"/>
    </xf>
    <xf numFmtId="173" fontId="25" fillId="0" borderId="0" xfId="0" applyNumberFormat="1" applyFont="1" applyAlignment="1"/>
    <xf numFmtId="174" fontId="25"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9"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0" fontId="42"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4"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24" fillId="0" borderId="0" xfId="8" applyNumberFormat="1" applyFont="1" applyFill="1" applyAlignment="1"/>
    <xf numFmtId="0" fontId="24"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0" fontId="8" fillId="0" borderId="0" xfId="14"/>
    <xf numFmtId="0" fontId="44" fillId="0" borderId="0" xfId="0" applyFont="1" applyFill="1" applyAlignment="1">
      <alignment horizontal="center"/>
    </xf>
    <xf numFmtId="0" fontId="44" fillId="0" borderId="0" xfId="0" applyFont="1"/>
    <xf numFmtId="0" fontId="45" fillId="0" borderId="0" xfId="0" applyFont="1" applyFill="1" applyAlignment="1">
      <alignment horizontal="center"/>
    </xf>
    <xf numFmtId="0" fontId="44" fillId="0" borderId="0" xfId="0" applyFont="1" applyAlignment="1">
      <alignment horizontal="center"/>
    </xf>
    <xf numFmtId="0" fontId="44" fillId="0" borderId="0" xfId="0" applyFont="1" applyFill="1" applyAlignment="1">
      <alignment horizontal="right"/>
    </xf>
    <xf numFmtId="0" fontId="44" fillId="0" borderId="0" xfId="0" applyFont="1" applyBorder="1" applyAlignment="1">
      <alignment horizontal="center"/>
    </xf>
    <xf numFmtId="42" fontId="0" fillId="0" borderId="0" xfId="0" applyNumberFormat="1"/>
    <xf numFmtId="165" fontId="0" fillId="2" borderId="0" xfId="0" applyNumberFormat="1" applyFill="1" applyAlignment="1">
      <alignment horizontal="center" wrapText="1"/>
    </xf>
    <xf numFmtId="37" fontId="0" fillId="0" borderId="0" xfId="0" applyNumberFormat="1" applyAlignment="1">
      <alignment horizontal="right" wrapText="1"/>
    </xf>
    <xf numFmtId="0" fontId="0" fillId="0" borderId="0" xfId="0" applyAlignment="1">
      <alignment horizontal="right" wrapText="1"/>
    </xf>
    <xf numFmtId="0" fontId="44" fillId="0" borderId="0" xfId="0" applyNumberFormat="1" applyFont="1" applyFill="1" applyBorder="1" applyAlignment="1">
      <alignment horizontal="center"/>
    </xf>
    <xf numFmtId="0" fontId="0" fillId="2" borderId="0" xfId="0" applyFill="1" applyAlignment="1">
      <alignment horizontal="left" vertical="center" wrapText="1"/>
    </xf>
    <xf numFmtId="0" fontId="8" fillId="0" borderId="0" xfId="0" applyNumberFormat="1" applyFont="1" applyFill="1" applyBorder="1" applyAlignment="1">
      <alignment horizontal="left"/>
    </xf>
    <xf numFmtId="0" fontId="44" fillId="0" borderId="0" xfId="0" applyFont="1" applyFill="1"/>
    <xf numFmtId="0" fontId="0" fillId="0" borderId="0" xfId="0" applyFill="1" applyAlignment="1">
      <alignment horizontal="right"/>
    </xf>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7" fillId="0" borderId="0" xfId="0" applyFont="1" applyAlignment="1">
      <alignment horizontal="center"/>
    </xf>
    <xf numFmtId="0" fontId="48" fillId="0" borderId="0" xfId="0" applyFont="1" applyBorder="1" applyAlignment="1">
      <alignment horizontal="center"/>
    </xf>
    <xf numFmtId="0" fontId="49" fillId="0" borderId="0" xfId="0" applyFont="1" applyFill="1" applyAlignment="1">
      <alignment horizontal="left"/>
    </xf>
    <xf numFmtId="0" fontId="49" fillId="0" borderId="0" xfId="0" applyFont="1" applyFill="1" applyAlignment="1"/>
    <xf numFmtId="0" fontId="49" fillId="0" borderId="0" xfId="0" applyFont="1" applyFill="1" applyAlignment="1">
      <alignment horizontal="center"/>
    </xf>
    <xf numFmtId="0" fontId="49" fillId="0" borderId="0" xfId="0" applyFont="1" applyFill="1"/>
    <xf numFmtId="0" fontId="47" fillId="7" borderId="2" xfId="0" applyFont="1" applyFill="1" applyBorder="1" applyAlignment="1">
      <alignment horizontal="left"/>
    </xf>
    <xf numFmtId="0" fontId="25" fillId="7" borderId="4" xfId="0" applyFont="1" applyFill="1" applyBorder="1" applyAlignment="1"/>
    <xf numFmtId="0" fontId="25" fillId="7" borderId="4" xfId="0" applyFont="1" applyFill="1" applyBorder="1" applyAlignment="1">
      <alignment horizontal="center"/>
    </xf>
    <xf numFmtId="0" fontId="25" fillId="7" borderId="3" xfId="0" applyFont="1" applyFill="1" applyBorder="1"/>
    <xf numFmtId="0" fontId="47" fillId="7" borderId="7" xfId="0" applyFont="1" applyFill="1" applyBorder="1" applyAlignment="1">
      <alignment horizontal="left"/>
    </xf>
    <xf numFmtId="0" fontId="33" fillId="7" borderId="1" xfId="0" applyFont="1" applyFill="1" applyBorder="1" applyAlignment="1"/>
    <xf numFmtId="0" fontId="7" fillId="7" borderId="1" xfId="0" applyFont="1" applyFill="1" applyBorder="1" applyAlignment="1"/>
    <xf numFmtId="0" fontId="33"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7" fillId="0" borderId="0" xfId="0" applyFont="1" applyFill="1" applyBorder="1" applyAlignment="1">
      <alignment horizontal="left"/>
    </xf>
    <xf numFmtId="0" fontId="33" fillId="0" borderId="0" xfId="0" applyFont="1" applyFill="1" applyBorder="1" applyAlignment="1"/>
    <xf numFmtId="0" fontId="7" fillId="0" borderId="0" xfId="0" applyFont="1" applyFill="1" applyBorder="1" applyAlignment="1"/>
    <xf numFmtId="0" fontId="33"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50" fillId="6" borderId="0" xfId="0" applyFont="1" applyFill="1" applyBorder="1" applyAlignment="1">
      <alignment horizontal="left"/>
    </xf>
    <xf numFmtId="0" fontId="50" fillId="6" borderId="0" xfId="0" applyFont="1" applyFill="1" applyBorder="1" applyAlignment="1"/>
    <xf numFmtId="0" fontId="25" fillId="6" borderId="0" xfId="0" applyFont="1" applyFill="1" applyBorder="1" applyAlignment="1"/>
    <xf numFmtId="0" fontId="33" fillId="6" borderId="0" xfId="0" applyNumberFormat="1" applyFont="1" applyFill="1" applyBorder="1" applyAlignment="1">
      <alignment horizontal="center"/>
    </xf>
    <xf numFmtId="0" fontId="25" fillId="6" borderId="0" xfId="0" applyFont="1" applyFill="1" applyBorder="1"/>
    <xf numFmtId="0" fontId="25" fillId="0" borderId="0" xfId="0" applyFont="1" applyFill="1" applyBorder="1"/>
    <xf numFmtId="0" fontId="25" fillId="0" borderId="0" xfId="0" applyFont="1" applyFill="1" applyBorder="1" applyAlignment="1">
      <alignment horizontal="center" wrapText="1"/>
    </xf>
    <xf numFmtId="0" fontId="38" fillId="0" borderId="0" xfId="0" applyFont="1" applyFill="1" applyAlignment="1">
      <alignment horizontal="left"/>
    </xf>
    <xf numFmtId="0" fontId="25" fillId="0" borderId="0" xfId="0" applyFont="1" applyFill="1" applyAlignment="1">
      <alignment horizontal="center"/>
    </xf>
    <xf numFmtId="166" fontId="25" fillId="2" borderId="0" xfId="10" applyNumberFormat="1" applyFont="1" applyFill="1"/>
    <xf numFmtId="0" fontId="25" fillId="0" borderId="19" xfId="0" applyNumberFormat="1" applyFont="1" applyBorder="1" applyAlignment="1"/>
    <xf numFmtId="3" fontId="25" fillId="0" borderId="19" xfId="0" applyNumberFormat="1" applyFont="1" applyBorder="1" applyAlignment="1">
      <alignment horizontal="center"/>
    </xf>
    <xf numFmtId="0" fontId="25" fillId="0" borderId="20" xfId="0" applyNumberFormat="1" applyFont="1" applyFill="1" applyBorder="1" applyAlignment="1"/>
    <xf numFmtId="0" fontId="25" fillId="0" borderId="20" xfId="0" applyFont="1" applyFill="1" applyBorder="1" applyAlignment="1"/>
    <xf numFmtId="3" fontId="25" fillId="0" borderId="20" xfId="0" applyNumberFormat="1" applyFont="1" applyBorder="1" applyAlignment="1"/>
    <xf numFmtId="0" fontId="25" fillId="0" borderId="20" xfId="0" applyFont="1" applyBorder="1" applyAlignment="1"/>
    <xf numFmtId="165" fontId="25" fillId="0" borderId="20" xfId="12" applyNumberFormat="1" applyFont="1" applyBorder="1" applyAlignment="1"/>
    <xf numFmtId="165" fontId="25" fillId="0" borderId="0" xfId="12" applyNumberFormat="1" applyFont="1" applyAlignment="1"/>
    <xf numFmtId="0" fontId="25" fillId="0" borderId="19" xfId="0" applyFont="1" applyFill="1" applyBorder="1"/>
    <xf numFmtId="0" fontId="25" fillId="0" borderId="19" xfId="0" applyFont="1" applyBorder="1"/>
    <xf numFmtId="3" fontId="25" fillId="2" borderId="0" xfId="0" applyNumberFormat="1" applyFont="1" applyFill="1" applyAlignment="1"/>
    <xf numFmtId="0" fontId="25" fillId="0" borderId="19" xfId="0" applyFont="1" applyBorder="1" applyAlignment="1">
      <alignment horizontal="center"/>
    </xf>
    <xf numFmtId="3" fontId="25" fillId="0" borderId="0" xfId="0" applyNumberFormat="1" applyFont="1"/>
    <xf numFmtId="0" fontId="25" fillId="0" borderId="20" xfId="0" applyFont="1" applyBorder="1" applyAlignment="1">
      <alignment horizontal="center"/>
    </xf>
    <xf numFmtId="3" fontId="25" fillId="0" borderId="0" xfId="0" applyNumberFormat="1" applyFont="1" applyFill="1"/>
    <xf numFmtId="165" fontId="25" fillId="0" borderId="20" xfId="12" applyNumberFormat="1" applyFont="1" applyFill="1" applyBorder="1" applyAlignment="1"/>
    <xf numFmtId="0" fontId="51" fillId="6" borderId="0" xfId="0" applyFont="1" applyFill="1" applyBorder="1" applyAlignment="1">
      <alignment horizontal="left"/>
    </xf>
    <xf numFmtId="0" fontId="51" fillId="6" borderId="0" xfId="0" applyFont="1" applyFill="1" applyBorder="1" applyAlignment="1"/>
    <xf numFmtId="0" fontId="51" fillId="0" borderId="0" xfId="0" applyFont="1" applyFill="1" applyBorder="1" applyAlignment="1">
      <alignment horizontal="center"/>
    </xf>
    <xf numFmtId="0" fontId="51" fillId="0" borderId="0" xfId="0" applyFont="1" applyFill="1" applyBorder="1" applyAlignment="1"/>
    <xf numFmtId="0" fontId="25" fillId="0" borderId="12" xfId="0" applyFont="1" applyBorder="1" applyAlignment="1">
      <alignment horizontal="center"/>
    </xf>
    <xf numFmtId="3" fontId="25" fillId="2" borderId="0" xfId="0" applyNumberFormat="1" applyFont="1" applyFill="1" applyBorder="1" applyAlignment="1"/>
    <xf numFmtId="0" fontId="25" fillId="0" borderId="0" xfId="0" applyNumberFormat="1" applyFont="1" applyAlignment="1">
      <alignment horizontal="right"/>
    </xf>
    <xf numFmtId="174" fontId="25" fillId="0" borderId="0" xfId="12" applyNumberFormat="1" applyFont="1" applyAlignment="1"/>
    <xf numFmtId="0" fontId="38" fillId="0" borderId="19" xfId="0" applyFont="1" applyFill="1" applyBorder="1" applyAlignment="1"/>
    <xf numFmtId="3" fontId="25" fillId="2" borderId="19" xfId="0" applyNumberFormat="1" applyFont="1" applyFill="1" applyBorder="1" applyAlignment="1"/>
    <xf numFmtId="3" fontId="25" fillId="0" borderId="20" xfId="0" applyNumberFormat="1" applyFont="1" applyBorder="1"/>
    <xf numFmtId="0" fontId="38" fillId="0" borderId="12" xfId="0" applyFont="1" applyFill="1" applyBorder="1" applyAlignment="1">
      <alignment horizontal="center"/>
    </xf>
    <xf numFmtId="0" fontId="25" fillId="0" borderId="0" xfId="0" applyNumberFormat="1" applyFont="1" applyBorder="1" applyAlignment="1"/>
    <xf numFmtId="174" fontId="25" fillId="0" borderId="0" xfId="12" applyNumberFormat="1" applyFont="1" applyBorder="1" applyAlignment="1"/>
    <xf numFmtId="0" fontId="52" fillId="0" borderId="0" xfId="0" applyFont="1" applyAlignment="1">
      <alignment horizontal="left"/>
    </xf>
    <xf numFmtId="0" fontId="52" fillId="0" borderId="0" xfId="0" applyFont="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3" fontId="25" fillId="0" borderId="19" xfId="0" applyNumberFormat="1" applyFont="1" applyFill="1" applyBorder="1" applyAlignment="1">
      <alignment horizontal="right"/>
    </xf>
    <xf numFmtId="0" fontId="25" fillId="0" borderId="0" xfId="0" applyFont="1" applyBorder="1"/>
    <xf numFmtId="3" fontId="25" fillId="0" borderId="0" xfId="0" applyNumberFormat="1" applyFont="1" applyFill="1" applyBorder="1" applyAlignment="1">
      <alignment horizontal="right"/>
    </xf>
    <xf numFmtId="3" fontId="25" fillId="2" borderId="0" xfId="0" applyNumberFormat="1" applyFont="1" applyFill="1" applyBorder="1" applyAlignment="1">
      <alignment horizontal="right"/>
    </xf>
    <xf numFmtId="0" fontId="25" fillId="0" borderId="0" xfId="0" applyFont="1" applyAlignment="1">
      <alignment vertical="center"/>
    </xf>
    <xf numFmtId="0" fontId="1" fillId="0" borderId="0" xfId="0" applyFont="1" applyAlignment="1">
      <alignment vertical="center"/>
    </xf>
    <xf numFmtId="0" fontId="53" fillId="0" borderId="0" xfId="0" applyFont="1" applyAlignment="1">
      <alignment vertical="center"/>
    </xf>
    <xf numFmtId="0" fontId="25" fillId="0" borderId="0" xfId="0" applyNumberFormat="1" applyFont="1" applyFill="1" applyAlignment="1">
      <alignment horizontal="right"/>
    </xf>
    <xf numFmtId="3" fontId="36" fillId="0" borderId="0" xfId="0" applyNumberFormat="1" applyFont="1" applyFill="1" applyBorder="1" applyAlignment="1">
      <alignment horizontal="right"/>
    </xf>
    <xf numFmtId="4" fontId="37" fillId="0" borderId="0" xfId="0" applyNumberFormat="1" applyFont="1" applyFill="1" applyAlignment="1">
      <alignment horizontal="right"/>
    </xf>
    <xf numFmtId="3" fontId="37" fillId="0" borderId="0" xfId="0" applyNumberFormat="1" applyFont="1" applyAlignment="1">
      <alignment horizontal="right"/>
    </xf>
    <xf numFmtId="0" fontId="54" fillId="0" borderId="0" xfId="0" applyNumberFormat="1" applyFont="1" applyFill="1" applyAlignment="1">
      <alignment horizontal="left"/>
    </xf>
    <xf numFmtId="0" fontId="25" fillId="0" borderId="12" xfId="0" applyNumberFormat="1" applyFont="1" applyFill="1" applyBorder="1" applyAlignment="1">
      <alignment horizontal="left"/>
    </xf>
    <xf numFmtId="3" fontId="37" fillId="0" borderId="0" xfId="0" applyNumberFormat="1" applyFont="1" applyFill="1" applyAlignment="1">
      <alignment horizontal="right"/>
    </xf>
    <xf numFmtId="3" fontId="25" fillId="0" borderId="19" xfId="0" applyNumberFormat="1" applyFont="1" applyBorder="1" applyAlignment="1">
      <alignment horizontal="right"/>
    </xf>
    <xf numFmtId="165" fontId="25" fillId="0" borderId="0" xfId="0" applyNumberFormat="1" applyFont="1" applyAlignment="1">
      <alignment horizontal="right"/>
    </xf>
    <xf numFmtId="3" fontId="25" fillId="2" borderId="0" xfId="0" applyNumberFormat="1" applyFont="1" applyFill="1" applyAlignment="1">
      <align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gnment horizontal="right"/>
    </xf>
    <xf numFmtId="3" fontId="25" fillId="0" borderId="19" xfId="0" applyNumberFormat="1" applyFont="1" applyBorder="1"/>
    <xf numFmtId="3" fontId="36" fillId="0" borderId="0" xfId="0" applyNumberFormat="1" applyFont="1" applyFill="1" applyAlignment="1">
      <alignment horizontal="right"/>
    </xf>
    <xf numFmtId="175" fontId="36" fillId="0" borderId="0" xfId="12" applyNumberFormat="1" applyFont="1" applyAlignment="1">
      <alignment horizontal="right"/>
    </xf>
    <xf numFmtId="3" fontId="36" fillId="0" borderId="19" xfId="0" applyNumberFormat="1" applyFont="1" applyBorder="1" applyAlignment="1">
      <alignment horizontal="right"/>
    </xf>
    <xf numFmtId="0" fontId="25" fillId="2" borderId="0" xfId="0" applyFont="1" applyFill="1"/>
    <xf numFmtId="0" fontId="25" fillId="0" borderId="12" xfId="0" applyFont="1" applyBorder="1"/>
    <xf numFmtId="0" fontId="38" fillId="0" borderId="12" xfId="0" applyFont="1" applyBorder="1" applyAlignment="1">
      <alignment horizontal="center"/>
    </xf>
    <xf numFmtId="0" fontId="25" fillId="0" borderId="12" xfId="0" applyFont="1" applyFill="1" applyBorder="1"/>
    <xf numFmtId="0" fontId="25" fillId="2" borderId="12" xfId="0" applyFont="1" applyFill="1" applyBorder="1"/>
    <xf numFmtId="0" fontId="25" fillId="0" borderId="20" xfId="0" applyFont="1" applyFill="1" applyBorder="1"/>
    <xf numFmtId="0" fontId="55" fillId="6" borderId="0" xfId="0" applyFont="1" applyFill="1" applyAlignment="1">
      <alignment horizontal="left"/>
    </xf>
    <xf numFmtId="0" fontId="55" fillId="6" borderId="0" xfId="0" applyFont="1" applyFill="1" applyAlignment="1"/>
    <xf numFmtId="0" fontId="36" fillId="6" borderId="0" xfId="0" applyNumberFormat="1" applyFont="1" applyFill="1" applyAlignment="1">
      <alignment horizontal="left"/>
    </xf>
    <xf numFmtId="0" fontId="7" fillId="0" borderId="0" xfId="0" applyFont="1" applyFill="1" applyAlignment="1"/>
    <xf numFmtId="0" fontId="25" fillId="0" borderId="12" xfId="0" applyFont="1" applyFill="1" applyBorder="1" applyAlignment="1"/>
    <xf numFmtId="0" fontId="38" fillId="0" borderId="0" xfId="0" applyFont="1" applyFill="1" applyAlignment="1">
      <alignment horizontal="center"/>
    </xf>
    <xf numFmtId="0" fontId="38" fillId="0" borderId="12" xfId="0" applyFont="1" applyFill="1" applyBorder="1" applyAlignment="1"/>
    <xf numFmtId="3" fontId="25" fillId="2" borderId="12" xfId="0" applyNumberFormat="1" applyFont="1" applyFill="1" applyBorder="1" applyAlignment="1">
      <alignment horizontal="right"/>
    </xf>
    <xf numFmtId="3" fontId="25" fillId="0" borderId="4" xfId="0" applyNumberFormat="1" applyFont="1" applyFill="1" applyBorder="1" applyAlignment="1">
      <alignment horizontal="right"/>
    </xf>
    <xf numFmtId="10" fontId="25" fillId="0" borderId="0" xfId="0" applyNumberFormat="1" applyFont="1" applyAlignment="1">
      <alignment horizontal="right"/>
    </xf>
    <xf numFmtId="3" fontId="25" fillId="0" borderId="20" xfId="0" applyNumberFormat="1" applyFont="1" applyBorder="1" applyAlignment="1">
      <alignment horizontal="center"/>
    </xf>
    <xf numFmtId="165" fontId="37" fillId="0" borderId="0" xfId="0" applyNumberFormat="1" applyFont="1" applyAlignment="1">
      <alignment horizontal="right"/>
    </xf>
    <xf numFmtId="165" fontId="25" fillId="0" borderId="12" xfId="0" applyNumberFormat="1" applyFont="1" applyBorder="1" applyAlignment="1">
      <alignment horizontal="right"/>
    </xf>
    <xf numFmtId="3" fontId="36" fillId="0" borderId="0" xfId="0" applyNumberFormat="1" applyFont="1" applyAlignment="1">
      <alignment horizontal="right"/>
    </xf>
    <xf numFmtId="3" fontId="36" fillId="2" borderId="0" xfId="0" applyNumberFormat="1" applyFont="1" applyFill="1" applyAlignment="1">
      <alignment horizontal="right"/>
    </xf>
    <xf numFmtId="3" fontId="36" fillId="2" borderId="12" xfId="0" applyNumberFormat="1" applyFont="1" applyFill="1" applyBorder="1" applyAlignment="1">
      <alignment horizontal="right"/>
    </xf>
    <xf numFmtId="0" fontId="39" fillId="0" borderId="0" xfId="0" applyNumberFormat="1" applyFont="1" applyFill="1" applyAlignment="1">
      <alignment horizontal="center"/>
    </xf>
    <xf numFmtId="0" fontId="39" fillId="0" borderId="0" xfId="0" applyNumberFormat="1" applyFont="1" applyFill="1" applyAlignment="1"/>
    <xf numFmtId="0" fontId="25" fillId="0" borderId="20" xfId="0" applyNumberFormat="1" applyFont="1" applyBorder="1" applyAlignment="1">
      <alignment horizontal="left"/>
    </xf>
    <xf numFmtId="0" fontId="36" fillId="0" borderId="20" xfId="0" applyNumberFormat="1" applyFont="1" applyBorder="1" applyAlignment="1">
      <alignment horizontal="left"/>
    </xf>
    <xf numFmtId="0" fontId="25" fillId="0" borderId="20" xfId="0" applyFont="1" applyBorder="1" applyAlignment="1">
      <alignment horizontal="right"/>
    </xf>
    <xf numFmtId="3" fontId="25" fillId="0" borderId="20" xfId="0" applyNumberFormat="1" applyFont="1" applyBorder="1" applyAlignment="1">
      <alignment horizontal="right"/>
    </xf>
    <xf numFmtId="0" fontId="57" fillId="0" borderId="0" xfId="0" applyNumberFormat="1" applyFont="1" applyFill="1" applyAlignment="1">
      <alignment horizontal="left"/>
    </xf>
    <xf numFmtId="164" fontId="25" fillId="0" borderId="0" xfId="8" applyNumberFormat="1" applyFont="1" applyFill="1"/>
    <xf numFmtId="170" fontId="25" fillId="0" borderId="12" xfId="13" applyFont="1" applyFill="1" applyBorder="1" applyAlignment="1">
      <alignment vertical="center"/>
    </xf>
    <xf numFmtId="3" fontId="38" fillId="0" borderId="12" xfId="0" applyNumberFormat="1" applyFont="1" applyFill="1" applyBorder="1" applyAlignment="1">
      <alignment horizontal="center"/>
    </xf>
    <xf numFmtId="164" fontId="25" fillId="2" borderId="0" xfId="8" applyNumberFormat="1" applyFont="1" applyFill="1" applyBorder="1"/>
    <xf numFmtId="3" fontId="25" fillId="2" borderId="12" xfId="0" applyNumberFormat="1" applyFont="1" applyFill="1" applyBorder="1" applyAlignment="1"/>
    <xf numFmtId="0" fontId="38" fillId="0" borderId="0" xfId="0" applyFont="1" applyAlignment="1">
      <alignment horizontal="center"/>
    </xf>
    <xf numFmtId="171" fontId="25" fillId="2" borderId="0" xfId="0" applyNumberFormat="1" applyFont="1" applyFill="1" applyAlignment="1"/>
    <xf numFmtId="3" fontId="25" fillId="0" borderId="0" xfId="0" quotePrefix="1" applyNumberFormat="1" applyFont="1" applyBorder="1" applyAlignment="1">
      <alignment horizontal="right"/>
    </xf>
    <xf numFmtId="167" fontId="25" fillId="0" borderId="20" xfId="0" applyNumberFormat="1" applyFont="1" applyBorder="1" applyAlignment="1">
      <alignment horizontal="left"/>
    </xf>
    <xf numFmtId="173" fontId="25" fillId="0" borderId="20" xfId="0" applyNumberFormat="1" applyFont="1" applyBorder="1" applyAlignment="1">
      <alignment horizontal="center"/>
    </xf>
    <xf numFmtId="167" fontId="25" fillId="0" borderId="0" xfId="0" applyNumberFormat="1" applyFont="1" applyBorder="1" applyAlignment="1">
      <alignment horizontal="left"/>
    </xf>
    <xf numFmtId="10" fontId="35" fillId="2" borderId="0" xfId="0" applyNumberFormat="1" applyFont="1" applyFill="1"/>
    <xf numFmtId="10" fontId="25" fillId="0" borderId="0" xfId="12" applyNumberFormat="1" applyFont="1" applyAlignment="1"/>
    <xf numFmtId="0" fontId="25" fillId="0" borderId="19" xfId="0" applyNumberFormat="1" applyFont="1" applyBorder="1" applyAlignment="1">
      <alignment horizontal="left"/>
    </xf>
    <xf numFmtId="173" fontId="25" fillId="0" borderId="20" xfId="0" applyNumberFormat="1" applyFont="1" applyBorder="1" applyAlignment="1"/>
    <xf numFmtId="0" fontId="53" fillId="0" borderId="14" xfId="0" applyNumberFormat="1" applyFont="1" applyBorder="1" applyAlignment="1">
      <alignment horizontal="center"/>
    </xf>
    <xf numFmtId="0" fontId="53" fillId="0" borderId="15" xfId="0" applyNumberFormat="1" applyFont="1" applyBorder="1" applyAlignment="1">
      <alignment horizontal="center"/>
    </xf>
    <xf numFmtId="0" fontId="53" fillId="0" borderId="15" xfId="0" applyNumberFormat="1" applyFont="1" applyFill="1" applyBorder="1" applyAlignment="1"/>
    <xf numFmtId="0" fontId="53" fillId="0" borderId="15" xfId="0" applyFont="1" applyFill="1" applyBorder="1" applyAlignment="1"/>
    <xf numFmtId="3" fontId="53" fillId="0" borderId="15" xfId="0" applyNumberFormat="1" applyFont="1" applyBorder="1" applyAlignment="1">
      <alignment horizontal="center"/>
    </xf>
    <xf numFmtId="3" fontId="53" fillId="0" borderId="15" xfId="0" applyNumberFormat="1" applyFont="1" applyBorder="1" applyAlignment="1"/>
    <xf numFmtId="0" fontId="53" fillId="0" borderId="15" xfId="0" applyFont="1" applyBorder="1" applyAlignment="1"/>
    <xf numFmtId="3" fontId="25" fillId="0" borderId="15" xfId="0" applyNumberFormat="1" applyFont="1" applyBorder="1"/>
    <xf numFmtId="0" fontId="53" fillId="0" borderId="0" xfId="0" applyNumberFormat="1" applyFont="1" applyBorder="1" applyAlignment="1">
      <alignment horizontal="center"/>
    </xf>
    <xf numFmtId="0" fontId="53" fillId="0" borderId="0" xfId="0" applyNumberFormat="1" applyFont="1" applyFill="1" applyBorder="1" applyAlignment="1"/>
    <xf numFmtId="0" fontId="53" fillId="0" borderId="0" xfId="0" applyFont="1" applyFill="1" applyBorder="1" applyAlignment="1"/>
    <xf numFmtId="0" fontId="53" fillId="0" borderId="0" xfId="0" applyFont="1" applyBorder="1" applyAlignment="1"/>
    <xf numFmtId="3" fontId="25" fillId="0" borderId="0" xfId="0" applyNumberFormat="1" applyFont="1" applyBorder="1"/>
    <xf numFmtId="3" fontId="25" fillId="0" borderId="0" xfId="0" applyNumberFormat="1" applyFont="1" applyFill="1" applyBorder="1"/>
    <xf numFmtId="0" fontId="25" fillId="0" borderId="12" xfId="0" applyNumberFormat="1" applyFont="1" applyFill="1" applyBorder="1" applyAlignment="1"/>
    <xf numFmtId="0" fontId="53" fillId="0" borderId="12" xfId="0" applyFont="1" applyFill="1" applyBorder="1" applyAlignment="1"/>
    <xf numFmtId="3" fontId="25" fillId="0" borderId="12" xfId="0" applyNumberFormat="1" applyFont="1" applyFill="1" applyBorder="1"/>
    <xf numFmtId="10" fontId="25" fillId="0" borderId="0" xfId="12" applyNumberFormat="1" applyFont="1" applyFill="1" applyBorder="1"/>
    <xf numFmtId="3" fontId="53" fillId="0" borderId="12" xfId="0" applyNumberFormat="1" applyFont="1" applyBorder="1" applyAlignment="1">
      <alignment horizontal="center"/>
    </xf>
    <xf numFmtId="164" fontId="25" fillId="2" borderId="0" xfId="8" applyNumberFormat="1" applyFont="1" applyFill="1" applyAlignment="1"/>
    <xf numFmtId="0" fontId="25" fillId="0" borderId="15" xfId="0" applyFont="1" applyBorder="1"/>
    <xf numFmtId="0" fontId="53" fillId="0" borderId="15" xfId="0" applyNumberFormat="1" applyFont="1" applyBorder="1" applyAlignment="1">
      <alignment horizontal="left"/>
    </xf>
    <xf numFmtId="0" fontId="53" fillId="0" borderId="15" xfId="0" applyFont="1" applyFill="1" applyBorder="1"/>
    <xf numFmtId="0" fontId="53" fillId="0" borderId="15" xfId="0" applyFont="1" applyBorder="1" applyAlignment="1">
      <alignment horizontal="center"/>
    </xf>
    <xf numFmtId="164" fontId="25" fillId="0" borderId="0" xfId="8" applyNumberFormat="1" applyFont="1" applyAlignment="1"/>
    <xf numFmtId="43" fontId="25" fillId="0" borderId="0" xfId="12" applyNumberFormat="1" applyFont="1" applyAlignment="1"/>
    <xf numFmtId="166" fontId="25" fillId="0" borderId="0" xfId="0" applyNumberFormat="1" applyFont="1" applyAlignment="1">
      <alignment horizontal="center"/>
    </xf>
    <xf numFmtId="164" fontId="25" fillId="0" borderId="0" xfId="0" applyNumberFormat="1" applyFont="1" applyFill="1"/>
    <xf numFmtId="0" fontId="49" fillId="0" borderId="0" xfId="0" applyFont="1" applyFill="1" applyBorder="1"/>
    <xf numFmtId="164" fontId="25" fillId="0" borderId="0" xfId="8" applyNumberFormat="1" applyFont="1" applyFill="1" applyBorder="1" applyAlignment="1"/>
    <xf numFmtId="43" fontId="25" fillId="0" borderId="0" xfId="8" applyFont="1" applyAlignment="1"/>
    <xf numFmtId="0" fontId="36" fillId="0" borderId="0" xfId="0" applyFont="1" applyAlignment="1"/>
    <xf numFmtId="0" fontId="58" fillId="0" borderId="0" xfId="0" applyFont="1" applyFill="1" applyAlignment="1"/>
    <xf numFmtId="0" fontId="40" fillId="0" borderId="0" xfId="0" applyFont="1" applyFill="1" applyBorder="1" applyAlignment="1">
      <alignment horizontal="center"/>
    </xf>
    <xf numFmtId="37" fontId="36" fillId="0" borderId="0" xfId="0" applyNumberFormat="1" applyFont="1" applyBorder="1" applyAlignment="1">
      <alignment horizontal="left"/>
    </xf>
    <xf numFmtId="37" fontId="36" fillId="0" borderId="0" xfId="0" applyNumberFormat="1" applyFont="1" applyBorder="1" applyAlignment="1">
      <alignment horizontal="right"/>
    </xf>
    <xf numFmtId="0" fontId="40" fillId="0" borderId="0" xfId="0" applyFont="1" applyBorder="1" applyAlignment="1">
      <alignment horizontal="center"/>
    </xf>
    <xf numFmtId="37" fontId="25" fillId="0" borderId="15" xfId="0" applyNumberFormat="1" applyFont="1" applyBorder="1" applyAlignment="1">
      <alignment horizontal="center"/>
    </xf>
    <xf numFmtId="0" fontId="59" fillId="0" borderId="0" xfId="0" applyFont="1" applyAlignment="1">
      <alignment horizontal="left"/>
    </xf>
    <xf numFmtId="0" fontId="36" fillId="0" borderId="0" xfId="0" applyFont="1" applyBorder="1" applyAlignment="1"/>
    <xf numFmtId="0" fontId="41" fillId="0" borderId="0" xfId="0" applyFont="1" applyBorder="1" applyAlignment="1">
      <alignment horizontal="center"/>
    </xf>
    <xf numFmtId="37" fontId="33" fillId="0" borderId="0" xfId="0" applyNumberFormat="1" applyFont="1" applyBorder="1" applyAlignment="1">
      <alignment horizontal="right"/>
    </xf>
    <xf numFmtId="0" fontId="1" fillId="0" borderId="0" xfId="0" applyNumberFormat="1" applyFont="1" applyBorder="1" applyAlignment="1">
      <alignment horizontal="center"/>
    </xf>
    <xf numFmtId="0" fontId="21" fillId="0" borderId="0" xfId="0" applyNumberFormat="1" applyFont="1" applyBorder="1" applyAlignment="1">
      <alignment horizontal="center"/>
    </xf>
    <xf numFmtId="0" fontId="21" fillId="0" borderId="0" xfId="0" applyNumberFormat="1" applyFont="1" applyFill="1" applyBorder="1" applyAlignment="1">
      <alignment horizontal="center"/>
    </xf>
    <xf numFmtId="166" fontId="25" fillId="0" borderId="0" xfId="10" applyNumberFormat="1" applyFont="1"/>
    <xf numFmtId="0" fontId="6" fillId="0" borderId="0" xfId="0" applyNumberFormat="1" applyFont="1" applyFill="1" applyAlignment="1">
      <alignment horizontal="center"/>
    </xf>
    <xf numFmtId="0" fontId="60" fillId="0" borderId="0" xfId="0" applyNumberFormat="1" applyFont="1" applyFill="1" applyBorder="1" applyAlignment="1">
      <alignment horizontal="left"/>
    </xf>
    <xf numFmtId="0" fontId="7" fillId="0" borderId="0" xfId="0" applyNumberFormat="1" applyFont="1" applyBorder="1" applyAlignment="1">
      <alignment horizontal="center"/>
    </xf>
    <xf numFmtId="0" fontId="50" fillId="6" borderId="0" xfId="0" applyNumberFormat="1" applyFont="1" applyFill="1" applyAlignment="1">
      <alignment horizontal="left"/>
    </xf>
    <xf numFmtId="0" fontId="25" fillId="6" borderId="0" xfId="0" applyNumberFormat="1" applyFont="1" applyFill="1" applyAlignment="1">
      <alignment horizontal="center"/>
    </xf>
    <xf numFmtId="3" fontId="25" fillId="6" borderId="0" xfId="0" applyNumberFormat="1" applyFont="1" applyFill="1" applyAlignment="1">
      <alignment horizontal="center"/>
    </xf>
    <xf numFmtId="43" fontId="25" fillId="0" borderId="0" xfId="8" applyFont="1"/>
    <xf numFmtId="176" fontId="25" fillId="0" borderId="0" xfId="12" applyNumberFormat="1" applyFont="1"/>
    <xf numFmtId="43" fontId="25" fillId="0" borderId="0" xfId="0" applyNumberFormat="1" applyFont="1"/>
    <xf numFmtId="3" fontId="6" fillId="0" borderId="8" xfId="0" applyNumberFormat="1" applyFont="1" applyFill="1" applyBorder="1" applyAlignment="1">
      <alignment horizontal="left"/>
    </xf>
    <xf numFmtId="3" fontId="6" fillId="0" borderId="0" xfId="0" applyNumberFormat="1" applyFont="1" applyFill="1" applyBorder="1" applyAlignment="1">
      <alignment horizontal="left"/>
    </xf>
    <xf numFmtId="3" fontId="6" fillId="0" borderId="6" xfId="0" applyNumberFormat="1" applyFont="1" applyFill="1" applyBorder="1" applyAlignment="1">
      <alignment horizontal="center"/>
    </xf>
    <xf numFmtId="3" fontId="6" fillId="0" borderId="8" xfId="0" applyNumberFormat="1" applyFont="1" applyFill="1" applyBorder="1" applyAlignment="1">
      <alignment horizontal="center"/>
    </xf>
    <xf numFmtId="3" fontId="25" fillId="0" borderId="0" xfId="0" applyNumberFormat="1" applyFont="1" applyFill="1" applyBorder="1" applyAlignment="1">
      <alignment horizontal="left"/>
    </xf>
    <xf numFmtId="3" fontId="25" fillId="0" borderId="19" xfId="0" applyNumberFormat="1" applyFont="1" applyFill="1" applyBorder="1" applyAlignment="1">
      <alignment horizontal="left"/>
    </xf>
    <xf numFmtId="3" fontId="25" fillId="0" borderId="19" xfId="0" applyNumberFormat="1" applyFont="1" applyBorder="1" applyAlignment="1">
      <alignment horizontal="left"/>
    </xf>
    <xf numFmtId="3" fontId="7" fillId="0" borderId="0" xfId="0" applyNumberFormat="1" applyFont="1" applyBorder="1" applyAlignment="1">
      <alignment horizontal="left"/>
    </xf>
    <xf numFmtId="0" fontId="8" fillId="0" borderId="0" xfId="20" applyFont="1"/>
    <xf numFmtId="0" fontId="11" fillId="0" borderId="0" xfId="7" applyFont="1" applyBorder="1"/>
    <xf numFmtId="0" fontId="9" fillId="0" borderId="0" xfId="7" applyFont="1" applyBorder="1"/>
    <xf numFmtId="0" fontId="8" fillId="0" borderId="0" xfId="7" applyFont="1"/>
    <xf numFmtId="0" fontId="9" fillId="0" borderId="0" xfId="20" applyFont="1" applyAlignment="1">
      <alignment horizontal="left"/>
    </xf>
    <xf numFmtId="0" fontId="9" fillId="0" borderId="0" xfId="7" applyFont="1" applyAlignment="1">
      <alignment horizontal="center"/>
    </xf>
    <xf numFmtId="0" fontId="9" fillId="0" borderId="0" xfId="7" applyFont="1" applyBorder="1" applyAlignment="1">
      <alignment horizontal="center"/>
    </xf>
    <xf numFmtId="0" fontId="9" fillId="0" borderId="0" xfId="7" applyFont="1" applyFill="1" applyBorder="1" applyAlignment="1">
      <alignment horizontal="center"/>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46" fillId="0" borderId="0" xfId="21" applyFont="1"/>
    <xf numFmtId="177" fontId="62" fillId="0" borderId="0" xfId="8" applyNumberFormat="1" applyFont="1" applyAlignment="1">
      <alignment horizontal="center"/>
    </xf>
    <xf numFmtId="177" fontId="0" fillId="0" borderId="0" xfId="10" applyNumberFormat="1" applyFont="1" applyBorder="1"/>
    <xf numFmtId="177" fontId="46" fillId="0" borderId="0" xfId="22" applyNumberFormat="1" applyFont="1" applyBorder="1"/>
    <xf numFmtId="177" fontId="64" fillId="8" borderId="0" xfId="23" applyNumberFormat="1" applyFont="1" applyFill="1"/>
    <xf numFmtId="177" fontId="46" fillId="0" borderId="0" xfId="24" applyNumberFormat="1" applyFont="1" applyBorder="1"/>
    <xf numFmtId="177" fontId="46" fillId="8" borderId="0" xfId="23" applyNumberFormat="1" applyFont="1" applyFill="1"/>
    <xf numFmtId="177" fontId="0" fillId="0" borderId="0" xfId="8" applyNumberFormat="1" applyFont="1" applyBorder="1"/>
    <xf numFmtId="49" fontId="8" fillId="0" borderId="0" xfId="7" applyNumberFormat="1" applyFont="1" applyFill="1" applyBorder="1" applyAlignment="1">
      <alignment horizontal="left"/>
    </xf>
    <xf numFmtId="41" fontId="8" fillId="0" borderId="0" xfId="7" applyNumberFormat="1" applyFont="1" applyFill="1" applyBorder="1"/>
    <xf numFmtId="41" fontId="8" fillId="0" borderId="0" xfId="7" applyNumberFormat="1" applyFont="1" applyBorder="1" applyAlignment="1">
      <alignment horizontal="center"/>
    </xf>
    <xf numFmtId="42" fontId="8" fillId="0" borderId="0" xfId="20" applyNumberFormat="1" applyFont="1"/>
    <xf numFmtId="166" fontId="65" fillId="0" borderId="20" xfId="10" applyNumberFormat="1" applyFont="1" applyBorder="1"/>
    <xf numFmtId="41" fontId="4" fillId="0" borderId="0" xfId="7" applyNumberFormat="1" applyFont="1" applyFill="1" applyBorder="1"/>
    <xf numFmtId="0" fontId="8" fillId="0" borderId="0" xfId="7" applyFont="1" applyFill="1" applyBorder="1"/>
    <xf numFmtId="42" fontId="8" fillId="0" borderId="0" xfId="7" applyNumberFormat="1" applyFont="1" applyFill="1" applyBorder="1"/>
    <xf numFmtId="0" fontId="67" fillId="0" borderId="0" xfId="25" applyNumberFormat="1" applyFont="1" applyFill="1" applyAlignment="1">
      <alignment horizontal="center"/>
    </xf>
    <xf numFmtId="168" fontId="68" fillId="0" borderId="0" xfId="25" applyFont="1" applyFill="1" applyAlignment="1"/>
    <xf numFmtId="0" fontId="68" fillId="0" borderId="0" xfId="26" applyFont="1" applyFill="1"/>
    <xf numFmtId="0" fontId="68" fillId="0" borderId="0" xfId="27" applyNumberFormat="1" applyFont="1" applyFill="1" applyBorder="1" applyAlignment="1" applyProtection="1">
      <alignment horizontal="center"/>
      <protection locked="0"/>
    </xf>
    <xf numFmtId="0" fontId="68" fillId="0" borderId="0" xfId="26" applyFont="1" applyFill="1" applyAlignment="1">
      <alignment horizontal="right"/>
    </xf>
    <xf numFmtId="0" fontId="68" fillId="0" borderId="0" xfId="25" applyNumberFormat="1" applyFont="1" applyFill="1" applyAlignment="1">
      <alignment horizontal="center"/>
    </xf>
    <xf numFmtId="0" fontId="68" fillId="0" borderId="0" xfId="26" applyFont="1" applyFill="1" applyAlignment="1">
      <alignment horizontal="center"/>
    </xf>
    <xf numFmtId="168" fontId="68" fillId="0" borderId="0" xfId="25" applyFont="1" applyFill="1" applyAlignment="1">
      <alignment horizontal="right"/>
    </xf>
    <xf numFmtId="0" fontId="68" fillId="0" borderId="0" xfId="28" applyNumberFormat="1" applyFont="1" applyFill="1" applyAlignment="1">
      <alignment horizontal="center"/>
    </xf>
    <xf numFmtId="0" fontId="69" fillId="0" borderId="0" xfId="26" applyFont="1" applyFill="1" applyAlignment="1">
      <alignment horizontal="centerContinuous"/>
    </xf>
    <xf numFmtId="0" fontId="69" fillId="0" borderId="0" xfId="26" applyFont="1" applyFill="1" applyAlignment="1">
      <alignment horizontal="center"/>
    </xf>
    <xf numFmtId="0" fontId="68" fillId="0" borderId="0" xfId="25" applyNumberFormat="1" applyFont="1" applyFill="1" applyAlignment="1">
      <alignment horizontal="center" wrapText="1"/>
    </xf>
    <xf numFmtId="0" fontId="69" fillId="0" borderId="0" xfId="26" applyFont="1" applyFill="1" applyAlignment="1">
      <alignment horizontal="center" wrapText="1"/>
    </xf>
    <xf numFmtId="168" fontId="69" fillId="0" borderId="0" xfId="25" applyFont="1" applyFill="1" applyAlignment="1">
      <alignment horizontal="center" wrapText="1"/>
    </xf>
    <xf numFmtId="168" fontId="68" fillId="0" borderId="0" xfId="25" applyFont="1" applyFill="1" applyAlignment="1">
      <alignment wrapText="1"/>
    </xf>
    <xf numFmtId="0" fontId="69" fillId="0" borderId="0" xfId="29" applyFont="1" applyFill="1" applyBorder="1" applyAlignment="1">
      <alignment horizontal="center" wrapText="1"/>
    </xf>
    <xf numFmtId="168" fontId="67" fillId="0" borderId="0" xfId="25" applyFont="1" applyFill="1" applyAlignment="1"/>
    <xf numFmtId="0" fontId="68" fillId="0" borderId="0" xfId="30" applyFont="1" applyFill="1" applyAlignment="1">
      <alignment horizontal="left" wrapText="1"/>
    </xf>
    <xf numFmtId="37" fontId="68" fillId="0" borderId="0" xfId="8" applyNumberFormat="1" applyFont="1" applyFill="1" applyAlignment="1">
      <alignment horizontal="center"/>
    </xf>
    <xf numFmtId="37" fontId="68" fillId="0" borderId="0" xfId="8" applyNumberFormat="1" applyFont="1" applyFill="1" applyAlignment="1">
      <alignment horizontal="center" wrapText="1"/>
    </xf>
    <xf numFmtId="3" fontId="68" fillId="0" borderId="0" xfId="31" applyNumberFormat="1" applyFont="1" applyFill="1" applyAlignment="1">
      <alignment horizontal="left" wrapText="1"/>
    </xf>
    <xf numFmtId="3" fontId="68" fillId="0" borderId="0" xfId="31" applyNumberFormat="1" applyFont="1" applyFill="1" applyAlignment="1">
      <alignment wrapText="1"/>
    </xf>
    <xf numFmtId="3" fontId="68" fillId="0" borderId="0" xfId="31" applyNumberFormat="1" applyFont="1" applyFill="1" applyAlignment="1">
      <alignment horizontal="center" wrapText="1"/>
    </xf>
    <xf numFmtId="0" fontId="68" fillId="0" borderId="0" xfId="26" quotePrefix="1" applyFont="1" applyFill="1" applyAlignment="1">
      <alignment horizontal="left"/>
    </xf>
    <xf numFmtId="41" fontId="68" fillId="10" borderId="0" xfId="26" applyNumberFormat="1" applyFont="1" applyFill="1"/>
    <xf numFmtId="164" fontId="68" fillId="10" borderId="0" xfId="8" applyNumberFormat="1" applyFont="1" applyFill="1"/>
    <xf numFmtId="164" fontId="68" fillId="0" borderId="20" xfId="8" applyNumberFormat="1" applyFont="1" applyFill="1" applyBorder="1"/>
    <xf numFmtId="37" fontId="68" fillId="0" borderId="0" xfId="26" applyNumberFormat="1" applyFont="1" applyFill="1"/>
    <xf numFmtId="168" fontId="68" fillId="0" borderId="0" xfId="32" applyFont="1" applyFill="1" applyAlignment="1"/>
    <xf numFmtId="0" fontId="69" fillId="0" borderId="0" xfId="26" applyFont="1" applyFill="1" applyAlignment="1">
      <alignment horizontal="centerContinuous" wrapText="1"/>
    </xf>
    <xf numFmtId="168" fontId="69" fillId="0" borderId="0" xfId="25" applyFont="1" applyFill="1" applyAlignment="1">
      <alignment horizontal="center"/>
    </xf>
    <xf numFmtId="0" fontId="68" fillId="0" borderId="0" xfId="29" applyFont="1" applyFill="1" applyBorder="1" applyAlignment="1">
      <alignment horizontal="center" wrapText="1"/>
    </xf>
    <xf numFmtId="168" fontId="68" fillId="0" borderId="0" xfId="25" applyFont="1" applyFill="1" applyAlignment="1">
      <alignment horizontal="center"/>
    </xf>
    <xf numFmtId="41" fontId="70" fillId="11" borderId="0" xfId="26" applyNumberFormat="1" applyFont="1" applyFill="1"/>
    <xf numFmtId="0" fontId="68" fillId="0" borderId="0" xfId="26" applyFont="1" applyFill="1" applyAlignment="1">
      <alignment horizontal="left"/>
    </xf>
    <xf numFmtId="43" fontId="68" fillId="0" borderId="20" xfId="8" applyFont="1" applyFill="1" applyBorder="1"/>
    <xf numFmtId="164" fontId="68" fillId="10" borderId="0" xfId="8" applyNumberFormat="1" applyFont="1" applyFill="1" applyBorder="1"/>
    <xf numFmtId="43" fontId="68" fillId="0" borderId="0" xfId="8" applyFont="1" applyFill="1" applyBorder="1" applyAlignment="1">
      <alignment horizontal="center"/>
    </xf>
    <xf numFmtId="164" fontId="68" fillId="0" borderId="0" xfId="8" applyNumberFormat="1" applyFont="1" applyFill="1" applyBorder="1"/>
    <xf numFmtId="164" fontId="68" fillId="0" borderId="0" xfId="8" applyNumberFormat="1" applyFont="1" applyFill="1" applyBorder="1" applyAlignment="1">
      <alignment horizontal="center"/>
    </xf>
    <xf numFmtId="0" fontId="71" fillId="0" borderId="0" xfId="25" applyNumberFormat="1" applyFont="1" applyFill="1" applyAlignment="1">
      <alignment horizontal="center"/>
    </xf>
    <xf numFmtId="168" fontId="71" fillId="0" borderId="0" xfId="25" applyFont="1" applyFill="1" applyAlignment="1">
      <alignment horizontal="center"/>
    </xf>
    <xf numFmtId="44" fontId="71" fillId="0" borderId="0" xfId="25" applyNumberFormat="1" applyFont="1" applyFill="1" applyBorder="1" applyAlignment="1"/>
    <xf numFmtId="168" fontId="68" fillId="0" borderId="0" xfId="25" applyFont="1" applyFill="1" applyAlignment="1">
      <alignment vertical="center" wrapText="1"/>
    </xf>
    <xf numFmtId="168" fontId="68" fillId="0" borderId="0" xfId="25" applyFont="1" applyFill="1" applyAlignment="1">
      <alignment horizontal="left" vertical="center"/>
    </xf>
    <xf numFmtId="168" fontId="68" fillId="0" borderId="0" xfId="25" applyFont="1" applyFill="1" applyAlignment="1">
      <alignment horizontal="left" vertical="center" wrapText="1"/>
    </xf>
    <xf numFmtId="0" fontId="72" fillId="0" borderId="0" xfId="34" applyFont="1" applyFill="1" applyAlignment="1">
      <alignment horizontal="center"/>
    </xf>
    <xf numFmtId="0" fontId="72" fillId="0" borderId="0" xfId="34" applyFont="1" applyFill="1"/>
    <xf numFmtId="0" fontId="69" fillId="0" borderId="0" xfId="27" applyNumberFormat="1" applyFont="1" applyFill="1" applyBorder="1" applyAlignment="1" applyProtection="1">
      <alignment horizontal="center"/>
      <protection locked="0"/>
    </xf>
    <xf numFmtId="0" fontId="73" fillId="0" borderId="0" xfId="34" applyFont="1" applyFill="1" applyAlignment="1">
      <alignment horizontal="center"/>
    </xf>
    <xf numFmtId="168" fontId="68" fillId="0" borderId="0" xfId="25" applyFont="1" applyFill="1" applyAlignment="1">
      <alignment horizontal="left" vertical="center" wrapText="1"/>
    </xf>
    <xf numFmtId="168" fontId="35" fillId="0" borderId="0" xfId="35" applyFill="1" applyAlignment="1"/>
    <xf numFmtId="168" fontId="35" fillId="0" borderId="0" xfId="35" applyAlignment="1"/>
    <xf numFmtId="164" fontId="8" fillId="0" borderId="0" xfId="8" applyNumberFormat="1" applyFont="1" applyFill="1" applyAlignment="1">
      <alignment horizontal="left"/>
    </xf>
    <xf numFmtId="0" fontId="27" fillId="0" borderId="0" xfId="5" applyFont="1" applyFill="1"/>
    <xf numFmtId="164" fontId="9" fillId="0" borderId="0" xfId="8" applyNumberFormat="1" applyFont="1" applyFill="1" applyAlignment="1"/>
    <xf numFmtId="0" fontId="69" fillId="0" borderId="0" xfId="26" quotePrefix="1" applyFont="1" applyFill="1" applyAlignment="1">
      <alignment horizontal="left"/>
    </xf>
    <xf numFmtId="0" fontId="68" fillId="10" borderId="0" xfId="26" quotePrefix="1" applyFont="1" applyFill="1" applyAlignment="1">
      <alignment horizontal="left"/>
    </xf>
    <xf numFmtId="168" fontId="35" fillId="10" borderId="0" xfId="35" applyFill="1" applyAlignment="1"/>
    <xf numFmtId="0" fontId="68" fillId="0" borderId="0" xfId="26" quotePrefix="1" applyFont="1" applyFill="1" applyAlignment="1">
      <alignment horizontal="center"/>
    </xf>
    <xf numFmtId="0" fontId="68" fillId="10" borderId="0" xfId="26" quotePrefix="1" applyFont="1" applyFill="1" applyAlignment="1">
      <alignment horizontal="center"/>
    </xf>
    <xf numFmtId="166" fontId="68" fillId="0" borderId="0" xfId="10" quotePrefix="1" applyNumberFormat="1" applyFont="1" applyFill="1" applyAlignment="1">
      <alignment horizontal="left"/>
    </xf>
    <xf numFmtId="39" fontId="68" fillId="10" borderId="0" xfId="8" quotePrefix="1" applyNumberFormat="1" applyFont="1" applyFill="1" applyAlignment="1">
      <alignment horizontal="left"/>
    </xf>
    <xf numFmtId="164" fontId="68" fillId="0" borderId="0" xfId="8" quotePrefix="1" applyNumberFormat="1" applyFont="1" applyFill="1" applyAlignment="1">
      <alignment horizontal="left"/>
    </xf>
    <xf numFmtId="164" fontId="68" fillId="10" borderId="0" xfId="26" applyNumberFormat="1" applyFont="1" applyFill="1"/>
    <xf numFmtId="166" fontId="68" fillId="10" borderId="0" xfId="46" quotePrefix="1" applyNumberFormat="1" applyFont="1" applyFill="1" applyAlignment="1">
      <alignment horizontal="center"/>
    </xf>
    <xf numFmtId="168" fontId="68" fillId="0" borderId="0" xfId="27" applyFont="1" applyFill="1" applyBorder="1" applyAlignment="1"/>
    <xf numFmtId="168" fontId="68" fillId="0" borderId="0" xfId="27" applyFont="1" applyFill="1" applyBorder="1" applyAlignment="1">
      <alignment horizontal="right"/>
    </xf>
    <xf numFmtId="164" fontId="68" fillId="0" borderId="0" xfId="8" applyNumberFormat="1" applyFont="1" applyFill="1" applyBorder="1" applyAlignment="1"/>
    <xf numFmtId="0" fontId="68" fillId="0" borderId="0" xfId="27" applyNumberFormat="1" applyFont="1" applyFill="1" applyBorder="1" applyAlignment="1" applyProtection="1">
      <protection locked="0"/>
    </xf>
    <xf numFmtId="0" fontId="68" fillId="0" borderId="0" xfId="27" applyNumberFormat="1" applyFont="1" applyFill="1" applyBorder="1" applyProtection="1">
      <protection locked="0"/>
    </xf>
    <xf numFmtId="0" fontId="68" fillId="0" borderId="0" xfId="31" applyFont="1" applyFill="1"/>
    <xf numFmtId="0" fontId="68" fillId="0" borderId="0" xfId="27" applyNumberFormat="1" applyFont="1" applyFill="1" applyAlignment="1">
      <alignment horizontal="right"/>
    </xf>
    <xf numFmtId="0" fontId="68" fillId="0" borderId="0" xfId="27" applyNumberFormat="1" applyFont="1" applyFill="1" applyBorder="1"/>
    <xf numFmtId="164" fontId="74" fillId="0" borderId="0" xfId="8" applyNumberFormat="1" applyFont="1" applyFill="1" applyBorder="1"/>
    <xf numFmtId="3" fontId="68" fillId="0" borderId="0" xfId="27" applyNumberFormat="1" applyFont="1" applyFill="1" applyBorder="1" applyAlignment="1"/>
    <xf numFmtId="0" fontId="74" fillId="0" borderId="0" xfId="27" applyNumberFormat="1" applyFont="1" applyFill="1" applyBorder="1" applyAlignment="1">
      <alignment horizontal="center"/>
    </xf>
    <xf numFmtId="0" fontId="74" fillId="0" borderId="0" xfId="27" applyNumberFormat="1" applyFont="1" applyFill="1" applyBorder="1"/>
    <xf numFmtId="49" fontId="68" fillId="0" borderId="0" xfId="27" applyNumberFormat="1" applyFont="1" applyFill="1" applyBorder="1"/>
    <xf numFmtId="3" fontId="68" fillId="0" borderId="0" xfId="27" applyNumberFormat="1" applyFont="1" applyFill="1" applyBorder="1"/>
    <xf numFmtId="0" fontId="68" fillId="0" borderId="0" xfId="27" applyNumberFormat="1" applyFont="1" applyFill="1" applyBorder="1" applyAlignment="1">
      <alignment horizontal="center"/>
    </xf>
    <xf numFmtId="49" fontId="68" fillId="0" borderId="0" xfId="27" applyNumberFormat="1" applyFont="1" applyFill="1" applyBorder="1" applyAlignment="1">
      <alignment horizontal="center"/>
    </xf>
    <xf numFmtId="0" fontId="68" fillId="0" borderId="0" xfId="27" applyNumberFormat="1" applyFont="1" applyFill="1" applyBorder="1" applyAlignment="1"/>
    <xf numFmtId="3" fontId="69" fillId="0" borderId="0" xfId="27" applyNumberFormat="1" applyFont="1" applyFill="1" applyBorder="1" applyAlignment="1">
      <alignment horizontal="center"/>
    </xf>
    <xf numFmtId="168" fontId="69" fillId="0" borderId="0" xfId="27" applyFont="1" applyFill="1" applyBorder="1" applyAlignment="1">
      <alignment horizontal="center"/>
    </xf>
    <xf numFmtId="0" fontId="69" fillId="0" borderId="0" xfId="27" applyNumberFormat="1" applyFont="1" applyFill="1" applyBorder="1" applyAlignment="1">
      <alignment horizontal="center"/>
    </xf>
    <xf numFmtId="0" fontId="69" fillId="0" borderId="0" xfId="27" applyNumberFormat="1" applyFont="1" applyFill="1" applyBorder="1" applyAlignment="1"/>
    <xf numFmtId="0" fontId="75" fillId="0" borderId="0" xfId="27" applyNumberFormat="1" applyFont="1" applyFill="1" applyBorder="1" applyAlignment="1" applyProtection="1">
      <alignment horizontal="center"/>
      <protection locked="0"/>
    </xf>
    <xf numFmtId="3" fontId="68" fillId="0" borderId="0" xfId="27" applyNumberFormat="1" applyFont="1" applyFill="1" applyBorder="1" applyAlignment="1">
      <alignment horizontal="center"/>
    </xf>
    <xf numFmtId="3" fontId="68" fillId="0" borderId="0" xfId="27" applyNumberFormat="1" applyFont="1" applyFill="1" applyBorder="1" applyAlignment="1">
      <alignment horizontal="left"/>
    </xf>
    <xf numFmtId="43" fontId="68" fillId="0" borderId="0" xfId="8" applyNumberFormat="1" applyFont="1" applyFill="1" applyBorder="1" applyAlignment="1"/>
    <xf numFmtId="43" fontId="76" fillId="0" borderId="0" xfId="8" applyNumberFormat="1" applyFont="1" applyFill="1" applyBorder="1" applyAlignment="1"/>
    <xf numFmtId="10" fontId="76" fillId="0" borderId="0" xfId="12" applyNumberFormat="1" applyFont="1" applyFill="1" applyBorder="1" applyAlignment="1"/>
    <xf numFmtId="10" fontId="69" fillId="0" borderId="0" xfId="27" applyNumberFormat="1" applyFont="1" applyFill="1" applyBorder="1" applyAlignment="1"/>
    <xf numFmtId="3" fontId="69" fillId="0" borderId="0" xfId="27" applyNumberFormat="1" applyFont="1" applyFill="1" applyBorder="1" applyAlignment="1"/>
    <xf numFmtId="179" fontId="69" fillId="0" borderId="0" xfId="27" applyNumberFormat="1" applyFont="1" applyFill="1" applyBorder="1" applyAlignment="1"/>
    <xf numFmtId="10" fontId="68" fillId="0" borderId="0" xfId="27" applyNumberFormat="1" applyFont="1" applyFill="1" applyBorder="1" applyAlignment="1"/>
    <xf numFmtId="168" fontId="68" fillId="0" borderId="0" xfId="27" applyFont="1" applyFill="1" applyBorder="1" applyAlignment="1">
      <alignment horizontal="left"/>
    </xf>
    <xf numFmtId="168" fontId="68" fillId="0" borderId="0" xfId="27" applyFont="1" applyFill="1" applyBorder="1" applyAlignment="1">
      <alignment horizontal="center"/>
    </xf>
    <xf numFmtId="43" fontId="68" fillId="0" borderId="0" xfId="8" applyFont="1" applyFill="1" applyBorder="1" applyAlignment="1"/>
    <xf numFmtId="49" fontId="69" fillId="0" borderId="0" xfId="27" applyNumberFormat="1" applyFont="1" applyFill="1" applyBorder="1" applyAlignment="1">
      <alignment horizontal="center"/>
    </xf>
    <xf numFmtId="168" fontId="69" fillId="0" borderId="0" xfId="27" applyFont="1" applyFill="1" applyBorder="1" applyAlignment="1"/>
    <xf numFmtId="3" fontId="69" fillId="0" borderId="0" xfId="27" applyNumberFormat="1" applyFont="1" applyFill="1" applyBorder="1" applyAlignment="1">
      <alignment horizontal="left"/>
    </xf>
    <xf numFmtId="43" fontId="69" fillId="0" borderId="0" xfId="8" applyNumberFormat="1" applyFont="1" applyFill="1" applyBorder="1" applyAlignment="1"/>
    <xf numFmtId="10" fontId="69" fillId="0" borderId="0" xfId="12" applyNumberFormat="1" applyFont="1" applyFill="1" applyBorder="1" applyAlignment="1"/>
    <xf numFmtId="0" fontId="68" fillId="0" borderId="0" xfId="27" applyNumberFormat="1" applyFont="1" applyFill="1" applyBorder="1" applyAlignment="1">
      <alignment horizontal="fill"/>
    </xf>
    <xf numFmtId="168" fontId="77" fillId="0" borderId="0" xfId="27" applyFont="1" applyFill="1" applyBorder="1" applyAlignment="1"/>
    <xf numFmtId="3" fontId="77" fillId="0" borderId="0" xfId="27" applyNumberFormat="1" applyFont="1" applyFill="1" applyBorder="1" applyAlignment="1"/>
    <xf numFmtId="167" fontId="68" fillId="0" borderId="0" xfId="27" applyNumberFormat="1" applyFont="1" applyFill="1" applyBorder="1" applyAlignment="1">
      <alignment horizontal="left"/>
    </xf>
    <xf numFmtId="167" fontId="68" fillId="0" borderId="0" xfId="27" applyNumberFormat="1" applyFont="1" applyFill="1" applyBorder="1" applyAlignment="1">
      <alignment horizontal="center"/>
    </xf>
    <xf numFmtId="180" fontId="68" fillId="0" borderId="0" xfId="27" applyNumberFormat="1" applyFont="1" applyFill="1" applyBorder="1" applyAlignment="1"/>
    <xf numFmtId="0" fontId="77" fillId="0" borderId="0" xfId="27" applyNumberFormat="1" applyFont="1" applyFill="1" applyBorder="1"/>
    <xf numFmtId="49" fontId="68" fillId="0" borderId="0" xfId="27" applyNumberFormat="1" applyFont="1" applyFill="1" applyBorder="1" applyAlignment="1">
      <alignment horizontal="left"/>
    </xf>
    <xf numFmtId="0" fontId="68" fillId="0" borderId="0" xfId="27" applyNumberFormat="1" applyFont="1" applyFill="1" applyBorder="1" applyAlignment="1">
      <alignment horizontal="right"/>
    </xf>
    <xf numFmtId="178" fontId="69" fillId="0" borderId="0" xfId="27" applyNumberFormat="1" applyFont="1" applyFill="1" applyBorder="1" applyAlignment="1">
      <alignment horizontal="center"/>
    </xf>
    <xf numFmtId="178" fontId="69" fillId="0" borderId="0" xfId="27" quotePrefix="1" applyNumberFormat="1" applyFont="1" applyFill="1" applyBorder="1" applyAlignment="1">
      <alignment horizontal="center"/>
    </xf>
    <xf numFmtId="168" fontId="69" fillId="0" borderId="22" xfId="27" applyFont="1" applyFill="1" applyBorder="1" applyAlignment="1">
      <alignment horizontal="center" wrapText="1"/>
    </xf>
    <xf numFmtId="168" fontId="69" fillId="0" borderId="21" xfId="27" applyFont="1" applyFill="1" applyBorder="1" applyAlignment="1"/>
    <xf numFmtId="0" fontId="69" fillId="0" borderId="21" xfId="27" applyNumberFormat="1" applyFont="1" applyFill="1" applyBorder="1" applyAlignment="1">
      <alignment horizontal="center" wrapText="1"/>
    </xf>
    <xf numFmtId="168" fontId="69" fillId="0" borderId="23" xfId="27" applyFont="1" applyFill="1" applyBorder="1" applyAlignment="1">
      <alignment horizontal="center" wrapText="1"/>
    </xf>
    <xf numFmtId="3" fontId="69" fillId="0" borderId="23" xfId="27" applyNumberFormat="1" applyFont="1" applyFill="1" applyBorder="1" applyAlignment="1">
      <alignment horizontal="center" wrapText="1"/>
    </xf>
    <xf numFmtId="0" fontId="68" fillId="0" borderId="22" xfId="27" applyNumberFormat="1" applyFont="1" applyFill="1" applyBorder="1"/>
    <xf numFmtId="0" fontId="68" fillId="0" borderId="21" xfId="27" applyNumberFormat="1" applyFont="1" applyFill="1" applyBorder="1"/>
    <xf numFmtId="0" fontId="68" fillId="0" borderId="21" xfId="27" applyNumberFormat="1" applyFont="1" applyFill="1" applyBorder="1" applyAlignment="1">
      <alignment horizontal="center"/>
    </xf>
    <xf numFmtId="0" fontId="68" fillId="0" borderId="23" xfId="27" applyNumberFormat="1" applyFont="1" applyFill="1" applyBorder="1" applyAlignment="1">
      <alignment horizontal="center"/>
    </xf>
    <xf numFmtId="0" fontId="68" fillId="0" borderId="23" xfId="27" applyNumberFormat="1" applyFont="1" applyFill="1" applyBorder="1" applyAlignment="1">
      <alignment horizontal="center" wrapText="1"/>
    </xf>
    <xf numFmtId="3" fontId="68" fillId="0" borderId="23" xfId="27" applyNumberFormat="1" applyFont="1" applyFill="1" applyBorder="1" applyAlignment="1">
      <alignment horizontal="center" wrapText="1"/>
    </xf>
    <xf numFmtId="3" fontId="68" fillId="0" borderId="21" xfId="27" applyNumberFormat="1" applyFont="1" applyFill="1" applyBorder="1" applyAlignment="1">
      <alignment horizontal="center"/>
    </xf>
    <xf numFmtId="0" fontId="68" fillId="0" borderId="31" xfId="27" applyNumberFormat="1" applyFont="1" applyFill="1" applyBorder="1"/>
    <xf numFmtId="0" fontId="68" fillId="0" borderId="27" xfId="27" applyNumberFormat="1" applyFont="1" applyFill="1" applyBorder="1"/>
    <xf numFmtId="0" fontId="68" fillId="0" borderId="29" xfId="27" applyNumberFormat="1" applyFont="1" applyFill="1" applyBorder="1"/>
    <xf numFmtId="3" fontId="68" fillId="0" borderId="27" xfId="27" applyNumberFormat="1" applyFont="1" applyFill="1" applyBorder="1" applyAlignment="1"/>
    <xf numFmtId="168" fontId="68" fillId="0" borderId="31" xfId="50" applyFont="1" applyFill="1" applyBorder="1" applyAlignment="1"/>
    <xf numFmtId="168" fontId="68" fillId="0" borderId="0" xfId="50" applyFont="1" applyFill="1" applyBorder="1" applyAlignment="1"/>
    <xf numFmtId="43" fontId="68" fillId="0" borderId="27" xfId="8" applyFont="1" applyFill="1" applyBorder="1" applyAlignment="1"/>
    <xf numFmtId="164" fontId="68" fillId="0" borderId="27" xfId="8" applyNumberFormat="1" applyFont="1" applyFill="1" applyBorder="1" applyAlignment="1"/>
    <xf numFmtId="168" fontId="68" fillId="10" borderId="0" xfId="50" applyFont="1" applyFill="1" applyBorder="1" applyAlignment="1"/>
    <xf numFmtId="0" fontId="68" fillId="10" borderId="0" xfId="8" applyNumberFormat="1" applyFont="1" applyFill="1" applyBorder="1" applyAlignment="1">
      <alignment horizontal="left"/>
    </xf>
    <xf numFmtId="166" fontId="68" fillId="10" borderId="0" xfId="10" applyNumberFormat="1" applyFont="1" applyFill="1" applyBorder="1" applyAlignment="1"/>
    <xf numFmtId="164" fontId="68" fillId="10" borderId="0" xfId="8" applyNumberFormat="1" applyFont="1" applyFill="1" applyBorder="1" applyAlignment="1"/>
    <xf numFmtId="164" fontId="68" fillId="10" borderId="31" xfId="8" applyNumberFormat="1" applyFont="1" applyFill="1" applyBorder="1" applyAlignment="1"/>
    <xf numFmtId="168" fontId="68" fillId="10" borderId="0" xfId="27" applyFont="1" applyFill="1" applyBorder="1" applyAlignment="1">
      <alignment horizontal="left"/>
    </xf>
    <xf numFmtId="166" fontId="70" fillId="10" borderId="0" xfId="10" applyNumberFormat="1" applyFont="1" applyFill="1" applyBorder="1" applyAlignment="1"/>
    <xf numFmtId="164" fontId="70" fillId="10" borderId="0" xfId="8" applyNumberFormat="1" applyFont="1" applyFill="1" applyBorder="1" applyAlignment="1"/>
    <xf numFmtId="168" fontId="68" fillId="0" borderId="31" xfId="27" applyFont="1" applyFill="1" applyBorder="1" applyAlignment="1"/>
    <xf numFmtId="168" fontId="68" fillId="10" borderId="0" xfId="27" applyFont="1" applyFill="1" applyBorder="1" applyAlignment="1"/>
    <xf numFmtId="168" fontId="68" fillId="0" borderId="32" xfId="27" applyFont="1" applyFill="1" applyBorder="1" applyAlignment="1"/>
    <xf numFmtId="168" fontId="68" fillId="0" borderId="12" xfId="27" applyFont="1" applyFill="1" applyBorder="1" applyAlignment="1"/>
    <xf numFmtId="168" fontId="68" fillId="10" borderId="12" xfId="27" applyFont="1" applyFill="1" applyBorder="1" applyAlignment="1"/>
    <xf numFmtId="168" fontId="68" fillId="0" borderId="25" xfId="27" applyFont="1" applyFill="1" applyBorder="1" applyAlignment="1"/>
    <xf numFmtId="164" fontId="68" fillId="0" borderId="25" xfId="8" applyNumberFormat="1" applyFont="1" applyFill="1" applyBorder="1" applyAlignment="1"/>
    <xf numFmtId="164" fontId="68" fillId="10" borderId="12" xfId="8" applyNumberFormat="1" applyFont="1" applyFill="1" applyBorder="1" applyAlignment="1"/>
    <xf numFmtId="164" fontId="71" fillId="10" borderId="32" xfId="8" applyNumberFormat="1" applyFont="1" applyFill="1" applyBorder="1" applyAlignment="1"/>
    <xf numFmtId="164" fontId="71" fillId="0" borderId="25" xfId="8" applyNumberFormat="1" applyFont="1" applyFill="1" applyBorder="1" applyAlignment="1"/>
    <xf numFmtId="1" fontId="68" fillId="0" borderId="0" xfId="8" applyNumberFormat="1" applyFont="1" applyFill="1" applyBorder="1" applyAlignment="1">
      <alignment horizontal="center"/>
    </xf>
    <xf numFmtId="168" fontId="68" fillId="0" borderId="1" xfId="27" applyFont="1" applyFill="1" applyBorder="1" applyAlignment="1"/>
    <xf numFmtId="168" fontId="68" fillId="0" borderId="0" xfId="27" applyFont="1" applyFill="1" applyBorder="1" applyAlignment="1">
      <alignment horizontal="center" vertical="top"/>
    </xf>
    <xf numFmtId="168" fontId="68" fillId="0" borderId="0" xfId="35" applyFont="1" applyFill="1" applyAlignment="1"/>
    <xf numFmtId="168" fontId="78" fillId="0" borderId="0" xfId="27" applyFont="1" applyFill="1" applyBorder="1" applyAlignment="1"/>
    <xf numFmtId="0" fontId="68" fillId="0" borderId="0" xfId="8" applyNumberFormat="1" applyFont="1" applyFill="1" applyBorder="1" applyAlignment="1">
      <alignment horizontal="center"/>
    </xf>
    <xf numFmtId="0" fontId="68" fillId="0" borderId="0" xfId="8" applyNumberFormat="1" applyFont="1" applyFill="1" applyBorder="1" applyAlignment="1" applyProtection="1">
      <alignment horizontal="center"/>
      <protection locked="0"/>
    </xf>
    <xf numFmtId="168" fontId="12" fillId="0" borderId="0" xfId="27" applyFont="1" applyFill="1" applyBorder="1" applyAlignment="1"/>
    <xf numFmtId="0" fontId="68" fillId="0" borderId="0" xfId="8" applyNumberFormat="1" applyFont="1" applyFill="1" applyAlignment="1">
      <alignment horizontal="center"/>
    </xf>
    <xf numFmtId="168" fontId="68" fillId="0" borderId="0" xfId="35" applyFont="1" applyFill="1"/>
    <xf numFmtId="168" fontId="68" fillId="0" borderId="0" xfId="35" applyFont="1" applyFill="1" applyAlignment="1">
      <alignment horizontal="center"/>
    </xf>
    <xf numFmtId="168" fontId="68" fillId="0" borderId="29" xfId="35" applyFont="1" applyFill="1" applyBorder="1"/>
    <xf numFmtId="168" fontId="68" fillId="0" borderId="33" xfId="35" applyFont="1" applyFill="1" applyBorder="1" applyAlignment="1">
      <alignment horizontal="center"/>
    </xf>
    <xf numFmtId="168" fontId="68" fillId="0" borderId="19" xfId="35" applyFont="1" applyFill="1" applyBorder="1"/>
    <xf numFmtId="168" fontId="68" fillId="0" borderId="30" xfId="35" applyFont="1" applyFill="1" applyBorder="1"/>
    <xf numFmtId="168" fontId="68" fillId="0" borderId="32" xfId="35" applyFont="1" applyFill="1" applyBorder="1" applyAlignment="1"/>
    <xf numFmtId="168" fontId="68" fillId="0" borderId="25" xfId="35" applyFont="1" applyFill="1" applyBorder="1" applyAlignment="1">
      <alignment horizontal="center"/>
    </xf>
    <xf numFmtId="168" fontId="68" fillId="0" borderId="12" xfId="35" applyFont="1" applyFill="1" applyBorder="1" applyAlignment="1"/>
    <xf numFmtId="168" fontId="68" fillId="0" borderId="26" xfId="35" applyFont="1" applyFill="1" applyBorder="1" applyAlignment="1"/>
    <xf numFmtId="168" fontId="68" fillId="0" borderId="33" xfId="35" applyFont="1" applyFill="1" applyBorder="1"/>
    <xf numFmtId="168" fontId="68" fillId="0" borderId="27" xfId="35" applyFont="1" applyFill="1" applyBorder="1"/>
    <xf numFmtId="168" fontId="68" fillId="0" borderId="23" xfId="35" applyFont="1" applyFill="1" applyBorder="1" applyAlignment="1">
      <alignment horizontal="center"/>
    </xf>
    <xf numFmtId="168" fontId="68" fillId="0" borderId="27" xfId="35" applyFont="1" applyFill="1" applyBorder="1" applyAlignment="1">
      <alignment horizontal="center"/>
    </xf>
    <xf numFmtId="168" fontId="68" fillId="0" borderId="31" xfId="35" applyFont="1" applyFill="1" applyBorder="1" applyAlignment="1">
      <alignment horizontal="center"/>
    </xf>
    <xf numFmtId="168" fontId="68" fillId="0" borderId="0" xfId="35" applyFont="1" applyFill="1" applyBorder="1" applyAlignment="1">
      <alignment horizontal="center"/>
    </xf>
    <xf numFmtId="168" fontId="12" fillId="0" borderId="25" xfId="27" applyFont="1" applyFill="1" applyBorder="1" applyAlignment="1">
      <alignment horizontal="center"/>
    </xf>
    <xf numFmtId="164" fontId="68" fillId="10" borderId="28" xfId="8" applyNumberFormat="1" applyFont="1" applyFill="1" applyBorder="1" applyAlignment="1">
      <alignment horizontal="center"/>
    </xf>
    <xf numFmtId="164" fontId="68" fillId="10" borderId="27" xfId="8" applyNumberFormat="1" applyFont="1" applyFill="1" applyBorder="1" applyAlignment="1">
      <alignment horizontal="center"/>
    </xf>
    <xf numFmtId="164" fontId="68" fillId="10" borderId="27" xfId="8" applyNumberFormat="1" applyFont="1" applyFill="1" applyBorder="1"/>
    <xf numFmtId="43" fontId="68" fillId="10" borderId="27" xfId="8" applyFont="1" applyFill="1" applyBorder="1"/>
    <xf numFmtId="168" fontId="68" fillId="10" borderId="27" xfId="35" applyFont="1" applyFill="1" applyBorder="1"/>
    <xf numFmtId="43" fontId="68" fillId="10" borderId="0" xfId="8" applyFont="1" applyFill="1" applyBorder="1"/>
    <xf numFmtId="43" fontId="68" fillId="10" borderId="28" xfId="8" applyFont="1" applyFill="1" applyBorder="1"/>
    <xf numFmtId="43" fontId="68" fillId="10" borderId="27" xfId="8" applyFont="1" applyFill="1" applyBorder="1" applyAlignment="1">
      <alignment horizontal="center"/>
    </xf>
    <xf numFmtId="168" fontId="68" fillId="0" borderId="25" xfId="35" applyFont="1" applyFill="1" applyBorder="1"/>
    <xf numFmtId="168" fontId="68" fillId="0" borderId="12" xfId="35" applyFont="1" applyFill="1" applyBorder="1"/>
    <xf numFmtId="166" fontId="68" fillId="0" borderId="25" xfId="10" applyNumberFormat="1" applyFont="1" applyFill="1" applyBorder="1"/>
    <xf numFmtId="168" fontId="68" fillId="0" borderId="26" xfId="35" applyFont="1" applyFill="1" applyBorder="1"/>
    <xf numFmtId="164" fontId="68" fillId="0" borderId="0" xfId="8" applyNumberFormat="1" applyFont="1" applyFill="1"/>
    <xf numFmtId="43" fontId="68" fillId="0" borderId="0" xfId="8" applyFont="1" applyFill="1"/>
    <xf numFmtId="172" fontId="68" fillId="0" borderId="0" xfId="8" applyNumberFormat="1" applyFont="1" applyFill="1"/>
    <xf numFmtId="168" fontId="68" fillId="0" borderId="0" xfId="35" applyNumberFormat="1" applyFont="1" applyFill="1" applyBorder="1" applyAlignment="1" applyProtection="1"/>
    <xf numFmtId="168" fontId="68" fillId="0" borderId="0" xfId="27" applyFont="1" applyFill="1" applyAlignment="1"/>
    <xf numFmtId="43" fontId="68" fillId="0" borderId="0" xfId="8" applyFont="1" applyFill="1" applyAlignment="1"/>
    <xf numFmtId="0" fontId="69" fillId="0" borderId="0" xfId="8" applyNumberFormat="1" applyFont="1" applyFill="1" applyBorder="1" applyAlignment="1">
      <alignment horizontal="left"/>
    </xf>
    <xf numFmtId="168" fontId="68" fillId="0" borderId="12" xfId="27" applyFont="1" applyFill="1" applyBorder="1" applyAlignment="1">
      <alignment horizontal="center"/>
    </xf>
    <xf numFmtId="168" fontId="68" fillId="0" borderId="0" xfId="27" applyFont="1" applyFill="1" applyAlignment="1">
      <alignment horizontal="center"/>
    </xf>
    <xf numFmtId="168" fontId="68" fillId="0" borderId="29" xfId="27" applyFont="1" applyFill="1" applyBorder="1" applyAlignment="1">
      <alignment horizontal="center"/>
    </xf>
    <xf numFmtId="168" fontId="68" fillId="0" borderId="33" xfId="27" applyFont="1" applyFill="1" applyBorder="1" applyAlignment="1">
      <alignment horizontal="center"/>
    </xf>
    <xf numFmtId="168" fontId="68" fillId="0" borderId="31" xfId="27" applyFont="1" applyFill="1" applyBorder="1" applyAlignment="1">
      <alignment horizontal="center"/>
    </xf>
    <xf numFmtId="168" fontId="68" fillId="0" borderId="27" xfId="27" applyFont="1" applyFill="1" applyBorder="1" applyAlignment="1">
      <alignment horizontal="center"/>
    </xf>
    <xf numFmtId="43" fontId="68" fillId="10" borderId="31" xfId="8" applyFont="1" applyFill="1" applyBorder="1" applyAlignment="1">
      <alignment horizontal="center"/>
    </xf>
    <xf numFmtId="164" fontId="68" fillId="10" borderId="27" xfId="8" applyNumberFormat="1" applyFont="1" applyFill="1" applyBorder="1" applyAlignment="1"/>
    <xf numFmtId="168" fontId="68" fillId="0" borderId="32" xfId="27" applyFont="1" applyFill="1" applyBorder="1" applyAlignment="1">
      <alignment horizontal="center"/>
    </xf>
    <xf numFmtId="164" fontId="68" fillId="0" borderId="0" xfId="8" applyNumberFormat="1" applyFont="1" applyFill="1" applyAlignment="1"/>
    <xf numFmtId="0" fontId="68" fillId="0" borderId="0" xfId="52" applyFont="1" applyFill="1"/>
    <xf numFmtId="0" fontId="68" fillId="0" borderId="0" xfId="8" applyNumberFormat="1" applyFont="1" applyFill="1" applyAlignment="1">
      <alignment horizontal="center" vertical="top"/>
    </xf>
    <xf numFmtId="0" fontId="68" fillId="0" borderId="0" xfId="35" applyNumberFormat="1" applyFont="1" applyFill="1" applyAlignment="1">
      <alignment horizontal="center" vertical="top"/>
    </xf>
    <xf numFmtId="0" fontId="68" fillId="0" borderId="0" xfId="0" applyFont="1" applyFill="1" applyAlignment="1"/>
    <xf numFmtId="0" fontId="68" fillId="0" borderId="0" xfId="0" applyFont="1" applyFill="1" applyAlignment="1">
      <alignment horizontal="right"/>
    </xf>
    <xf numFmtId="0" fontId="68" fillId="0" borderId="0" xfId="0" applyFont="1" applyFill="1" applyAlignment="1">
      <alignment horizontal="center"/>
    </xf>
    <xf numFmtId="0" fontId="68" fillId="0" borderId="0" xfId="0" applyFont="1" applyFill="1" applyBorder="1" applyAlignment="1"/>
    <xf numFmtId="0" fontId="25" fillId="0" borderId="0" xfId="53" applyNumberFormat="1" applyFont="1" applyFill="1" applyAlignment="1">
      <alignment horizontal="center"/>
    </xf>
    <xf numFmtId="0" fontId="25" fillId="0" borderId="0" xfId="53" applyFont="1" applyFill="1" applyBorder="1" applyAlignment="1">
      <alignment horizontal="center"/>
    </xf>
    <xf numFmtId="165" fontId="25" fillId="0" borderId="0" xfId="12" applyNumberFormat="1" applyFont="1" applyFill="1" applyBorder="1" applyAlignment="1">
      <alignment horizontal="center"/>
    </xf>
    <xf numFmtId="1" fontId="25" fillId="0" borderId="0" xfId="27" applyNumberFormat="1" applyFont="1" applyFill="1" applyAlignment="1">
      <alignment horizontal="left"/>
    </xf>
    <xf numFmtId="168" fontId="57" fillId="0" borderId="0" xfId="27" quotePrefix="1" applyFont="1" applyFill="1" applyAlignment="1">
      <alignment horizontal="left"/>
    </xf>
    <xf numFmtId="168" fontId="7" fillId="0" borderId="0" xfId="27" applyFont="1" applyFill="1" applyAlignment="1"/>
    <xf numFmtId="0" fontId="83" fillId="0" borderId="0" xfId="53" applyFont="1" applyFill="1" applyAlignment="1">
      <alignment horizontal="center" wrapText="1"/>
    </xf>
    <xf numFmtId="0" fontId="83" fillId="0" borderId="0" xfId="53" applyFont="1" applyFill="1" applyBorder="1" applyAlignment="1">
      <alignment horizontal="center" wrapText="1"/>
    </xf>
    <xf numFmtId="168" fontId="25" fillId="0" borderId="0" xfId="27" applyFont="1" applyFill="1" applyAlignment="1"/>
    <xf numFmtId="43" fontId="25" fillId="0" borderId="0" xfId="8" applyFont="1" applyFill="1" applyAlignment="1"/>
    <xf numFmtId="172" fontId="84" fillId="10" borderId="0" xfId="8" applyNumberFormat="1" applyFont="1" applyFill="1"/>
    <xf numFmtId="10" fontId="84" fillId="0" borderId="0" xfId="53" applyNumberFormat="1" applyFont="1" applyFill="1" applyBorder="1"/>
    <xf numFmtId="43" fontId="83" fillId="0" borderId="0" xfId="8" applyFont="1" applyFill="1" applyBorder="1"/>
    <xf numFmtId="0" fontId="83" fillId="0" borderId="0" xfId="53" applyFont="1" applyFill="1" applyBorder="1"/>
    <xf numFmtId="0" fontId="25" fillId="0" borderId="0" xfId="53" applyNumberFormat="1" applyFont="1" applyFill="1" applyBorder="1" applyAlignment="1">
      <alignment horizontal="center"/>
    </xf>
    <xf numFmtId="0" fontId="83" fillId="0" borderId="0" xfId="53" applyFont="1" applyFill="1" applyBorder="1" applyAlignment="1">
      <alignment horizontal="center"/>
    </xf>
    <xf numFmtId="10" fontId="83" fillId="0" borderId="0" xfId="53" applyNumberFormat="1" applyFont="1" applyFill="1" applyBorder="1"/>
    <xf numFmtId="168" fontId="25" fillId="0" borderId="0" xfId="27" quotePrefix="1" applyFont="1" applyFill="1" applyBorder="1" applyAlignment="1">
      <alignment horizontal="left"/>
    </xf>
    <xf numFmtId="43" fontId="25" fillId="0" borderId="0" xfId="8" applyFont="1" applyFill="1" applyBorder="1" applyAlignment="1"/>
    <xf numFmtId="0" fontId="85" fillId="0" borderId="0" xfId="53" applyFont="1" applyFill="1" applyBorder="1"/>
    <xf numFmtId="168" fontId="25" fillId="0" borderId="0" xfId="27" applyFont="1" applyFill="1" applyBorder="1" applyAlignment="1"/>
    <xf numFmtId="0" fontId="83" fillId="0" borderId="0" xfId="53" applyFont="1" applyFill="1"/>
    <xf numFmtId="0" fontId="68" fillId="0" borderId="0" xfId="0" applyFont="1" applyFill="1"/>
    <xf numFmtId="0" fontId="68" fillId="0" borderId="0" xfId="0" applyFont="1" applyFill="1" applyBorder="1"/>
    <xf numFmtId="166" fontId="68" fillId="0" borderId="0" xfId="10" applyNumberFormat="1" applyFont="1" applyFill="1" applyBorder="1"/>
    <xf numFmtId="0" fontId="68" fillId="0" borderId="29" xfId="0" applyFont="1" applyFill="1" applyBorder="1" applyAlignment="1">
      <alignment horizontal="center"/>
    </xf>
    <xf numFmtId="0" fontId="68" fillId="0" borderId="19" xfId="0" applyFont="1" applyFill="1" applyBorder="1" applyAlignment="1">
      <alignment horizontal="center"/>
    </xf>
    <xf numFmtId="0" fontId="68" fillId="0" borderId="30" xfId="0" applyFont="1" applyFill="1" applyBorder="1" applyAlignment="1">
      <alignment horizontal="center"/>
    </xf>
    <xf numFmtId="0" fontId="68" fillId="0" borderId="31" xfId="0" applyFont="1" applyFill="1" applyBorder="1"/>
    <xf numFmtId="168" fontId="12" fillId="0" borderId="28" xfId="27" applyFont="1" applyFill="1" applyBorder="1" applyAlignment="1"/>
    <xf numFmtId="0" fontId="68" fillId="0" borderId="31" xfId="0" applyFont="1" applyFill="1" applyBorder="1" applyAlignment="1">
      <alignment horizontal="center"/>
    </xf>
    <xf numFmtId="0" fontId="68" fillId="0" borderId="28" xfId="0" applyFont="1" applyFill="1" applyBorder="1" applyAlignment="1">
      <alignment horizontal="center"/>
    </xf>
    <xf numFmtId="168" fontId="68" fillId="0" borderId="0" xfId="27" applyFont="1" applyFill="1" applyBorder="1" applyAlignment="1">
      <alignment horizontal="center" wrapText="1"/>
    </xf>
    <xf numFmtId="0" fontId="68" fillId="0" borderId="0" xfId="0" applyFont="1" applyFill="1" applyBorder="1" applyAlignment="1">
      <alignment horizontal="center" wrapText="1"/>
    </xf>
    <xf numFmtId="168" fontId="12" fillId="0" borderId="0" xfId="27" applyFont="1" applyFill="1" applyBorder="1" applyAlignment="1">
      <alignment horizontal="center" wrapText="1"/>
    </xf>
    <xf numFmtId="168" fontId="12" fillId="0" borderId="28" xfId="27" applyFont="1" applyFill="1" applyBorder="1" applyAlignment="1">
      <alignment horizontal="center"/>
    </xf>
    <xf numFmtId="0" fontId="68" fillId="0" borderId="28" xfId="0" applyFont="1" applyFill="1" applyBorder="1" applyAlignment="1">
      <alignment horizontal="center" wrapText="1"/>
    </xf>
    <xf numFmtId="43" fontId="68" fillId="0" borderId="0" xfId="8" applyFont="1" applyFill="1" applyBorder="1"/>
    <xf numFmtId="172" fontId="68" fillId="0" borderId="0" xfId="8" applyNumberFormat="1" applyFont="1" applyFill="1" applyBorder="1"/>
    <xf numFmtId="43" fontId="68" fillId="0" borderId="28" xfId="8" applyFont="1" applyFill="1" applyBorder="1"/>
    <xf numFmtId="0" fontId="68" fillId="10" borderId="31" xfId="0" applyFont="1" applyFill="1" applyBorder="1"/>
    <xf numFmtId="0" fontId="68" fillId="10" borderId="0" xfId="0" applyFont="1" applyFill="1" applyBorder="1"/>
    <xf numFmtId="181" fontId="68" fillId="0" borderId="0" xfId="8" applyNumberFormat="1" applyFont="1" applyFill="1" applyBorder="1" applyAlignment="1"/>
    <xf numFmtId="0" fontId="68" fillId="0" borderId="12" xfId="0" applyFont="1" applyFill="1" applyBorder="1"/>
    <xf numFmtId="43" fontId="68" fillId="0" borderId="12" xfId="8" applyFont="1" applyFill="1" applyBorder="1"/>
    <xf numFmtId="10" fontId="68" fillId="0" borderId="0" xfId="12" applyNumberFormat="1" applyFont="1" applyFill="1" applyBorder="1"/>
    <xf numFmtId="164" fontId="68" fillId="0" borderId="28" xfId="48" applyNumberFormat="1" applyFont="1" applyFill="1" applyBorder="1"/>
    <xf numFmtId="164" fontId="68" fillId="0" borderId="12" xfId="8" applyNumberFormat="1" applyFont="1" applyFill="1" applyBorder="1"/>
    <xf numFmtId="164" fontId="68" fillId="0" borderId="26" xfId="8" applyNumberFormat="1" applyFont="1" applyFill="1" applyBorder="1"/>
    <xf numFmtId="168" fontId="86" fillId="10" borderId="0" xfId="35" applyFont="1" applyFill="1" applyAlignment="1"/>
    <xf numFmtId="164" fontId="68" fillId="0" borderId="21" xfId="8" applyNumberFormat="1" applyFont="1" applyFill="1" applyBorder="1"/>
    <xf numFmtId="168" fontId="68" fillId="10" borderId="27" xfId="50" applyFont="1" applyFill="1" applyBorder="1" applyAlignment="1"/>
    <xf numFmtId="168" fontId="68" fillId="10" borderId="0" xfId="35" applyFont="1" applyFill="1" applyBorder="1"/>
    <xf numFmtId="10" fontId="68" fillId="0" borderId="26" xfId="12" applyNumberFormat="1" applyFont="1" applyFill="1" applyBorder="1"/>
    <xf numFmtId="43" fontId="68" fillId="0" borderId="0" xfId="8" applyNumberFormat="1" applyFont="1" applyFill="1"/>
    <xf numFmtId="168" fontId="69" fillId="0" borderId="0" xfId="25" quotePrefix="1" applyFont="1" applyFill="1" applyAlignment="1">
      <alignment horizontal="center"/>
    </xf>
    <xf numFmtId="0" fontId="68" fillId="0" borderId="0" xfId="56" applyNumberFormat="1" applyFont="1" applyFill="1" applyAlignment="1">
      <alignment horizontal="center"/>
    </xf>
    <xf numFmtId="168" fontId="68" fillId="0" borderId="0" xfId="56" applyFont="1" applyFill="1" applyAlignment="1"/>
    <xf numFmtId="0" fontId="67" fillId="0" borderId="0" xfId="56" applyNumberFormat="1" applyFont="1" applyFill="1" applyAlignment="1">
      <alignment horizontal="center"/>
    </xf>
    <xf numFmtId="0" fontId="68" fillId="0" borderId="0" xfId="56" applyNumberFormat="1" applyFont="1" applyFill="1" applyAlignment="1">
      <alignment horizontal="center" wrapText="1"/>
    </xf>
    <xf numFmtId="0" fontId="68" fillId="0" borderId="0" xfId="57" applyFont="1" applyFill="1" applyAlignment="1">
      <alignment horizontal="left" wrapText="1"/>
    </xf>
    <xf numFmtId="168" fontId="69" fillId="0" borderId="0" xfId="56" applyFont="1" applyFill="1" applyAlignment="1">
      <alignment horizontal="center" wrapText="1"/>
    </xf>
    <xf numFmtId="168" fontId="68" fillId="0" borderId="0" xfId="56" applyFont="1" applyFill="1" applyAlignment="1">
      <alignment wrapText="1"/>
    </xf>
    <xf numFmtId="168" fontId="67" fillId="0" borderId="0" xfId="56" applyFont="1" applyFill="1" applyAlignment="1"/>
    <xf numFmtId="168" fontId="68" fillId="0" borderId="29" xfId="35" applyFont="1" applyFill="1" applyBorder="1" applyAlignment="1">
      <alignment horizontal="center"/>
    </xf>
    <xf numFmtId="0" fontId="68" fillId="0" borderId="0" xfId="0" applyFont="1" applyFill="1" applyBorder="1" applyAlignment="1">
      <alignment horizontal="center"/>
    </xf>
    <xf numFmtId="164" fontId="25" fillId="0" borderId="0" xfId="0" applyNumberFormat="1" applyFont="1" applyFill="1" applyBorder="1" applyAlignment="1"/>
    <xf numFmtId="164" fontId="25" fillId="0" borderId="12" xfId="0" applyNumberFormat="1" applyFont="1" applyFill="1" applyBorder="1" applyAlignment="1"/>
    <xf numFmtId="168" fontId="35" fillId="0" borderId="0" xfId="58" applyAlignment="1"/>
    <xf numFmtId="168" fontId="35" fillId="10" borderId="0" xfId="58" applyFill="1" applyAlignment="1"/>
    <xf numFmtId="166" fontId="68" fillId="10" borderId="0" xfId="59" quotePrefix="1" applyNumberFormat="1" applyFont="1" applyFill="1" applyAlignment="1">
      <alignment horizontal="center"/>
    </xf>
    <xf numFmtId="168" fontId="86" fillId="10" borderId="0" xfId="58" applyFont="1" applyFill="1" applyAlignment="1"/>
    <xf numFmtId="166" fontId="68" fillId="0" borderId="0" xfId="60" quotePrefix="1" applyNumberFormat="1" applyFont="1" applyFill="1" applyAlignment="1">
      <alignment horizontal="left"/>
    </xf>
    <xf numFmtId="0" fontId="69" fillId="0" borderId="0" xfId="26" quotePrefix="1" applyFont="1" applyFill="1" applyAlignment="1">
      <alignment horizontal="center"/>
    </xf>
    <xf numFmtId="175" fontId="25" fillId="0" borderId="0" xfId="0" applyNumberFormat="1" applyFont="1" applyAlignment="1">
      <alignment horizontal="center"/>
    </xf>
    <xf numFmtId="0" fontId="89" fillId="0" borderId="0" xfId="0" applyFont="1"/>
    <xf numFmtId="0" fontId="88" fillId="0" borderId="0" xfId="0" applyFont="1"/>
    <xf numFmtId="0" fontId="90" fillId="10" borderId="0" xfId="0" applyFont="1" applyFill="1"/>
    <xf numFmtId="0" fontId="89" fillId="10" borderId="0" xfId="0" applyFont="1" applyFill="1"/>
    <xf numFmtId="0" fontId="64" fillId="0" borderId="0" xfId="0" applyFont="1"/>
    <xf numFmtId="0" fontId="92" fillId="12" borderId="0" xfId="0" applyFont="1" applyFill="1"/>
    <xf numFmtId="41" fontId="68" fillId="0" borderId="0" xfId="26" applyNumberFormat="1" applyFont="1" applyFill="1"/>
    <xf numFmtId="0" fontId="81" fillId="0" borderId="0" xfId="0" applyFont="1" applyAlignment="1">
      <alignment wrapText="1"/>
    </xf>
    <xf numFmtId="0" fontId="93" fillId="0" borderId="0" xfId="0" applyFont="1" applyAlignment="1">
      <alignment horizontal="center"/>
    </xf>
    <xf numFmtId="0" fontId="20" fillId="0" borderId="0" xfId="0" applyFont="1" applyFill="1" applyBorder="1" applyAlignment="1">
      <alignment horizontal="center" wrapText="1"/>
    </xf>
    <xf numFmtId="0" fontId="25" fillId="0" borderId="0" xfId="0" applyFont="1" applyFill="1" applyAlignment="1">
      <alignment horizontal="right"/>
    </xf>
    <xf numFmtId="0" fontId="25" fillId="0" borderId="0" xfId="0" applyFont="1" applyFill="1" applyAlignment="1">
      <alignment vertical="center"/>
    </xf>
    <xf numFmtId="0" fontId="21" fillId="0" borderId="0" xfId="0" applyFont="1" applyFill="1" applyBorder="1" applyAlignment="1">
      <alignment horizontal="left"/>
    </xf>
    <xf numFmtId="164" fontId="12" fillId="0" borderId="0" xfId="0" applyNumberFormat="1" applyFont="1" applyFill="1" applyBorder="1"/>
    <xf numFmtId="0" fontId="0" fillId="0" borderId="0" xfId="0" applyFont="1" applyFill="1" applyBorder="1"/>
    <xf numFmtId="0" fontId="87" fillId="0" borderId="1" xfId="0" applyFont="1" applyFill="1" applyBorder="1"/>
    <xf numFmtId="0" fontId="0" fillId="0" borderId="1" xfId="0" applyFont="1" applyFill="1" applyBorder="1"/>
    <xf numFmtId="164" fontId="12" fillId="0" borderId="1" xfId="1" applyNumberFormat="1" applyFont="1" applyFill="1" applyBorder="1"/>
    <xf numFmtId="164" fontId="12" fillId="0" borderId="1" xfId="0" applyNumberFormat="1" applyFont="1" applyFill="1" applyBorder="1"/>
    <xf numFmtId="0" fontId="12" fillId="0" borderId="8" xfId="0" applyFont="1" applyFill="1" applyBorder="1"/>
    <xf numFmtId="0" fontId="20" fillId="4" borderId="4" xfId="0" applyFont="1" applyFill="1" applyBorder="1" applyAlignment="1">
      <alignment horizontal="center" wrapText="1"/>
    </xf>
    <xf numFmtId="0" fontId="23" fillId="4" borderId="4" xfId="0" applyFont="1" applyFill="1" applyBorder="1" applyAlignment="1">
      <alignment wrapText="1"/>
    </xf>
    <xf numFmtId="0" fontId="23" fillId="4" borderId="3" xfId="0" applyFont="1" applyFill="1" applyBorder="1" applyAlignment="1">
      <alignment wrapText="1"/>
    </xf>
    <xf numFmtId="0" fontId="23" fillId="0" borderId="0" xfId="0" applyFont="1" applyFill="1" applyBorder="1" applyAlignment="1">
      <alignment wrapText="1"/>
    </xf>
    <xf numFmtId="0" fontId="20" fillId="4" borderId="2" xfId="0" applyFont="1" applyFill="1" applyBorder="1" applyAlignment="1">
      <alignment horizontal="center" wrapText="1"/>
    </xf>
    <xf numFmtId="164" fontId="14" fillId="0" borderId="0" xfId="10" applyNumberFormat="1" applyFont="1" applyFill="1"/>
    <xf numFmtId="164" fontId="14" fillId="0" borderId="0" xfId="8" applyNumberFormat="1" applyFont="1" applyFill="1"/>
    <xf numFmtId="0" fontId="23" fillId="0" borderId="4" xfId="0" applyFont="1" applyFill="1" applyBorder="1" applyAlignment="1">
      <alignment horizontal="center"/>
    </xf>
    <xf numFmtId="0" fontId="23" fillId="0" borderId="3" xfId="0" applyFont="1" applyFill="1" applyBorder="1" applyAlignment="1">
      <alignment horizontal="center"/>
    </xf>
    <xf numFmtId="164" fontId="14" fillId="2" borderId="0" xfId="8" applyNumberFormat="1" applyFont="1" applyFill="1"/>
    <xf numFmtId="0" fontId="20" fillId="3" borderId="4" xfId="0" applyFont="1" applyFill="1" applyBorder="1" applyAlignment="1">
      <alignment horizontal="center" wrapText="1"/>
    </xf>
    <xf numFmtId="0" fontId="23" fillId="3" borderId="4" xfId="0" applyFont="1" applyFill="1" applyBorder="1" applyAlignment="1">
      <alignment wrapText="1"/>
    </xf>
    <xf numFmtId="0" fontId="23" fillId="3" borderId="3" xfId="0" applyFont="1" applyFill="1" applyBorder="1" applyAlignment="1">
      <alignment wrapText="1"/>
    </xf>
    <xf numFmtId="0" fontId="20" fillId="3" borderId="4" xfId="0" applyFont="1" applyFill="1" applyBorder="1" applyAlignment="1">
      <alignment wrapText="1"/>
    </xf>
    <xf numFmtId="0" fontId="0" fillId="0" borderId="5" xfId="0" applyBorder="1"/>
    <xf numFmtId="0" fontId="12" fillId="0" borderId="6" xfId="0" applyFont="1" applyBorder="1" applyAlignment="1">
      <alignment horizontal="left" wrapText="1"/>
    </xf>
    <xf numFmtId="43" fontId="25" fillId="0" borderId="0" xfId="8" applyFont="1" applyFill="1"/>
    <xf numFmtId="0" fontId="20" fillId="3" borderId="4" xfId="0" applyFont="1" applyFill="1" applyBorder="1" applyAlignment="1">
      <alignment horizontal="center" wrapText="1"/>
    </xf>
    <xf numFmtId="0" fontId="12" fillId="0" borderId="6" xfId="0" applyFont="1" applyBorder="1" applyAlignment="1">
      <alignment horizontal="left" wrapText="1"/>
    </xf>
    <xf numFmtId="164" fontId="86" fillId="10" borderId="0" xfId="48" applyNumberFormat="1" applyFont="1" applyFill="1" applyAlignment="1"/>
    <xf numFmtId="0" fontId="19" fillId="0" borderId="5" xfId="0" applyFont="1" applyBorder="1" applyAlignment="1">
      <alignment horizontal="center"/>
    </xf>
    <xf numFmtId="0" fontId="19" fillId="0" borderId="0" xfId="0" applyFont="1" applyAlignment="1">
      <alignment horizontal="center"/>
    </xf>
    <xf numFmtId="0" fontId="19" fillId="0" borderId="6" xfId="0" applyFont="1" applyBorder="1" applyAlignment="1">
      <alignment horizontal="center"/>
    </xf>
    <xf numFmtId="0" fontId="20" fillId="0" borderId="0" xfId="0" applyFont="1" applyAlignment="1">
      <alignment horizontal="center" wrapText="1"/>
    </xf>
    <xf numFmtId="0" fontId="23" fillId="0" borderId="0" xfId="0" applyFont="1" applyAlignment="1">
      <alignment horizontal="center" wrapText="1"/>
    </xf>
    <xf numFmtId="0" fontId="23" fillId="0" borderId="6" xfId="0" applyFont="1" applyBorder="1" applyAlignment="1">
      <alignment horizontal="center" wrapText="1"/>
    </xf>
    <xf numFmtId="0" fontId="6" fillId="0" borderId="0" xfId="0" applyFont="1" applyAlignment="1">
      <alignment horizontal="center"/>
    </xf>
    <xf numFmtId="0" fontId="6" fillId="0" borderId="0" xfId="0" applyFont="1" applyAlignment="1">
      <alignment horizontal="left"/>
    </xf>
    <xf numFmtId="0" fontId="21" fillId="0" borderId="0" xfId="0" applyFont="1" applyAlignment="1">
      <alignment horizontal="left"/>
    </xf>
    <xf numFmtId="3" fontId="22" fillId="0" borderId="0" xfId="0" applyNumberFormat="1" applyFont="1" applyAlignment="1">
      <alignment horizontal="center"/>
    </xf>
    <xf numFmtId="43" fontId="68" fillId="0" borderId="0" xfId="26" applyNumberFormat="1" applyFont="1" applyFill="1" applyAlignment="1">
      <alignment horizontal="center"/>
    </xf>
    <xf numFmtId="164" fontId="68" fillId="0" borderId="0" xfId="52" applyNumberFormat="1" applyFont="1" applyFill="1"/>
    <xf numFmtId="0" fontId="62" fillId="0" borderId="0" xfId="0" applyFont="1"/>
    <xf numFmtId="0" fontId="62" fillId="0" borderId="0" xfId="0" applyFont="1" applyAlignment="1">
      <alignment horizontal="center"/>
    </xf>
    <xf numFmtId="0" fontId="95" fillId="0" borderId="0" xfId="34" applyFont="1" applyFill="1" applyAlignment="1">
      <alignment horizontal="center"/>
    </xf>
    <xf numFmtId="164" fontId="62" fillId="0" borderId="0" xfId="8" applyNumberFormat="1" applyFont="1" applyAlignment="1">
      <alignment horizontal="center"/>
    </xf>
    <xf numFmtId="0" fontId="69" fillId="0" borderId="0" xfId="26" applyFont="1" applyFill="1"/>
    <xf numFmtId="0" fontId="69" fillId="0" borderId="0" xfId="0" applyFont="1" applyFill="1" applyAlignment="1"/>
    <xf numFmtId="168" fontId="96" fillId="0" borderId="0" xfId="35" applyFont="1" applyAlignment="1"/>
    <xf numFmtId="164" fontId="8" fillId="0" borderId="0" xfId="143" applyNumberFormat="1" applyFill="1" applyAlignment="1">
      <alignment wrapText="1"/>
    </xf>
    <xf numFmtId="166" fontId="8" fillId="0" borderId="0" xfId="62" applyNumberFormat="1" applyFill="1"/>
    <xf numFmtId="165" fontId="25" fillId="0" borderId="0" xfId="12" applyNumberFormat="1" applyFont="1" applyFill="1" applyBorder="1" applyAlignment="1"/>
    <xf numFmtId="164" fontId="25"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5" fillId="0" borderId="0" xfId="10" applyNumberFormat="1" applyFont="1" applyFill="1"/>
    <xf numFmtId="166" fontId="25" fillId="0" borderId="0" xfId="0" applyNumberFormat="1" applyFont="1" applyFill="1" applyAlignment="1"/>
    <xf numFmtId="165" fontId="25" fillId="0" borderId="0" xfId="12" applyNumberFormat="1" applyFont="1" applyFill="1" applyAlignment="1"/>
    <xf numFmtId="174" fontId="25" fillId="0" borderId="0" xfId="12" applyNumberFormat="1" applyFont="1" applyFill="1" applyAlignment="1"/>
    <xf numFmtId="174" fontId="25" fillId="0" borderId="0" xfId="12" applyNumberFormat="1" applyFont="1" applyFill="1" applyBorder="1" applyAlignment="1"/>
    <xf numFmtId="165" fontId="25" fillId="0" borderId="0" xfId="0" applyNumberFormat="1" applyFont="1" applyFill="1" applyAlignment="1">
      <alignment horizontal="right"/>
    </xf>
    <xf numFmtId="175" fontId="36" fillId="0" borderId="0" xfId="12" applyNumberFormat="1" applyFont="1" applyFill="1" applyAlignment="1">
      <alignment horizontal="right"/>
    </xf>
    <xf numFmtId="165" fontId="37" fillId="0" borderId="0" xfId="0" applyNumberFormat="1" applyFont="1" applyFill="1" applyAlignment="1">
      <alignment horizontal="right"/>
    </xf>
    <xf numFmtId="165" fontId="25" fillId="0" borderId="0" xfId="0" applyNumberFormat="1" applyFont="1" applyFill="1" applyBorder="1" applyAlignment="1">
      <alignment horizontal="right"/>
    </xf>
    <xf numFmtId="164" fontId="25" fillId="0" borderId="0" xfId="8" applyNumberFormat="1" applyFont="1" applyFill="1" applyBorder="1"/>
    <xf numFmtId="175" fontId="25" fillId="0" borderId="0" xfId="0" applyNumberFormat="1" applyFont="1" applyFill="1" applyAlignment="1"/>
    <xf numFmtId="175" fontId="25" fillId="0" borderId="0" xfId="0" applyNumberFormat="1" applyFont="1" applyFill="1" applyAlignment="1">
      <alignment horizontal="center"/>
    </xf>
    <xf numFmtId="171" fontId="25" fillId="0" borderId="0" xfId="0" applyNumberFormat="1" applyFont="1" applyFill="1" applyBorder="1" applyAlignment="1"/>
    <xf numFmtId="43" fontId="25" fillId="0" borderId="0" xfId="12" applyNumberFormat="1" applyFont="1" applyFill="1" applyAlignment="1"/>
    <xf numFmtId="164" fontId="36" fillId="0" borderId="0" xfId="8" applyNumberFormat="1" applyFont="1" applyFill="1" applyBorder="1" applyAlignment="1">
      <alignment horizontal="right"/>
    </xf>
    <xf numFmtId="37" fontId="36" fillId="0" borderId="0" xfId="0" applyNumberFormat="1" applyFont="1" applyFill="1" applyBorder="1" applyAlignment="1">
      <alignment horizontal="right"/>
    </xf>
    <xf numFmtId="37" fontId="25" fillId="0" borderId="0" xfId="0" applyNumberFormat="1" applyFont="1" applyFill="1" applyBorder="1" applyAlignment="1">
      <alignment horizontal="center"/>
    </xf>
    <xf numFmtId="37" fontId="33"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76" fontId="25" fillId="0" borderId="0" xfId="12" applyNumberFormat="1" applyFont="1" applyFill="1"/>
    <xf numFmtId="43" fontId="25" fillId="0" borderId="0" xfId="0" applyNumberFormat="1" applyFont="1" applyFill="1"/>
    <xf numFmtId="10" fontId="68" fillId="10" borderId="0" xfId="47" applyNumberFormat="1" applyFont="1" applyFill="1" applyAlignment="1"/>
    <xf numFmtId="0" fontId="0" fillId="0" borderId="0" xfId="0" applyAlignment="1"/>
    <xf numFmtId="0" fontId="0" fillId="0" borderId="0" xfId="0" applyAlignment="1">
      <alignment horizontal="center"/>
    </xf>
    <xf numFmtId="0" fontId="44" fillId="0" borderId="0" xfId="14" applyFont="1" applyFill="1" applyAlignment="1">
      <alignment horizontal="center" wrapText="1"/>
    </xf>
    <xf numFmtId="9" fontId="8" fillId="0" borderId="0" xfId="47" applyFont="1" applyFill="1" applyAlignment="1">
      <alignment wrapText="1"/>
    </xf>
    <xf numFmtId="166" fontId="46" fillId="0" borderId="0" xfId="46"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7" applyNumberFormat="1" applyFont="1" applyFill="1" applyAlignment="1">
      <alignment wrapText="1"/>
    </xf>
    <xf numFmtId="0" fontId="46" fillId="0" borderId="0" xfId="0" applyFont="1" applyFill="1" applyAlignment="1">
      <alignment wrapText="1"/>
    </xf>
    <xf numFmtId="0" fontId="46" fillId="0" borderId="0" xfId="0" applyFont="1"/>
    <xf numFmtId="0" fontId="46" fillId="0" borderId="0" xfId="0" applyFont="1" applyAlignment="1">
      <alignment wrapText="1"/>
    </xf>
    <xf numFmtId="0" fontId="12" fillId="0" borderId="0" xfId="0" applyFont="1" applyFill="1"/>
    <xf numFmtId="0" fontId="20" fillId="0" borderId="2" xfId="0" applyFont="1" applyFill="1" applyBorder="1" applyAlignment="1">
      <alignment horizontal="center" wrapText="1"/>
    </xf>
    <xf numFmtId="0" fontId="20" fillId="0" borderId="4" xfId="0" applyFont="1" applyFill="1" applyBorder="1" applyAlignment="1">
      <alignment wrapText="1"/>
    </xf>
    <xf numFmtId="0" fontId="23" fillId="0" borderId="4" xfId="0" applyFont="1" applyFill="1" applyBorder="1" applyAlignment="1">
      <alignment wrapText="1"/>
    </xf>
    <xf numFmtId="0" fontId="0" fillId="0" borderId="4" xfId="0" applyFill="1" applyBorder="1"/>
    <xf numFmtId="0" fontId="0" fillId="0" borderId="3" xfId="0" applyFill="1" applyBorder="1"/>
    <xf numFmtId="0" fontId="20" fillId="0" borderId="2" xfId="0" applyFont="1" applyFill="1" applyBorder="1"/>
    <xf numFmtId="0" fontId="21" fillId="0" borderId="0" xfId="0" applyFont="1" applyFill="1" applyAlignment="1">
      <alignment horizontal="left"/>
    </xf>
    <xf numFmtId="0" fontId="21" fillId="0" borderId="0" xfId="0" applyFont="1" applyFill="1"/>
    <xf numFmtId="3" fontId="22" fillId="0" borderId="0" xfId="0" applyNumberFormat="1" applyFont="1" applyFill="1" applyAlignment="1">
      <alignment horizontal="center"/>
    </xf>
    <xf numFmtId="3" fontId="21" fillId="0" borderId="6" xfId="0" applyNumberFormat="1" applyFont="1" applyFill="1" applyBorder="1" applyAlignment="1">
      <alignment horizontal="center"/>
    </xf>
    <xf numFmtId="164" fontId="12" fillId="0" borderId="0" xfId="0" applyNumberFormat="1" applyFont="1" applyFill="1"/>
    <xf numFmtId="0" fontId="0" fillId="0" borderId="6" xfId="0" applyFill="1" applyBorder="1"/>
    <xf numFmtId="0" fontId="6" fillId="0" borderId="0" xfId="0" applyFont="1" applyFill="1" applyAlignment="1">
      <alignment horizontal="center"/>
    </xf>
    <xf numFmtId="0" fontId="6" fillId="0" borderId="6" xfId="0" applyFont="1" applyFill="1" applyBorder="1" applyAlignment="1">
      <alignment horizontal="left"/>
    </xf>
    <xf numFmtId="0" fontId="69" fillId="0" borderId="5" xfId="26" quotePrefix="1" applyFont="1" applyFill="1" applyBorder="1" applyAlignment="1">
      <alignment horizontal="left" wrapText="1"/>
    </xf>
    <xf numFmtId="0" fontId="69" fillId="0" borderId="0" xfId="26" applyFont="1" applyFill="1" applyAlignment="1">
      <alignment wrapText="1"/>
    </xf>
    <xf numFmtId="166" fontId="0" fillId="0" borderId="0" xfId="6" applyNumberFormat="1" applyFont="1" applyFill="1"/>
    <xf numFmtId="9" fontId="12" fillId="0" borderId="5" xfId="2" applyFont="1" applyFill="1" applyBorder="1" applyAlignment="1">
      <alignment horizontal="left"/>
    </xf>
    <xf numFmtId="0" fontId="6" fillId="0" borderId="7" xfId="0" applyFont="1" applyFill="1" applyBorder="1" applyAlignment="1">
      <alignment horizontal="center"/>
    </xf>
    <xf numFmtId="0" fontId="6" fillId="0" borderId="1" xfId="0" applyFont="1" applyFill="1" applyBorder="1" applyAlignment="1">
      <alignment horizontal="center"/>
    </xf>
    <xf numFmtId="0" fontId="0" fillId="0" borderId="8" xfId="0" applyFill="1" applyBorder="1"/>
    <xf numFmtId="9" fontId="12" fillId="0" borderId="7" xfId="2" applyFont="1" applyFill="1" applyBorder="1" applyAlignment="1">
      <alignment horizontal="left"/>
    </xf>
    <xf numFmtId="0" fontId="25" fillId="0" borderId="0" xfId="0" applyFont="1" applyAlignment="1">
      <alignment horizontal="center"/>
    </xf>
    <xf numFmtId="0" fontId="12" fillId="0" borderId="4" xfId="0" applyFont="1" applyFill="1" applyBorder="1"/>
    <xf numFmtId="0" fontId="12" fillId="0" borderId="3" xfId="0" applyFont="1" applyFill="1" applyBorder="1"/>
    <xf numFmtId="0" fontId="19" fillId="0" borderId="0" xfId="0" applyFont="1" applyFill="1" applyAlignment="1">
      <alignment horizontal="center"/>
    </xf>
    <xf numFmtId="0" fontId="69" fillId="0" borderId="35" xfId="26" quotePrefix="1" applyFont="1" applyFill="1" applyBorder="1" applyAlignment="1">
      <alignment horizontal="left" wrapText="1"/>
    </xf>
    <xf numFmtId="0" fontId="69" fillId="0" borderId="12" xfId="26" applyFont="1" applyFill="1" applyBorder="1"/>
    <xf numFmtId="0" fontId="69" fillId="0" borderId="12" xfId="26" applyFont="1" applyFill="1" applyBorder="1" applyAlignment="1">
      <alignment wrapText="1"/>
    </xf>
    <xf numFmtId="0" fontId="69" fillId="0" borderId="12" xfId="26" applyFont="1" applyFill="1" applyBorder="1" applyAlignment="1">
      <alignment horizontal="center" wrapText="1"/>
    </xf>
    <xf numFmtId="3" fontId="68" fillId="0" borderId="35" xfId="33" applyNumberFormat="1" applyFont="1" applyFill="1" applyBorder="1" applyAlignment="1">
      <alignment horizontal="center" wrapText="1"/>
    </xf>
    <xf numFmtId="0" fontId="68" fillId="0" borderId="12" xfId="33" applyFont="1" applyFill="1" applyBorder="1" applyAlignment="1">
      <alignment horizontal="center" wrapText="1"/>
    </xf>
    <xf numFmtId="3" fontId="68" fillId="0" borderId="12" xfId="33" applyNumberFormat="1" applyFont="1" applyFill="1" applyBorder="1" applyAlignment="1">
      <alignment horizontal="center" wrapText="1"/>
    </xf>
    <xf numFmtId="0" fontId="0" fillId="0" borderId="12" xfId="0" applyFill="1" applyBorder="1" applyAlignment="1">
      <alignment wrapText="1"/>
    </xf>
    <xf numFmtId="0" fontId="0" fillId="0" borderId="12" xfId="0" applyFill="1" applyBorder="1"/>
    <xf numFmtId="0" fontId="12" fillId="0" borderId="12" xfId="0" applyFont="1" applyFill="1" applyBorder="1"/>
    <xf numFmtId="0" fontId="12" fillId="0" borderId="13" xfId="0" applyFont="1" applyFill="1" applyBorder="1"/>
    <xf numFmtId="168" fontId="68" fillId="0" borderId="0" xfId="25" applyFont="1" applyFill="1" applyAlignment="1">
      <alignment horizontal="left"/>
    </xf>
    <xf numFmtId="164" fontId="68" fillId="0" borderId="0" xfId="8" applyNumberFormat="1" applyFont="1" applyFill="1" applyAlignment="1">
      <alignment horizontal="center"/>
    </xf>
    <xf numFmtId="10" fontId="68" fillId="0" borderId="0" xfId="8" applyNumberFormat="1" applyFont="1" applyFill="1" applyAlignment="1">
      <alignment horizontal="center"/>
    </xf>
    <xf numFmtId="164" fontId="68" fillId="0" borderId="0" xfId="48" applyNumberFormat="1" applyFont="1" applyFill="1"/>
    <xf numFmtId="164" fontId="68" fillId="0" borderId="0" xfId="48" applyNumberFormat="1" applyFont="1" applyFill="1" applyAlignment="1">
      <alignment horizontal="center" wrapText="1"/>
    </xf>
    <xf numFmtId="182" fontId="0" fillId="0" borderId="6" xfId="0" applyNumberFormat="1" applyFill="1" applyBorder="1"/>
    <xf numFmtId="164" fontId="68" fillId="0" borderId="0" xfId="8" applyNumberFormat="1" applyFont="1" applyFill="1" applyAlignment="1">
      <alignment horizontal="center" wrapText="1"/>
    </xf>
    <xf numFmtId="164" fontId="98" fillId="0" borderId="40" xfId="48" applyNumberFormat="1" applyFont="1" applyFill="1" applyBorder="1"/>
    <xf numFmtId="164" fontId="13" fillId="0" borderId="41" xfId="48" applyNumberFormat="1" applyFont="1" applyFill="1" applyBorder="1"/>
    <xf numFmtId="168" fontId="68" fillId="0" borderId="0" xfId="25" applyFont="1" applyFill="1"/>
    <xf numFmtId="164" fontId="98" fillId="0" borderId="0" xfId="48" applyNumberFormat="1" applyFont="1" applyFill="1"/>
    <xf numFmtId="164" fontId="13" fillId="0" borderId="0" xfId="48" applyNumberFormat="1" applyFont="1" applyFill="1"/>
    <xf numFmtId="182" fontId="0" fillId="0" borderId="0" xfId="0" applyNumberFormat="1" applyFill="1"/>
    <xf numFmtId="0" fontId="66" fillId="0" borderId="1" xfId="0" applyFont="1" applyFill="1" applyBorder="1" applyAlignment="1">
      <alignment horizontal="left"/>
    </xf>
    <xf numFmtId="164" fontId="12" fillId="0" borderId="36" xfId="48" applyNumberFormat="1" applyFont="1" applyFill="1" applyBorder="1"/>
    <xf numFmtId="164" fontId="12" fillId="0" borderId="37" xfId="48" applyNumberFormat="1" applyFont="1" applyFill="1" applyBorder="1"/>
    <xf numFmtId="164" fontId="12" fillId="0" borderId="39" xfId="48" applyNumberFormat="1" applyFont="1" applyFill="1" applyBorder="1"/>
    <xf numFmtId="164" fontId="12" fillId="0" borderId="41" xfId="48" applyNumberFormat="1" applyFont="1" applyFill="1" applyBorder="1"/>
    <xf numFmtId="0" fontId="99" fillId="0" borderId="0" xfId="0" applyFont="1"/>
    <xf numFmtId="164" fontId="101" fillId="10" borderId="0" xfId="48" applyNumberFormat="1" applyFont="1" applyFill="1" applyProtection="1">
      <protection locked="0"/>
    </xf>
    <xf numFmtId="0" fontId="101" fillId="0" borderId="0" xfId="0" applyFont="1"/>
    <xf numFmtId="0" fontId="73" fillId="0" borderId="0" xfId="0" applyFont="1"/>
    <xf numFmtId="0" fontId="73" fillId="0" borderId="0" xfId="150" applyFont="1" applyAlignment="1">
      <alignment horizontal="center"/>
    </xf>
    <xf numFmtId="43" fontId="73" fillId="0" borderId="0" xfId="8" applyFont="1" applyAlignment="1">
      <alignment horizontal="center"/>
    </xf>
    <xf numFmtId="164" fontId="99" fillId="0" borderId="0" xfId="8" applyNumberFormat="1" applyFont="1"/>
    <xf numFmtId="0" fontId="73" fillId="0" borderId="0" xfId="150" applyFont="1"/>
    <xf numFmtId="10" fontId="73" fillId="0" borderId="0" xfId="12" applyNumberFormat="1" applyFont="1" applyAlignment="1">
      <alignment horizontal="center"/>
    </xf>
    <xf numFmtId="0" fontId="95" fillId="0" borderId="0" xfId="150" applyFont="1" applyAlignment="1">
      <alignment horizontal="center" vertical="center"/>
    </xf>
    <xf numFmtId="10" fontId="73" fillId="0" borderId="0" xfId="12" applyNumberFormat="1" applyFont="1" applyAlignment="1">
      <alignment horizontal="center" vertical="center"/>
    </xf>
    <xf numFmtId="0" fontId="73" fillId="0" borderId="0" xfId="150" applyFont="1" applyAlignment="1">
      <alignment horizontal="left"/>
    </xf>
    <xf numFmtId="172" fontId="73" fillId="0" borderId="0" xfId="8" applyNumberFormat="1" applyFont="1"/>
    <xf numFmtId="0" fontId="95" fillId="0" borderId="0" xfId="150" applyFont="1" applyAlignment="1">
      <alignment horizontal="left" vertical="center"/>
    </xf>
    <xf numFmtId="169" fontId="95" fillId="0" borderId="0" xfId="8" applyNumberFormat="1" applyFont="1" applyAlignment="1">
      <alignment horizontal="center"/>
    </xf>
    <xf numFmtId="0" fontId="73" fillId="0" borderId="0" xfId="150" applyFont="1" applyAlignment="1">
      <alignment horizontal="left" indent="1"/>
    </xf>
    <xf numFmtId="0" fontId="99" fillId="0" borderId="0" xfId="0" applyFont="1" applyAlignment="1">
      <alignment vertical="center" wrapText="1"/>
    </xf>
    <xf numFmtId="0" fontId="53" fillId="0" borderId="0" xfId="20" applyFont="1" applyAlignment="1"/>
    <xf numFmtId="3" fontId="25" fillId="0" borderId="12" xfId="0" applyNumberFormat="1" applyFont="1" applyBorder="1"/>
    <xf numFmtId="3" fontId="25" fillId="0" borderId="12" xfId="0" applyNumberFormat="1" applyFont="1" applyBorder="1" applyAlignment="1">
      <alignment horizontal="center"/>
    </xf>
    <xf numFmtId="3" fontId="38" fillId="0" borderId="0" xfId="0" applyNumberFormat="1" applyFont="1" applyAlignment="1">
      <alignment horizontal="center"/>
    </xf>
    <xf numFmtId="166" fontId="101" fillId="10" borderId="0" xfId="46" applyNumberFormat="1" applyFont="1" applyFill="1" applyProtection="1">
      <protection locked="0"/>
    </xf>
    <xf numFmtId="0" fontId="103" fillId="0" borderId="0" xfId="0" applyFont="1"/>
    <xf numFmtId="0" fontId="103" fillId="0" borderId="0" xfId="26" applyFont="1" applyAlignment="1">
      <alignment horizontal="center"/>
    </xf>
    <xf numFmtId="0" fontId="101" fillId="0" borderId="0" xfId="0" applyFont="1" applyAlignment="1">
      <alignment horizontal="center" wrapText="1"/>
    </xf>
    <xf numFmtId="1" fontId="101" fillId="0" borderId="12" xfId="0" applyNumberFormat="1" applyFont="1" applyBorder="1" applyAlignment="1">
      <alignment horizontal="center"/>
    </xf>
    <xf numFmtId="0" fontId="101" fillId="0" borderId="12" xfId="0" applyFont="1" applyBorder="1"/>
    <xf numFmtId="0" fontId="103" fillId="0" borderId="0" xfId="149" applyFont="1" applyAlignment="1">
      <alignment horizontal="center"/>
    </xf>
    <xf numFmtId="0" fontId="101" fillId="0" borderId="0" xfId="48" applyNumberFormat="1" applyFont="1" applyAlignment="1">
      <alignment horizontal="left"/>
    </xf>
    <xf numFmtId="1" fontId="101" fillId="0" borderId="0" xfId="149" applyNumberFormat="1" applyFont="1" applyAlignment="1">
      <alignment horizontal="center"/>
    </xf>
    <xf numFmtId="164" fontId="101" fillId="0" borderId="12" xfId="149" applyNumberFormat="1" applyFont="1" applyBorder="1" applyAlignment="1" applyProtection="1">
      <alignment horizontal="center"/>
      <protection locked="0"/>
    </xf>
    <xf numFmtId="0" fontId="101" fillId="0" borderId="0" xfId="0" applyFont="1" applyAlignment="1">
      <alignment horizontal="center"/>
    </xf>
    <xf numFmtId="183" fontId="101" fillId="0" borderId="0" xfId="149" applyNumberFormat="1" applyFont="1" applyAlignment="1">
      <alignment horizontal="left"/>
    </xf>
    <xf numFmtId="184" fontId="101" fillId="0" borderId="0" xfId="149" applyNumberFormat="1" applyFont="1" applyAlignment="1">
      <alignment horizontal="center"/>
    </xf>
    <xf numFmtId="166" fontId="101" fillId="0" borderId="0" xfId="46" applyNumberFormat="1" applyFont="1"/>
    <xf numFmtId="166" fontId="101" fillId="0" borderId="0" xfId="0" applyNumberFormat="1" applyFont="1" applyProtection="1">
      <protection locked="0"/>
    </xf>
    <xf numFmtId="164" fontId="101" fillId="0" borderId="0" xfId="48" applyNumberFormat="1" applyFont="1"/>
    <xf numFmtId="184" fontId="101" fillId="0" borderId="0" xfId="0" applyNumberFormat="1" applyFont="1" applyAlignment="1">
      <alignment horizontal="center"/>
    </xf>
    <xf numFmtId="0" fontId="101" fillId="0" borderId="0" xfId="149" applyFont="1" applyAlignment="1">
      <alignment horizontal="left"/>
    </xf>
    <xf numFmtId="166" fontId="101" fillId="0" borderId="21" xfId="46" applyNumberFormat="1" applyFont="1" applyBorder="1" applyProtection="1">
      <protection locked="0"/>
    </xf>
    <xf numFmtId="0" fontId="101" fillId="0" borderId="0" xfId="0" applyFont="1" applyAlignment="1">
      <alignment horizontal="right"/>
    </xf>
    <xf numFmtId="10" fontId="101" fillId="0" borderId="0" xfId="47" applyNumberFormat="1" applyFont="1"/>
    <xf numFmtId="180" fontId="101" fillId="0" borderId="0" xfId="0" applyNumberFormat="1" applyFont="1"/>
    <xf numFmtId="164" fontId="101" fillId="0" borderId="0" xfId="48" quotePrefix="1" applyNumberFormat="1" applyFont="1" applyAlignment="1">
      <alignment horizontal="left"/>
    </xf>
    <xf numFmtId="0" fontId="103" fillId="0" borderId="0" xfId="26" applyFont="1" applyAlignment="1">
      <alignment horizontal="center" wrapText="1"/>
    </xf>
    <xf numFmtId="185" fontId="101" fillId="0" borderId="0" xfId="46" applyNumberFormat="1" applyFont="1"/>
    <xf numFmtId="166" fontId="101" fillId="10" borderId="0" xfId="46" applyNumberFormat="1" applyFont="1" applyFill="1"/>
    <xf numFmtId="169" fontId="101" fillId="0" borderId="0" xfId="48" applyNumberFormat="1" applyFont="1"/>
    <xf numFmtId="164" fontId="101" fillId="10" borderId="0" xfId="48" applyNumberFormat="1" applyFont="1" applyFill="1"/>
    <xf numFmtId="164" fontId="101" fillId="0" borderId="0" xfId="48" applyNumberFormat="1" applyFont="1" applyProtection="1">
      <protection locked="0"/>
    </xf>
    <xf numFmtId="166" fontId="101" fillId="0" borderId="0" xfId="46" applyNumberFormat="1" applyFont="1" applyProtection="1">
      <protection locked="0"/>
    </xf>
    <xf numFmtId="185" fontId="101" fillId="0" borderId="21" xfId="46" applyNumberFormat="1" applyFont="1" applyBorder="1" applyProtection="1">
      <protection locked="0"/>
    </xf>
    <xf numFmtId="164" fontId="101" fillId="0" borderId="0" xfId="48" applyNumberFormat="1" applyFont="1" applyFill="1"/>
    <xf numFmtId="164" fontId="6" fillId="0" borderId="0" xfId="7" applyNumberFormat="1" applyFont="1"/>
    <xf numFmtId="0" fontId="6" fillId="0" borderId="0" xfId="7" applyFont="1"/>
    <xf numFmtId="43" fontId="6" fillId="0" borderId="0" xfId="48" applyFont="1"/>
    <xf numFmtId="0" fontId="0" fillId="0" borderId="6" xfId="0" applyBorder="1"/>
    <xf numFmtId="0" fontId="6" fillId="0" borderId="12" xfId="7" applyFont="1" applyBorder="1"/>
    <xf numFmtId="0" fontId="6" fillId="0" borderId="0" xfId="7" applyFont="1" applyAlignment="1">
      <alignment horizontal="right"/>
    </xf>
    <xf numFmtId="43" fontId="6" fillId="0" borderId="0" xfId="7" applyNumberFormat="1" applyFont="1" applyAlignment="1">
      <alignment horizontal="right"/>
    </xf>
    <xf numFmtId="0" fontId="6" fillId="0" borderId="12" xfId="7" applyFont="1" applyBorder="1" applyAlignment="1">
      <alignment horizontal="right"/>
    </xf>
    <xf numFmtId="164" fontId="6" fillId="0" borderId="1" xfId="7" applyNumberFormat="1" applyFont="1" applyBorder="1"/>
    <xf numFmtId="0" fontId="6" fillId="0" borderId="1" xfId="7" applyFont="1" applyBorder="1"/>
    <xf numFmtId="10" fontId="6" fillId="0" borderId="0" xfId="47" applyNumberFormat="1" applyFont="1" applyAlignment="1">
      <alignment horizontal="right"/>
    </xf>
    <xf numFmtId="0" fontId="8" fillId="0" borderId="0" xfId="33"/>
    <xf numFmtId="0" fontId="68" fillId="0" borderId="0" xfId="25" applyNumberFormat="1" applyFont="1" applyAlignment="1">
      <alignment horizontal="center"/>
    </xf>
    <xf numFmtId="168" fontId="68" fillId="0" borderId="0" xfId="25" applyFont="1"/>
    <xf numFmtId="0" fontId="69" fillId="0" borderId="0" xfId="26" applyFont="1" applyAlignment="1">
      <alignment horizontal="center" wrapText="1"/>
    </xf>
    <xf numFmtId="9" fontId="12" fillId="0" borderId="5" xfId="2" applyFont="1" applyBorder="1" applyAlignment="1">
      <alignment horizontal="left"/>
    </xf>
    <xf numFmtId="166" fontId="8" fillId="10" borderId="0" xfId="7" applyNumberFormat="1" applyFont="1" applyFill="1"/>
    <xf numFmtId="0" fontId="14" fillId="0" borderId="0" xfId="5" applyFont="1" applyFill="1" applyAlignment="1">
      <alignment horizontal="center"/>
    </xf>
    <xf numFmtId="44" fontId="68" fillId="0" borderId="0" xfId="25" applyNumberFormat="1" applyFont="1" applyFill="1" applyBorder="1" applyAlignment="1"/>
    <xf numFmtId="164" fontId="99" fillId="0" borderId="0" xfId="48" applyNumberFormat="1" applyFont="1"/>
    <xf numFmtId="164" fontId="35" fillId="0" borderId="0" xfId="48" applyNumberFormat="1" applyFont="1" applyAlignment="1"/>
    <xf numFmtId="0" fontId="101" fillId="0" borderId="0" xfId="150" applyFont="1" applyFill="1" applyAlignment="1">
      <alignment horizontal="left" indent="1"/>
    </xf>
    <xf numFmtId="0" fontId="103" fillId="0" borderId="0" xfId="150" applyFont="1" applyFill="1" applyAlignment="1">
      <alignment horizontal="left" indent="1"/>
    </xf>
    <xf numFmtId="0" fontId="101" fillId="0" borderId="0" xfId="150" applyFont="1" applyAlignment="1">
      <alignment horizontal="left" indent="1"/>
    </xf>
    <xf numFmtId="164" fontId="101" fillId="0" borderId="0" xfId="0" applyNumberFormat="1" applyFont="1"/>
    <xf numFmtId="10" fontId="101" fillId="0" borderId="0" xfId="47" applyNumberFormat="1" applyFont="1" applyAlignment="1">
      <alignment horizontal="center" vertical="center" wrapText="1"/>
    </xf>
    <xf numFmtId="0" fontId="101" fillId="0" borderId="0" xfId="0" applyFont="1" applyAlignment="1">
      <alignment horizontal="left"/>
    </xf>
    <xf numFmtId="0" fontId="99" fillId="10" borderId="0" xfId="0" applyFont="1" applyFill="1"/>
    <xf numFmtId="0" fontId="10" fillId="3" borderId="4" xfId="0" applyFont="1" applyFill="1" applyBorder="1"/>
    <xf numFmtId="0" fontId="106" fillId="4" borderId="4" xfId="0" applyFont="1" applyFill="1" applyBorder="1"/>
    <xf numFmtId="9" fontId="6" fillId="0" borderId="0" xfId="48" applyNumberFormat="1" applyFont="1" applyAlignment="1">
      <alignment horizontal="center"/>
    </xf>
    <xf numFmtId="10" fontId="6" fillId="0" borderId="0" xfId="47" applyNumberFormat="1" applyFont="1" applyAlignment="1">
      <alignment horizontal="center"/>
    </xf>
    <xf numFmtId="164" fontId="0" fillId="0" borderId="0" xfId="48" applyNumberFormat="1" applyFont="1" applyBorder="1"/>
    <xf numFmtId="164" fontId="19" fillId="0" borderId="0" xfId="48" applyNumberFormat="1" applyFont="1" applyFill="1" applyBorder="1" applyAlignment="1">
      <alignment horizontal="center"/>
    </xf>
    <xf numFmtId="44" fontId="8" fillId="0" borderId="0" xfId="46" applyFont="1" applyAlignment="1">
      <alignment horizontal="center"/>
    </xf>
    <xf numFmtId="0" fontId="8" fillId="0" borderId="0" xfId="7" applyAlignment="1">
      <alignment horizontal="center"/>
    </xf>
    <xf numFmtId="177" fontId="107" fillId="0" borderId="0" xfId="10" applyNumberFormat="1" applyFont="1"/>
    <xf numFmtId="0" fontId="24" fillId="0" borderId="0" xfId="33" applyFont="1"/>
    <xf numFmtId="177" fontId="107" fillId="0" borderId="0" xfId="8" applyNumberFormat="1" applyFont="1"/>
    <xf numFmtId="43" fontId="66" fillId="0" borderId="0" xfId="48" applyFont="1"/>
    <xf numFmtId="164" fontId="0" fillId="0" borderId="0" xfId="0" applyNumberFormat="1" applyBorder="1"/>
    <xf numFmtId="164" fontId="12" fillId="0" borderId="0" xfId="8" applyNumberFormat="1" applyFont="1" applyFill="1"/>
    <xf numFmtId="0" fontId="0" fillId="0" borderId="0" xfId="0"/>
    <xf numFmtId="0" fontId="25" fillId="0" borderId="0" xfId="0" applyFont="1" applyFill="1"/>
    <xf numFmtId="0" fontId="25" fillId="0" borderId="0" xfId="0" applyFont="1" applyAlignment="1"/>
    <xf numFmtId="3" fontId="25" fillId="0" borderId="0" xfId="0" applyNumberFormat="1" applyFont="1" applyAlignment="1"/>
    <xf numFmtId="3" fontId="25" fillId="0" borderId="12" xfId="0" applyNumberFormat="1" applyFont="1" applyFill="1" applyBorder="1" applyAlignment="1"/>
    <xf numFmtId="0" fontId="25" fillId="0" borderId="0" xfId="0" applyFont="1" applyFill="1" applyAlignment="1"/>
    <xf numFmtId="0" fontId="25" fillId="0" borderId="0" xfId="0" applyNumberFormat="1" applyFont="1" applyFill="1" applyBorder="1" applyAlignment="1"/>
    <xf numFmtId="0" fontId="25" fillId="0" borderId="0" xfId="0" applyFont="1" applyFill="1" applyBorder="1"/>
    <xf numFmtId="0" fontId="25" fillId="0" borderId="19" xfId="0" applyFont="1" applyFill="1" applyBorder="1"/>
    <xf numFmtId="0" fontId="25" fillId="0" borderId="0" xfId="0" applyNumberFormat="1" applyFont="1" applyFill="1" applyBorder="1" applyAlignment="1">
      <alignment horizontal="left"/>
    </xf>
    <xf numFmtId="0" fontId="36" fillId="0" borderId="0" xfId="0" applyNumberFormat="1" applyFont="1" applyFill="1" applyBorder="1" applyAlignment="1">
      <alignment horizontal="left"/>
    </xf>
    <xf numFmtId="0" fontId="25" fillId="0" borderId="19" xfId="0" applyNumberFormat="1" applyFont="1" applyFill="1" applyBorder="1" applyAlignment="1">
      <alignment horizontal="left"/>
    </xf>
    <xf numFmtId="0" fontId="25" fillId="0" borderId="0" xfId="0" applyFont="1" applyBorder="1"/>
    <xf numFmtId="3" fontId="25" fillId="0" borderId="0" xfId="0" applyNumberFormat="1" applyFont="1" applyFill="1" applyBorder="1" applyAlignment="1">
      <alignment horizontal="right"/>
    </xf>
    <xf numFmtId="0" fontId="25" fillId="0" borderId="12" xfId="0" applyNumberFormat="1" applyFont="1" applyFill="1" applyBorder="1" applyAlignment="1">
      <alignment horizontal="left"/>
    </xf>
    <xf numFmtId="0" fontId="25" fillId="0" borderId="12" xfId="0" applyFont="1" applyFill="1" applyBorder="1"/>
    <xf numFmtId="3" fontId="25" fillId="0" borderId="0" xfId="48" applyNumberFormat="1" applyFont="1" applyFill="1" applyBorder="1" applyAlignment="1">
      <alignment horizontal="right"/>
    </xf>
    <xf numFmtId="0" fontId="25" fillId="0" borderId="0" xfId="0" applyFont="1"/>
    <xf numFmtId="0" fontId="25" fillId="0" borderId="0" xfId="0" applyFont="1" applyAlignment="1"/>
    <xf numFmtId="0" fontId="25" fillId="0" borderId="0" xfId="0" applyNumberFormat="1" applyFont="1" applyAlignment="1">
      <alignment horizontal="center"/>
    </xf>
    <xf numFmtId="0" fontId="35" fillId="0" borderId="0" xfId="0" applyNumberFormat="1" applyFont="1" applyFill="1"/>
    <xf numFmtId="10" fontId="35" fillId="0" borderId="0" xfId="0" applyNumberFormat="1" applyFont="1" applyFill="1"/>
    <xf numFmtId="0" fontId="25" fillId="0" borderId="0" xfId="0" applyNumberFormat="1" applyFont="1" applyFill="1"/>
    <xf numFmtId="168" fontId="25" fillId="0" borderId="0" xfId="0" applyNumberFormat="1" applyFont="1" applyAlignment="1"/>
    <xf numFmtId="172" fontId="25" fillId="0" borderId="0" xfId="48" applyNumberFormat="1" applyFont="1" applyFill="1"/>
    <xf numFmtId="0" fontId="25" fillId="0" borderId="0" xfId="0" applyNumberFormat="1" applyFont="1" applyAlignment="1">
      <alignment horizontal="left"/>
    </xf>
    <xf numFmtId="0" fontId="25" fillId="0" borderId="0" xfId="0" applyNumberFormat="1" applyFont="1" applyFill="1" applyAlignment="1"/>
    <xf numFmtId="0" fontId="25" fillId="0" borderId="0" xfId="0" applyFont="1"/>
    <xf numFmtId="3" fontId="25" fillId="0" borderId="0" xfId="0" applyNumberFormat="1" applyFont="1" applyFill="1" applyBorder="1" applyAlignment="1"/>
    <xf numFmtId="0" fontId="25" fillId="0" borderId="0" xfId="0" applyNumberFormat="1" applyFont="1" applyAlignment="1">
      <alignment horizontal="center"/>
    </xf>
    <xf numFmtId="0" fontId="25" fillId="0" borderId="0" xfId="0" applyNumberFormat="1" applyFont="1" applyBorder="1" applyAlignment="1">
      <alignment horizontal="left"/>
    </xf>
    <xf numFmtId="3" fontId="37" fillId="0" borderId="0" xfId="0" applyNumberFormat="1" applyFont="1" applyBorder="1" applyAlignment="1">
      <alignment horizontal="right"/>
    </xf>
    <xf numFmtId="0" fontId="25" fillId="0" borderId="0" xfId="0" applyFont="1" applyFill="1" applyBorder="1" applyAlignment="1"/>
    <xf numFmtId="0" fontId="25" fillId="0" borderId="0" xfId="0" applyFont="1" applyAlignment="1"/>
    <xf numFmtId="3" fontId="25" fillId="0" borderId="0" xfId="0" applyNumberFormat="1" applyFont="1" applyBorder="1" applyAlignment="1"/>
    <xf numFmtId="0" fontId="25" fillId="0" borderId="0" xfId="0" applyNumberFormat="1" applyFont="1" applyAlignment="1">
      <alignment horizontal="center"/>
    </xf>
    <xf numFmtId="0" fontId="25" fillId="0" borderId="0" xfId="0" applyNumberFormat="1" applyFont="1" applyAlignment="1">
      <alignment horizontal="left"/>
    </xf>
    <xf numFmtId="0" fontId="25" fillId="0" borderId="12" xfId="0" applyFont="1" applyBorder="1" applyAlignment="1"/>
    <xf numFmtId="3" fontId="25" fillId="0" borderId="12" xfId="0" applyNumberFormat="1" applyFont="1" applyBorder="1" applyAlignment="1"/>
    <xf numFmtId="0" fontId="25" fillId="0" borderId="0" xfId="0" applyNumberFormat="1" applyFont="1" applyBorder="1" applyAlignment="1">
      <alignment horizontal="left"/>
    </xf>
    <xf numFmtId="0" fontId="25" fillId="0" borderId="12" xfId="0" applyNumberFormat="1" applyFont="1" applyBorder="1" applyAlignment="1">
      <alignment horizontal="left"/>
    </xf>
    <xf numFmtId="0" fontId="25" fillId="0" borderId="12" xfId="0" applyNumberFormat="1" applyFont="1" applyBorder="1" applyAlignment="1"/>
    <xf numFmtId="0" fontId="25" fillId="0" borderId="0" xfId="0" applyFont="1" applyFill="1" applyBorder="1" applyAlignment="1"/>
    <xf numFmtId="0" fontId="39" fillId="0" borderId="0" xfId="0" applyNumberFormat="1" applyFont="1" applyFill="1" applyBorder="1" applyAlignment="1">
      <alignment horizontal="center"/>
    </xf>
    <xf numFmtId="3" fontId="39" fillId="0" borderId="0" xfId="0" applyNumberFormat="1" applyFont="1" applyBorder="1" applyAlignment="1"/>
    <xf numFmtId="3" fontId="25" fillId="0" borderId="0" xfId="0" applyNumberFormat="1" applyFont="1"/>
    <xf numFmtId="3" fontId="25" fillId="0" borderId="19" xfId="0" applyNumberFormat="1" applyFont="1" applyBorder="1" applyAlignment="1">
      <alignment horizontal="right"/>
    </xf>
    <xf numFmtId="0" fontId="25" fillId="0" borderId="12" xfId="0" applyFont="1" applyFill="1" applyBorder="1" applyAlignment="1"/>
    <xf numFmtId="3" fontId="38" fillId="0" borderId="0" xfId="0" applyNumberFormat="1" applyFont="1" applyBorder="1" applyAlignment="1">
      <alignment horizontal="right"/>
    </xf>
    <xf numFmtId="3" fontId="39" fillId="0" borderId="0" xfId="0" applyNumberFormat="1" applyFont="1" applyBorder="1" applyAlignment="1">
      <alignment horizontal="right"/>
    </xf>
    <xf numFmtId="3" fontId="25" fillId="10" borderId="0" xfId="0" applyNumberFormat="1" applyFont="1" applyFill="1"/>
    <xf numFmtId="3" fontId="38" fillId="0" borderId="12" xfId="0" applyNumberFormat="1" applyFont="1" applyBorder="1" applyAlignment="1">
      <alignment horizontal="right"/>
    </xf>
    <xf numFmtId="3" fontId="25" fillId="10" borderId="12" xfId="0" applyNumberFormat="1" applyFont="1" applyFill="1" applyBorder="1"/>
    <xf numFmtId="172" fontId="25" fillId="0" borderId="0" xfId="0" applyNumberFormat="1" applyFont="1" applyFill="1"/>
    <xf numFmtId="0" fontId="0" fillId="0" borderId="0" xfId="0"/>
    <xf numFmtId="0" fontId="25" fillId="0" borderId="0" xfId="0" applyFont="1"/>
    <xf numFmtId="0" fontId="25" fillId="0" borderId="0" xfId="0" applyNumberFormat="1" applyFont="1" applyFill="1" applyBorder="1" applyAlignment="1">
      <alignment horizontal="center"/>
    </xf>
    <xf numFmtId="168" fontId="25" fillId="0" borderId="0" xfId="0" applyNumberFormat="1" applyFont="1"/>
    <xf numFmtId="173" fontId="25" fillId="0" borderId="12" xfId="0" applyNumberFormat="1" applyFont="1" applyBorder="1" applyAlignment="1">
      <alignment horizontal="center"/>
    </xf>
    <xf numFmtId="172" fontId="25" fillId="0" borderId="12" xfId="12" applyNumberFormat="1" applyFont="1" applyFill="1" applyBorder="1" applyAlignment="1"/>
    <xf numFmtId="0" fontId="62" fillId="4" borderId="3" xfId="0" applyFont="1" applyFill="1" applyBorder="1" applyAlignment="1">
      <alignment horizontal="center"/>
    </xf>
    <xf numFmtId="0" fontId="68" fillId="0" borderId="0" xfId="27" applyNumberFormat="1" applyFont="1" applyAlignment="1" applyProtection="1">
      <alignment horizontal="center"/>
      <protection locked="0"/>
    </xf>
    <xf numFmtId="168" fontId="69" fillId="0" borderId="19" xfId="27" applyFont="1" applyBorder="1"/>
    <xf numFmtId="168" fontId="69" fillId="0" borderId="21" xfId="27" applyFont="1" applyBorder="1" applyAlignment="1">
      <alignment horizontal="center" wrapText="1"/>
    </xf>
    <xf numFmtId="0" fontId="68" fillId="0" borderId="0" xfId="51" applyNumberFormat="1" applyFont="1" applyAlignment="1" applyProtection="1">
      <alignment horizontal="center"/>
      <protection locked="0"/>
    </xf>
    <xf numFmtId="43" fontId="68" fillId="10" borderId="30" xfId="8" applyNumberFormat="1" applyFont="1" applyFill="1" applyBorder="1"/>
    <xf numFmtId="164" fontId="68" fillId="10" borderId="33" xfId="8" applyNumberFormat="1" applyFont="1" applyFill="1" applyBorder="1" applyAlignment="1">
      <alignment horizontal="center"/>
    </xf>
    <xf numFmtId="168" fontId="68" fillId="0" borderId="0" xfId="27" applyFont="1"/>
    <xf numFmtId="0" fontId="68" fillId="0" borderId="0" xfId="8" applyNumberFormat="1" applyFont="1" applyFill="1" applyBorder="1" applyAlignment="1"/>
    <xf numFmtId="164" fontId="12" fillId="0" borderId="6" xfId="4" applyNumberFormat="1" applyFont="1" applyFill="1" applyBorder="1"/>
    <xf numFmtId="0" fontId="68" fillId="10" borderId="27" xfId="0" applyFont="1" applyFill="1" applyBorder="1"/>
    <xf numFmtId="0" fontId="68" fillId="0" borderId="25" xfId="0" applyFont="1" applyFill="1" applyBorder="1"/>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4" fillId="8" borderId="0" xfId="0" applyFont="1" applyFill="1" applyAlignment="1">
      <alignment horizontal="center"/>
    </xf>
    <xf numFmtId="0" fontId="64" fillId="8" borderId="0" xfId="0" applyFont="1" applyFill="1" applyAlignment="1">
      <alignment horizontal="left"/>
    </xf>
    <xf numFmtId="2" fontId="64" fillId="8" borderId="0" xfId="0" applyNumberFormat="1" applyFont="1" applyFill="1" applyAlignment="1">
      <alignment horizontal="center"/>
    </xf>
    <xf numFmtId="164" fontId="64" fillId="8" borderId="0" xfId="0" applyNumberFormat="1" applyFont="1" applyFill="1"/>
    <xf numFmtId="0" fontId="43" fillId="8" borderId="0" xfId="0" applyFont="1" applyFill="1" applyAlignment="1">
      <alignment horizontal="center"/>
    </xf>
    <xf numFmtId="0" fontId="64" fillId="8" borderId="6" xfId="0" applyFont="1" applyFill="1" applyBorder="1" applyAlignment="1">
      <alignment horizontal="center"/>
    </xf>
    <xf numFmtId="0" fontId="43" fillId="8" borderId="0" xfId="0" applyFont="1" applyFill="1" applyAlignment="1">
      <alignment horizontal="left"/>
    </xf>
    <xf numFmtId="1" fontId="64" fillId="8" borderId="0" xfId="0" applyNumberFormat="1" applyFont="1" applyFill="1" applyAlignment="1">
      <alignment horizontal="center"/>
    </xf>
    <xf numFmtId="37" fontId="64" fillId="8" borderId="0" xfId="0" applyNumberFormat="1" applyFont="1" applyFill="1"/>
    <xf numFmtId="0" fontId="64" fillId="8" borderId="0" xfId="0" applyFont="1" applyFill="1"/>
    <xf numFmtId="0" fontId="64" fillId="8" borderId="6" xfId="0" applyFont="1" applyFill="1" applyBorder="1"/>
    <xf numFmtId="0" fontId="43" fillId="8" borderId="12" xfId="0" applyFont="1" applyFill="1" applyBorder="1" applyAlignment="1">
      <alignment horizontal="left"/>
    </xf>
    <xf numFmtId="0" fontId="43" fillId="8" borderId="12" xfId="0" applyFont="1" applyFill="1" applyBorder="1" applyAlignment="1">
      <alignment horizontal="center"/>
    </xf>
    <xf numFmtId="164" fontId="43" fillId="8" borderId="12" xfId="8" applyNumberFormat="1" applyFont="1" applyFill="1" applyBorder="1" applyAlignment="1">
      <alignment horizontal="center"/>
    </xf>
    <xf numFmtId="0" fontId="108" fillId="8" borderId="0" xfId="0" applyFont="1" applyFill="1" applyAlignment="1">
      <alignment horizontal="left"/>
    </xf>
    <xf numFmtId="0" fontId="43" fillId="8" borderId="0" xfId="0" applyFont="1" applyFill="1" applyAlignment="1">
      <alignment horizontal="left" vertical="top"/>
    </xf>
    <xf numFmtId="166" fontId="64" fillId="8" borderId="20" xfId="60" applyNumberFormat="1" applyFont="1" applyFill="1" applyBorder="1"/>
    <xf numFmtId="0" fontId="64" fillId="8" borderId="1" xfId="0" applyFont="1" applyFill="1" applyBorder="1" applyAlignment="1">
      <alignment horizontal="center"/>
    </xf>
    <xf numFmtId="164" fontId="64" fillId="8" borderId="1" xfId="8" applyNumberFormat="1" applyFont="1" applyFill="1" applyBorder="1"/>
    <xf numFmtId="164" fontId="64" fillId="8" borderId="1" xfId="0" applyNumberFormat="1" applyFont="1" applyFill="1" applyBorder="1"/>
    <xf numFmtId="0" fontId="43" fillId="8" borderId="1" xfId="0" applyFont="1" applyFill="1" applyBorder="1" applyAlignment="1">
      <alignment horizontal="center"/>
    </xf>
    <xf numFmtId="0" fontId="64" fillId="8" borderId="8" xfId="0" applyFont="1" applyFill="1" applyBorder="1" applyAlignment="1">
      <alignment horizontal="center"/>
    </xf>
    <xf numFmtId="3" fontId="68" fillId="0" borderId="0" xfId="31" applyNumberFormat="1" applyFont="1" applyAlignment="1">
      <alignment wrapText="1"/>
    </xf>
    <xf numFmtId="0" fontId="25" fillId="0" borderId="0" xfId="0" applyFont="1" applyAlignment="1">
      <alignment horizontal="center"/>
    </xf>
    <xf numFmtId="0" fontId="64" fillId="8" borderId="5" xfId="0" applyFont="1" applyFill="1" applyBorder="1" applyAlignment="1">
      <alignment horizontal="center"/>
    </xf>
    <xf numFmtId="0" fontId="64" fillId="8" borderId="35" xfId="0" applyFont="1" applyFill="1" applyBorder="1" applyAlignment="1">
      <alignment horizontal="left"/>
    </xf>
    <xf numFmtId="0" fontId="108" fillId="8" borderId="5" xfId="0" applyFont="1" applyFill="1" applyBorder="1" applyAlignment="1">
      <alignment horizontal="left"/>
    </xf>
    <xf numFmtId="0" fontId="64" fillId="8" borderId="5" xfId="0" applyFont="1" applyFill="1" applyBorder="1" applyAlignment="1">
      <alignment horizontal="left" vertical="center"/>
    </xf>
    <xf numFmtId="0" fontId="64" fillId="8" borderId="7" xfId="0" applyFont="1" applyFill="1" applyBorder="1" applyAlignment="1">
      <alignment horizontal="left" vertical="center"/>
    </xf>
    <xf numFmtId="0" fontId="65" fillId="0" borderId="0" xfId="0" applyFont="1"/>
    <xf numFmtId="0" fontId="65" fillId="0" borderId="0" xfId="0" applyFont="1" applyAlignment="1">
      <alignment horizontal="center"/>
    </xf>
    <xf numFmtId="0" fontId="89" fillId="0" borderId="0" xfId="0" applyFont="1" applyAlignment="1">
      <alignment horizontal="center"/>
    </xf>
    <xf numFmtId="0" fontId="46" fillId="0" borderId="0" xfId="0" applyFont="1" applyAlignment="1">
      <alignment horizontal="center"/>
    </xf>
    <xf numFmtId="0" fontId="65" fillId="0" borderId="0" xfId="0" applyFont="1" applyAlignment="1">
      <alignment horizontal="center" vertical="center" wrapText="1"/>
    </xf>
    <xf numFmtId="0" fontId="65" fillId="0" borderId="33" xfId="0" applyFont="1" applyBorder="1" applyAlignment="1">
      <alignment horizontal="center" vertical="center"/>
    </xf>
    <xf numFmtId="0" fontId="46" fillId="0" borderId="12" xfId="0" applyFont="1" applyBorder="1" applyAlignment="1">
      <alignment horizontal="center" vertical="center"/>
    </xf>
    <xf numFmtId="0" fontId="46" fillId="0" borderId="25" xfId="0" applyFont="1" applyBorder="1" applyAlignment="1">
      <alignment horizontal="center" vertical="center" wrapText="1"/>
    </xf>
    <xf numFmtId="15" fontId="46" fillId="0" borderId="0" xfId="0" applyNumberFormat="1" applyFont="1" applyAlignment="1">
      <alignment horizontal="left" vertical="center" wrapText="1" indent="1"/>
    </xf>
    <xf numFmtId="15" fontId="46" fillId="0" borderId="12" xfId="0" applyNumberFormat="1" applyFont="1" applyBorder="1" applyAlignment="1">
      <alignment horizontal="left" vertical="center" wrapText="1" indent="1"/>
    </xf>
    <xf numFmtId="3" fontId="8" fillId="0" borderId="0" xfId="0" applyNumberFormat="1" applyFont="1"/>
    <xf numFmtId="0" fontId="46" fillId="0" borderId="19" xfId="0" applyFont="1" applyBorder="1" applyAlignment="1">
      <alignment vertical="center" wrapText="1"/>
    </xf>
    <xf numFmtId="0" fontId="46" fillId="0" borderId="19" xfId="0" applyFont="1" applyBorder="1" applyAlignment="1">
      <alignment horizontal="right" vertical="center" wrapText="1"/>
    </xf>
    <xf numFmtId="0" fontId="46" fillId="0" borderId="0" xfId="0" applyFont="1" applyAlignment="1">
      <alignment vertical="center" wrapText="1"/>
    </xf>
    <xf numFmtId="0" fontId="46" fillId="0" borderId="0" xfId="0" applyFont="1" applyAlignment="1">
      <alignment horizontal="right" vertical="center" wrapText="1"/>
    </xf>
    <xf numFmtId="0" fontId="46" fillId="0" borderId="0" xfId="0" applyFont="1" applyAlignment="1">
      <alignment horizontal="justify" vertical="center" wrapText="1"/>
    </xf>
    <xf numFmtId="0" fontId="46" fillId="0" borderId="0" xfId="0" quotePrefix="1" applyFont="1" applyAlignment="1">
      <alignment vertical="center"/>
    </xf>
    <xf numFmtId="0" fontId="109" fillId="10" borderId="0" xfId="0" applyFont="1" applyFill="1" applyAlignment="1">
      <alignment vertical="center" wrapText="1"/>
    </xf>
    <xf numFmtId="164" fontId="46" fillId="10" borderId="12" xfId="48" applyNumberFormat="1" applyFont="1" applyFill="1" applyBorder="1" applyAlignment="1">
      <alignment vertical="center" wrapText="1"/>
    </xf>
    <xf numFmtId="0" fontId="46" fillId="0" borderId="0" xfId="0" applyFont="1" applyAlignment="1">
      <alignment horizontal="right" vertical="center"/>
    </xf>
    <xf numFmtId="0" fontId="65" fillId="0" borderId="0" xfId="0" applyFont="1" applyAlignment="1">
      <alignment vertical="center"/>
    </xf>
    <xf numFmtId="0" fontId="65" fillId="0" borderId="12" xfId="0" quotePrefix="1" applyFont="1" applyBorder="1" applyAlignment="1">
      <alignment vertical="center"/>
    </xf>
    <xf numFmtId="0" fontId="65" fillId="0" borderId="12" xfId="0" applyFont="1" applyBorder="1" applyAlignment="1">
      <alignment vertical="center"/>
    </xf>
    <xf numFmtId="43" fontId="46" fillId="0" borderId="0" xfId="0" applyNumberFormat="1" applyFont="1"/>
    <xf numFmtId="0" fontId="111" fillId="12" borderId="0" xfId="0" applyFont="1" applyFill="1"/>
    <xf numFmtId="0" fontId="111" fillId="12" borderId="0" xfId="0" applyFont="1" applyFill="1" applyAlignment="1">
      <alignment horizontal="center"/>
    </xf>
    <xf numFmtId="0" fontId="24" fillId="10" borderId="0" xfId="0" applyFont="1" applyFill="1"/>
    <xf numFmtId="0" fontId="24" fillId="0" borderId="0" xfId="0" applyFont="1" applyAlignment="1">
      <alignment vertical="center" wrapText="1"/>
    </xf>
    <xf numFmtId="0" fontId="8" fillId="0" borderId="0" xfId="17" applyFont="1"/>
    <xf numFmtId="0" fontId="44" fillId="0" borderId="0" xfId="17" applyFont="1" applyAlignment="1">
      <alignment horizontal="center"/>
    </xf>
    <xf numFmtId="0" fontId="8" fillId="0" borderId="0" xfId="17" applyFont="1" applyAlignment="1">
      <alignment horizontal="left"/>
    </xf>
    <xf numFmtId="0" fontId="44" fillId="0" borderId="0" xfId="17" applyFont="1"/>
    <xf numFmtId="0" fontId="9" fillId="0" borderId="0" xfId="14" applyFont="1" applyAlignment="1">
      <alignment horizontal="center"/>
    </xf>
    <xf numFmtId="0" fontId="9" fillId="0" borderId="0" xfId="17" applyFont="1" applyAlignment="1">
      <alignment horizontal="center"/>
    </xf>
    <xf numFmtId="0" fontId="9" fillId="0" borderId="12" xfId="17" applyFont="1" applyBorder="1"/>
    <xf numFmtId="0" fontId="9" fillId="0" borderId="12" xfId="14" applyFont="1" applyBorder="1" applyAlignment="1">
      <alignment horizontal="center"/>
    </xf>
    <xf numFmtId="0" fontId="9" fillId="0" borderId="12" xfId="17" applyFont="1" applyBorder="1" applyAlignment="1">
      <alignment horizontal="center"/>
    </xf>
    <xf numFmtId="0" fontId="8" fillId="0" borderId="0" xfId="14" applyAlignment="1">
      <alignment horizontal="left" indent="1"/>
    </xf>
    <xf numFmtId="164" fontId="8" fillId="10" borderId="0" xfId="48" applyNumberFormat="1" applyFont="1" applyFill="1"/>
    <xf numFmtId="41" fontId="8" fillId="0" borderId="0" xfId="17" applyNumberFormat="1" applyFont="1"/>
    <xf numFmtId="0" fontId="9" fillId="0" borderId="0" xfId="14" applyFont="1"/>
    <xf numFmtId="37" fontId="8" fillId="0" borderId="0" xfId="17" applyNumberFormat="1" applyFont="1"/>
    <xf numFmtId="164" fontId="8" fillId="0" borderId="0" xfId="17" applyNumberFormat="1" applyFont="1"/>
    <xf numFmtId="0" fontId="9" fillId="0" borderId="12" xfId="14" applyFont="1" applyBorder="1"/>
    <xf numFmtId="0" fontId="8" fillId="0" borderId="0" xfId="17" applyFont="1" applyAlignment="1">
      <alignment horizontal="left" indent="1"/>
    </xf>
    <xf numFmtId="164" fontId="8" fillId="2" borderId="0" xfId="48" applyNumberFormat="1" applyFont="1" applyFill="1"/>
    <xf numFmtId="43" fontId="8" fillId="0" borderId="0" xfId="17" applyNumberFormat="1" applyFont="1"/>
    <xf numFmtId="0" fontId="8" fillId="0" borderId="0" xfId="14" applyAlignment="1">
      <alignment vertical="top" wrapText="1"/>
    </xf>
    <xf numFmtId="0" fontId="44" fillId="0" borderId="0" xfId="14"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5" fillId="0" borderId="32" xfId="14" applyFont="1" applyBorder="1"/>
    <xf numFmtId="0" fontId="8" fillId="0" borderId="26" xfId="14" applyBorder="1"/>
    <xf numFmtId="0" fontId="8" fillId="0" borderId="24" xfId="14" applyBorder="1"/>
    <xf numFmtId="41" fontId="8" fillId="0" borderId="23" xfId="0" applyNumberFormat="1" applyFont="1" applyBorder="1"/>
    <xf numFmtId="0" fontId="8" fillId="0" borderId="23" xfId="14" applyBorder="1" applyAlignment="1">
      <alignment wrapText="1"/>
    </xf>
    <xf numFmtId="0" fontId="65" fillId="0" borderId="22" xfId="14" applyFont="1" applyBorder="1"/>
    <xf numFmtId="0" fontId="46" fillId="10" borderId="22" xfId="14" applyFont="1" applyFill="1" applyBorder="1"/>
    <xf numFmtId="0" fontId="8" fillId="10" borderId="24" xfId="14" applyFill="1" applyBorder="1"/>
    <xf numFmtId="41" fontId="8" fillId="10" borderId="23" xfId="0" applyNumberFormat="1" applyFont="1" applyFill="1" applyBorder="1"/>
    <xf numFmtId="0" fontId="112" fillId="2" borderId="23" xfId="14" applyFont="1" applyFill="1" applyBorder="1" applyAlignment="1">
      <alignment wrapText="1"/>
    </xf>
    <xf numFmtId="0" fontId="8" fillId="0" borderId="23" xfId="14" applyBorder="1" applyAlignment="1">
      <alignment horizontal="left" indent="1"/>
    </xf>
    <xf numFmtId="0" fontId="44" fillId="0" borderId="23" xfId="14" applyFont="1" applyBorder="1"/>
    <xf numFmtId="0" fontId="8" fillId="0" borderId="23" xfId="17" applyFont="1" applyBorder="1"/>
    <xf numFmtId="41" fontId="8" fillId="0" borderId="23" xfId="17" applyNumberFormat="1" applyFont="1" applyBorder="1"/>
    <xf numFmtId="10" fontId="8" fillId="2" borderId="0" xfId="47" applyNumberFormat="1" applyFont="1" applyFill="1"/>
    <xf numFmtId="0" fontId="8" fillId="0" borderId="23" xfId="17" applyFont="1" applyBorder="1" applyAlignment="1">
      <alignment wrapText="1"/>
    </xf>
    <xf numFmtId="0" fontId="9" fillId="0" borderId="23" xfId="14" applyFont="1" applyBorder="1"/>
    <xf numFmtId="0" fontId="2" fillId="0" borderId="0" xfId="17" applyFont="1"/>
    <xf numFmtId="0" fontId="8" fillId="0" borderId="0" xfId="17" applyFont="1" applyAlignment="1">
      <alignment wrapText="1"/>
    </xf>
    <xf numFmtId="0" fontId="8" fillId="2" borderId="24" xfId="14" applyFill="1" applyBorder="1"/>
    <xf numFmtId="37" fontId="8" fillId="2" borderId="24" xfId="14" applyNumberFormat="1" applyFill="1" applyBorder="1"/>
    <xf numFmtId="37" fontId="8" fillId="2" borderId="23" xfId="14" applyNumberFormat="1" applyFill="1" applyBorder="1"/>
    <xf numFmtId="41" fontId="8" fillId="2" borderId="23" xfId="14" applyNumberFormat="1" applyFill="1" applyBorder="1"/>
    <xf numFmtId="0" fontId="8" fillId="2" borderId="23" xfId="14" applyFill="1" applyBorder="1" applyAlignment="1">
      <alignment wrapText="1"/>
    </xf>
    <xf numFmtId="0" fontId="46" fillId="10" borderId="32" xfId="14" applyFont="1" applyFill="1" applyBorder="1"/>
    <xf numFmtId="0" fontId="8" fillId="10" borderId="26" xfId="14" applyFill="1" applyBorder="1"/>
    <xf numFmtId="0" fontId="8" fillId="10" borderId="23" xfId="14" applyFill="1" applyBorder="1"/>
    <xf numFmtId="0" fontId="65" fillId="0" borderId="29" xfId="14" applyFont="1" applyBorder="1"/>
    <xf numFmtId="0" fontId="8" fillId="0" borderId="30" xfId="14" applyBorder="1"/>
    <xf numFmtId="0" fontId="2" fillId="0" borderId="22" xfId="17" applyFont="1" applyBorder="1"/>
    <xf numFmtId="0" fontId="8" fillId="0" borderId="24" xfId="17" applyFont="1" applyBorder="1"/>
    <xf numFmtId="0" fontId="8" fillId="0" borderId="25" xfId="14" applyBorder="1" applyAlignment="1">
      <alignment horizontal="left" indent="1"/>
    </xf>
    <xf numFmtId="0" fontId="44" fillId="0" borderId="25" xfId="14" applyFont="1" applyBorder="1"/>
    <xf numFmtId="0" fontId="8" fillId="0" borderId="0" xfId="14" applyAlignment="1">
      <alignment horizontal="left"/>
    </xf>
    <xf numFmtId="0" fontId="9" fillId="0" borderId="23" xfId="17" applyFont="1" applyBorder="1"/>
    <xf numFmtId="0" fontId="65" fillId="0" borderId="0" xfId="14" applyFont="1"/>
    <xf numFmtId="37" fontId="8" fillId="0" borderId="0" xfId="14" applyNumberFormat="1"/>
    <xf numFmtId="37" fontId="8" fillId="0" borderId="0" xfId="14" applyNumberFormat="1" applyAlignment="1">
      <alignment horizontal="center"/>
    </xf>
    <xf numFmtId="0" fontId="8" fillId="0" borderId="0" xfId="14" applyAlignment="1">
      <alignment horizontal="center"/>
    </xf>
    <xf numFmtId="0" fontId="8" fillId="0" borderId="0" xfId="14" applyAlignment="1">
      <alignment wrapText="1"/>
    </xf>
    <xf numFmtId="37" fontId="8" fillId="0" borderId="0" xfId="14" applyNumberFormat="1" applyAlignment="1">
      <alignment wrapText="1"/>
    </xf>
    <xf numFmtId="0" fontId="65" fillId="0" borderId="0" xfId="14" applyFont="1" applyAlignment="1">
      <alignment horizontal="left"/>
    </xf>
    <xf numFmtId="0" fontId="112" fillId="0" borderId="0" xfId="14" applyFont="1" applyAlignment="1">
      <alignment wrapText="1"/>
    </xf>
    <xf numFmtId="37" fontId="8" fillId="0" borderId="0" xfId="17" applyNumberFormat="1" applyFont="1" applyAlignment="1">
      <alignment horizontal="center"/>
    </xf>
    <xf numFmtId="0" fontId="8" fillId="0" borderId="0" xfId="17" applyFont="1" applyAlignment="1">
      <alignment horizontal="center"/>
    </xf>
    <xf numFmtId="0" fontId="4" fillId="0" borderId="0" xfId="17" applyFont="1"/>
    <xf numFmtId="0" fontId="8" fillId="2" borderId="22" xfId="14" applyFill="1" applyBorder="1"/>
    <xf numFmtId="0" fontId="9" fillId="0" borderId="0" xfId="14" applyFont="1" applyAlignment="1">
      <alignment horizontal="left"/>
    </xf>
    <xf numFmtId="0" fontId="9" fillId="0" borderId="0" xfId="17" applyFont="1" applyAlignment="1">
      <alignment horizontal="centerContinuous"/>
    </xf>
    <xf numFmtId="0" fontId="4" fillId="0" borderId="0" xfId="17" applyFont="1" applyAlignment="1">
      <alignment horizontal="centerContinuous"/>
    </xf>
    <xf numFmtId="0" fontId="8" fillId="0" borderId="0" xfId="17" applyFont="1" applyAlignment="1">
      <alignment horizontal="centerContinuous"/>
    </xf>
    <xf numFmtId="0" fontId="8" fillId="2" borderId="23" xfId="0" applyFont="1" applyFill="1" applyBorder="1" applyAlignment="1">
      <alignment vertical="top" wrapText="1"/>
    </xf>
    <xf numFmtId="0" fontId="8" fillId="2" borderId="23" xfId="14" applyFill="1" applyBorder="1"/>
    <xf numFmtId="0" fontId="2" fillId="0" borderId="23" xfId="17" applyFont="1" applyBorder="1"/>
    <xf numFmtId="0" fontId="8" fillId="0" borderId="23" xfId="14" applyBorder="1"/>
    <xf numFmtId="0" fontId="50" fillId="6" borderId="0" xfId="0" applyFont="1" applyFill="1" applyAlignment="1">
      <alignment horizontal="left"/>
    </xf>
    <xf numFmtId="0" fontId="25" fillId="6" borderId="0" xfId="0" applyFont="1" applyFill="1" applyAlignment="1">
      <alignment horizontal="center"/>
    </xf>
    <xf numFmtId="0" fontId="46" fillId="0" borderId="0" xfId="0" applyFont="1" applyAlignment="1">
      <alignment vertical="center"/>
    </xf>
    <xf numFmtId="0" fontId="65" fillId="0" borderId="32" xfId="0" applyFont="1" applyBorder="1" applyAlignment="1">
      <alignment vertical="center"/>
    </xf>
    <xf numFmtId="0" fontId="46" fillId="0" borderId="26" xfId="0" applyFont="1" applyBorder="1" applyAlignment="1">
      <alignment vertical="center" wrapText="1"/>
    </xf>
    <xf numFmtId="0" fontId="65" fillId="0" borderId="32" xfId="0" applyFont="1" applyBorder="1" applyAlignment="1">
      <alignment horizontal="left" vertical="center" indent="1"/>
    </xf>
    <xf numFmtId="0" fontId="46" fillId="0" borderId="26" xfId="0" applyFont="1" applyBorder="1"/>
    <xf numFmtId="0" fontId="65" fillId="0" borderId="23" xfId="0" applyFont="1" applyBorder="1" applyAlignment="1">
      <alignment horizontal="center" wrapText="1"/>
    </xf>
    <xf numFmtId="0" fontId="65" fillId="0" borderId="22" xfId="0" applyFont="1" applyBorder="1" applyAlignment="1">
      <alignment vertical="center"/>
    </xf>
    <xf numFmtId="0" fontId="46" fillId="0" borderId="24" xfId="0" applyFont="1" applyBorder="1" applyAlignment="1">
      <alignment vertical="center" wrapText="1"/>
    </xf>
    <xf numFmtId="0" fontId="65" fillId="0" borderId="22" xfId="0" applyFont="1" applyBorder="1" applyAlignment="1">
      <alignment horizontal="left" vertical="center" indent="1"/>
    </xf>
    <xf numFmtId="0" fontId="46" fillId="0" borderId="24" xfId="0" applyFont="1" applyBorder="1"/>
    <xf numFmtId="0" fontId="46" fillId="0" borderId="0" xfId="0" applyFont="1" applyAlignment="1">
      <alignment horizontal="left" indent="1"/>
    </xf>
    <xf numFmtId="3" fontId="8" fillId="0" borderId="0" xfId="0" applyNumberFormat="1" applyFont="1" applyAlignment="1">
      <alignment horizontal="left" indent="1"/>
    </xf>
    <xf numFmtId="166" fontId="46" fillId="10" borderId="0" xfId="46" applyNumberFormat="1" applyFont="1" applyFill="1"/>
    <xf numFmtId="164" fontId="46" fillId="10" borderId="0" xfId="0" applyNumberFormat="1" applyFont="1" applyFill="1"/>
    <xf numFmtId="166" fontId="46" fillId="0" borderId="0" xfId="46" applyNumberFormat="1" applyFont="1"/>
    <xf numFmtId="166" fontId="65" fillId="0" borderId="21" xfId="46" applyNumberFormat="1" applyFont="1" applyBorder="1"/>
    <xf numFmtId="3" fontId="8" fillId="0" borderId="0" xfId="0" applyNumberFormat="1" applyFont="1" applyAlignment="1">
      <alignment horizontal="left"/>
    </xf>
    <xf numFmtId="0" fontId="91" fillId="0" borderId="0" xfId="0" applyFont="1" applyAlignment="1">
      <alignment horizontal="left"/>
    </xf>
    <xf numFmtId="0" fontId="46" fillId="0" borderId="0" xfId="0" quotePrefix="1" applyFont="1"/>
    <xf numFmtId="0" fontId="46" fillId="10" borderId="0" xfId="0" quotePrefix="1" applyFont="1" applyFill="1"/>
    <xf numFmtId="0" fontId="46" fillId="0" borderId="0" xfId="0" applyFont="1" applyAlignment="1">
      <alignment horizontal="center" vertical="center"/>
    </xf>
    <xf numFmtId="0" fontId="46" fillId="0" borderId="12" xfId="0" quotePrefix="1" applyFont="1" applyBorder="1" applyAlignment="1">
      <alignment horizontal="center" vertical="center" wrapText="1"/>
    </xf>
    <xf numFmtId="164" fontId="46" fillId="0" borderId="0" xfId="0" applyNumberFormat="1" applyFont="1"/>
    <xf numFmtId="164" fontId="65" fillId="0" borderId="12" xfId="0" applyNumberFormat="1" applyFont="1" applyBorder="1"/>
    <xf numFmtId="164" fontId="46" fillId="0" borderId="0" xfId="0" applyNumberFormat="1" applyFont="1" applyAlignment="1">
      <alignment horizontal="center"/>
    </xf>
    <xf numFmtId="42" fontId="46" fillId="0" borderId="0" xfId="0" applyNumberFormat="1" applyFont="1"/>
    <xf numFmtId="166" fontId="46" fillId="0" borderId="0" xfId="0" applyNumberFormat="1" applyFont="1"/>
    <xf numFmtId="164" fontId="46" fillId="10" borderId="0" xfId="48" applyNumberFormat="1" applyFont="1" applyFill="1"/>
    <xf numFmtId="0" fontId="46" fillId="0" borderId="12" xfId="0" applyFont="1" applyBorder="1"/>
    <xf numFmtId="166" fontId="46" fillId="0" borderId="34" xfId="46" applyNumberFormat="1" applyFont="1" applyBorder="1"/>
    <xf numFmtId="44" fontId="46" fillId="0" borderId="0" xfId="0" applyNumberFormat="1" applyFont="1"/>
    <xf numFmtId="15" fontId="46" fillId="0" borderId="0" xfId="0" quotePrefix="1" applyNumberFormat="1" applyFont="1"/>
    <xf numFmtId="166" fontId="46" fillId="0" borderId="19" xfId="46" applyNumberFormat="1" applyFont="1" applyBorder="1"/>
    <xf numFmtId="166" fontId="46" fillId="0" borderId="21" xfId="46" applyNumberFormat="1" applyFont="1" applyBorder="1"/>
    <xf numFmtId="43" fontId="46" fillId="10" borderId="0" xfId="48" applyFont="1" applyFill="1"/>
    <xf numFmtId="166" fontId="46" fillId="0" borderId="20" xfId="46" applyNumberFormat="1" applyFont="1" applyBorder="1"/>
    <xf numFmtId="0" fontId="89" fillId="0" borderId="0" xfId="152" applyFont="1"/>
    <xf numFmtId="0" fontId="89" fillId="0" borderId="0" xfId="152" applyFont="1" applyAlignment="1">
      <alignment horizontal="left"/>
    </xf>
    <xf numFmtId="0" fontId="113" fillId="0" borderId="0" xfId="152" applyFont="1"/>
    <xf numFmtId="0" fontId="89" fillId="0" borderId="0" xfId="152" applyFont="1" applyAlignment="1">
      <alignment horizontal="center"/>
    </xf>
    <xf numFmtId="0" fontId="8" fillId="0" borderId="0" xfId="152" applyFont="1"/>
    <xf numFmtId="0" fontId="111" fillId="0" borderId="0" xfId="152" applyFont="1" applyAlignment="1">
      <alignment horizontal="left"/>
    </xf>
    <xf numFmtId="0" fontId="111" fillId="0" borderId="0" xfId="152" applyFont="1" applyAlignment="1">
      <alignment horizontal="center" wrapText="1"/>
    </xf>
    <xf numFmtId="0" fontId="115" fillId="0" borderId="0" xfId="152" applyFont="1"/>
    <xf numFmtId="0" fontId="116" fillId="0" borderId="0" xfId="152" applyFont="1" applyAlignment="1">
      <alignment horizontal="left"/>
    </xf>
    <xf numFmtId="0" fontId="116" fillId="0" borderId="0" xfId="152" applyFont="1" applyAlignment="1">
      <alignment horizontal="center"/>
    </xf>
    <xf numFmtId="0" fontId="65" fillId="0" borderId="0" xfId="152" applyFont="1" applyAlignment="1">
      <alignment horizontal="left"/>
    </xf>
    <xf numFmtId="164" fontId="46" fillId="0" borderId="0" xfId="0" applyNumberFormat="1" applyFont="1" applyAlignment="1">
      <alignment horizontal="right"/>
    </xf>
    <xf numFmtId="0" fontId="46" fillId="0" borderId="0" xfId="0" applyFont="1" applyAlignment="1">
      <alignment horizontal="right"/>
    </xf>
    <xf numFmtId="0" fontId="65" fillId="0" borderId="0" xfId="0" applyFont="1" applyAlignment="1">
      <alignment horizontal="right"/>
    </xf>
    <xf numFmtId="0" fontId="11" fillId="0" borderId="0" xfId="152" applyFont="1" applyAlignment="1">
      <alignment horizontal="left"/>
    </xf>
    <xf numFmtId="0" fontId="8" fillId="0" borderId="0" xfId="152" applyFont="1" applyAlignment="1">
      <alignment horizontal="left"/>
    </xf>
    <xf numFmtId="0" fontId="65" fillId="0" borderId="0" xfId="0" applyFont="1" applyAlignment="1">
      <alignment horizontal="left"/>
    </xf>
    <xf numFmtId="0" fontId="24" fillId="0" borderId="0" xfId="0" applyFont="1" applyAlignment="1">
      <alignment vertical="top" wrapText="1"/>
    </xf>
    <xf numFmtId="0" fontId="8" fillId="0" borderId="0" xfId="152" applyFont="1" applyAlignment="1">
      <alignment horizontal="center" vertical="center"/>
    </xf>
    <xf numFmtId="3" fontId="25" fillId="10" borderId="0" xfId="0" quotePrefix="1" applyNumberFormat="1" applyFont="1" applyFill="1" applyAlignment="1">
      <alignment horizontal="right"/>
    </xf>
    <xf numFmtId="0" fontId="52" fillId="0" borderId="0" xfId="0" applyFont="1" applyFill="1" applyAlignment="1">
      <alignment horizontal="left"/>
    </xf>
    <xf numFmtId="37" fontId="25"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5" fillId="0" borderId="0" xfId="8" applyNumberFormat="1" applyFont="1" applyFill="1" applyAlignment="1"/>
    <xf numFmtId="10" fontId="25" fillId="0" borderId="0" xfId="0" applyNumberFormat="1" applyFont="1" applyFill="1"/>
    <xf numFmtId="3" fontId="38" fillId="0" borderId="19" xfId="0" applyNumberFormat="1" applyFont="1" applyBorder="1" applyAlignment="1">
      <alignment horizontal="right"/>
    </xf>
    <xf numFmtId="3" fontId="25" fillId="0" borderId="0" xfId="0" applyNumberFormat="1" applyFont="1" applyBorder="1" applyAlignment="1">
      <alignment horizontal="right"/>
    </xf>
    <xf numFmtId="3" fontId="25" fillId="0" borderId="12" xfId="0" applyNumberFormat="1" applyFont="1" applyFill="1" applyBorder="1" applyAlignment="1">
      <alignment horizontal="right"/>
    </xf>
    <xf numFmtId="3" fontId="25" fillId="0" borderId="20" xfId="8" applyNumberFormat="1" applyFont="1" applyFill="1" applyBorder="1" applyAlignment="1">
      <alignment horizontal="right"/>
    </xf>
    <xf numFmtId="164" fontId="25" fillId="2" borderId="0" xfId="8" applyNumberFormat="1" applyFont="1" applyFill="1" applyBorder="1" applyAlignment="1">
      <alignment horizontal="right"/>
    </xf>
    <xf numFmtId="37" fontId="25" fillId="0" borderId="0" xfId="0" applyNumberFormat="1" applyFont="1" applyBorder="1" applyAlignment="1">
      <alignment horizontal="right"/>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4" applyFill="1" applyBorder="1" applyAlignment="1">
      <alignment vertical="top"/>
    </xf>
    <xf numFmtId="0" fontId="8" fillId="2" borderId="24" xfId="14" applyFill="1" applyBorder="1" applyAlignment="1">
      <alignment vertical="top"/>
    </xf>
    <xf numFmtId="0" fontId="8" fillId="10" borderId="23" xfId="14" applyFill="1" applyBorder="1" applyAlignment="1">
      <alignment vertical="top"/>
    </xf>
    <xf numFmtId="0" fontId="8" fillId="10" borderId="24" xfId="14" applyFill="1" applyBorder="1" applyAlignment="1">
      <alignment vertical="top"/>
    </xf>
    <xf numFmtId="37" fontId="8" fillId="10" borderId="23" xfId="14" applyNumberFormat="1" applyFill="1" applyBorder="1" applyAlignment="1">
      <alignment vertical="top"/>
    </xf>
    <xf numFmtId="37" fontId="8" fillId="2" borderId="23" xfId="14" applyNumberFormat="1" applyFill="1" applyBorder="1" applyAlignment="1">
      <alignment vertical="top"/>
    </xf>
    <xf numFmtId="0" fontId="25" fillId="0" borderId="0" xfId="0" applyFont="1" applyAlignment="1">
      <alignment horizontal="center"/>
    </xf>
    <xf numFmtId="0" fontId="25" fillId="0" borderId="0" xfId="0" applyFont="1" applyAlignment="1">
      <alignment horizontal="center" vertical="top"/>
    </xf>
    <xf numFmtId="0" fontId="16" fillId="0" borderId="0" xfId="0" applyFont="1" applyAlignment="1">
      <alignment horizontal="center"/>
    </xf>
    <xf numFmtId="37" fontId="25" fillId="0" borderId="0" xfId="0" applyNumberFormat="1" applyFont="1" applyAlignment="1">
      <alignment horizontal="left"/>
    </xf>
    <xf numFmtId="168" fontId="25" fillId="0" borderId="0" xfId="19" applyFont="1" applyProtection="1">
      <protection locked="0"/>
    </xf>
    <xf numFmtId="0" fontId="53" fillId="0" borderId="0" xfId="0" applyFont="1" applyAlignment="1">
      <alignment horizontal="center"/>
    </xf>
    <xf numFmtId="0" fontId="7" fillId="0" borderId="0" xfId="0" applyFont="1" applyAlignment="1">
      <alignment horizontal="left"/>
    </xf>
    <xf numFmtId="0" fontId="33" fillId="0" borderId="0" xfId="0" applyFont="1" applyAlignment="1">
      <alignment horizontal="center"/>
    </xf>
    <xf numFmtId="0" fontId="36" fillId="6" borderId="0" xfId="0" applyFont="1" applyFill="1" applyAlignment="1">
      <alignment horizontal="center"/>
    </xf>
    <xf numFmtId="0" fontId="36" fillId="0" borderId="0" xfId="0" applyFont="1" applyAlignment="1">
      <alignment horizontal="center"/>
    </xf>
    <xf numFmtId="0" fontId="39" fillId="0" borderId="0" xfId="0" applyFont="1" applyAlignment="1">
      <alignment horizontal="center"/>
    </xf>
    <xf numFmtId="0" fontId="51" fillId="6" borderId="0" xfId="0" applyFont="1" applyFill="1" applyAlignment="1">
      <alignment horizontal="center"/>
    </xf>
    <xf numFmtId="3" fontId="38" fillId="0" borderId="12" xfId="0" applyNumberFormat="1" applyFont="1" applyBorder="1" applyAlignment="1">
      <alignment horizontal="center"/>
    </xf>
    <xf numFmtId="0" fontId="39" fillId="0" borderId="12" xfId="0" applyFont="1" applyBorder="1" applyAlignment="1">
      <alignment horizontal="center"/>
    </xf>
    <xf numFmtId="3" fontId="53" fillId="0" borderId="0" xfId="0" applyNumberFormat="1" applyFont="1" applyAlignment="1">
      <alignment horizontal="center"/>
    </xf>
    <xf numFmtId="37" fontId="0" fillId="0" borderId="0" xfId="0" applyNumberFormat="1"/>
    <xf numFmtId="1" fontId="8" fillId="0" borderId="0" xfId="27" applyNumberFormat="1" applyFont="1" applyFill="1" applyAlignment="1">
      <alignment horizontal="left"/>
    </xf>
    <xf numFmtId="168" fontId="8" fillId="0" borderId="0" xfId="27" applyFont="1" applyFill="1" applyAlignment="1"/>
    <xf numFmtId="168" fontId="8" fillId="0" borderId="0" xfId="27" applyFont="1" applyFill="1" applyAlignment="1">
      <alignment horizontal="left"/>
    </xf>
    <xf numFmtId="172" fontId="8" fillId="0" borderId="0" xfId="8" applyNumberFormat="1" applyFont="1" applyFill="1" applyAlignment="1"/>
    <xf numFmtId="0" fontId="8" fillId="10" borderId="23" xfId="154" applyFill="1" applyBorder="1" applyAlignment="1">
      <alignment vertical="top" wrapText="1"/>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37" fontId="0" fillId="2" borderId="0" xfId="0" applyNumberFormat="1" applyFill="1" applyAlignment="1">
      <alignment horizontal="left" wrapText="1"/>
    </xf>
    <xf numFmtId="37" fontId="8" fillId="2" borderId="0" xfId="0" applyNumberFormat="1" applyFont="1" applyFill="1"/>
    <xf numFmtId="37" fontId="0" fillId="0" borderId="0" xfId="0" applyNumberFormat="1" applyAlignment="1">
      <alignment horizontal="left" vertical="center" wrapText="1"/>
    </xf>
    <xf numFmtId="41" fontId="8" fillId="2" borderId="0" xfId="0" applyNumberFormat="1" applyFont="1" applyFill="1"/>
    <xf numFmtId="0" fontId="44" fillId="0" borderId="0" xfId="0" applyFont="1" applyAlignment="1">
      <alignment horizontal="left"/>
    </xf>
    <xf numFmtId="0" fontId="8" fillId="0" borderId="0" xfId="0" applyFont="1" applyAlignment="1">
      <alignment horizontal="right"/>
    </xf>
    <xf numFmtId="41" fontId="8" fillId="2" borderId="0" xfId="0" applyNumberFormat="1" applyFont="1" applyFill="1" applyAlignment="1">
      <alignment horizontal="right" wrapText="1"/>
    </xf>
    <xf numFmtId="41" fontId="8" fillId="2" borderId="0" xfId="0" applyNumberFormat="1" applyFont="1" applyFill="1" applyAlignment="1">
      <alignment horizontal="right"/>
    </xf>
    <xf numFmtId="0" fontId="8" fillId="0" borderId="0" xfId="0" applyFont="1" applyAlignment="1">
      <alignment horizontal="left"/>
    </xf>
    <xf numFmtId="41" fontId="0" fillId="0" borderId="0" xfId="0" applyNumberFormat="1" applyAlignment="1">
      <alignment horizontal="right"/>
    </xf>
    <xf numFmtId="37" fontId="44" fillId="0" borderId="0" xfId="0" applyNumberFormat="1" applyFont="1"/>
    <xf numFmtId="41" fontId="0" fillId="0" borderId="12" xfId="0" applyNumberFormat="1" applyBorder="1" applyAlignment="1">
      <alignment horizontal="right"/>
    </xf>
    <xf numFmtId="37" fontId="8" fillId="0" borderId="0" xfId="0" applyNumberFormat="1" applyFont="1"/>
    <xf numFmtId="0" fontId="12" fillId="0" borderId="0" xfId="0" applyFont="1" applyBorder="1" applyAlignment="1">
      <alignment horizontal="left" wrapText="1"/>
    </xf>
    <xf numFmtId="0" fontId="12" fillId="0" borderId="6" xfId="0" applyFont="1" applyBorder="1" applyAlignment="1">
      <alignment horizontal="left" wrapText="1"/>
    </xf>
    <xf numFmtId="0" fontId="20" fillId="3" borderId="4" xfId="0" applyFont="1" applyFill="1" applyBorder="1" applyAlignment="1">
      <alignment horizontal="center" wrapText="1"/>
    </xf>
    <xf numFmtId="0" fontId="12" fillId="0" borderId="0" xfId="0" applyFont="1" applyBorder="1" applyAlignment="1">
      <alignment wrapText="1"/>
    </xf>
    <xf numFmtId="0" fontId="20" fillId="3" borderId="4" xfId="0" applyFont="1" applyFill="1" applyBorder="1" applyAlignment="1">
      <alignment horizontal="left" wrapText="1"/>
    </xf>
    <xf numFmtId="0" fontId="20" fillId="3" borderId="3" xfId="0" applyFont="1" applyFill="1" applyBorder="1" applyAlignment="1">
      <alignment horizontal="left" wrapText="1"/>
    </xf>
    <xf numFmtId="0" fontId="12" fillId="0" borderId="0" xfId="0" applyFont="1" applyAlignment="1">
      <alignment horizontal="left" wrapText="1"/>
    </xf>
    <xf numFmtId="0" fontId="12" fillId="0" borderId="1" xfId="0" applyFont="1" applyBorder="1" applyAlignment="1">
      <alignment horizontal="left"/>
    </xf>
    <xf numFmtId="0" fontId="12" fillId="0" borderId="8" xfId="0" applyFont="1" applyBorder="1" applyAlignment="1">
      <alignment horizontal="left"/>
    </xf>
    <xf numFmtId="168" fontId="68" fillId="10" borderId="0" xfId="50" applyFont="1" applyFill="1"/>
    <xf numFmtId="0" fontId="1" fillId="0" borderId="0" xfId="155" applyFont="1" applyAlignment="1">
      <alignment horizontal="center"/>
    </xf>
    <xf numFmtId="165" fontId="12" fillId="0" borderId="5" xfId="145" applyNumberFormat="1" applyFont="1" applyBorder="1"/>
    <xf numFmtId="165" fontId="12" fillId="0" borderId="0" xfId="145" applyNumberFormat="1" applyFont="1" applyBorder="1"/>
    <xf numFmtId="165" fontId="12" fillId="0" borderId="6" xfId="145" applyNumberFormat="1" applyFont="1" applyBorder="1"/>
    <xf numFmtId="0" fontId="8" fillId="0" borderId="0" xfId="3" applyAlignment="1">
      <alignment wrapText="1"/>
    </xf>
    <xf numFmtId="0" fontId="12" fillId="0" borderId="0" xfId="3" applyFont="1" applyAlignment="1">
      <alignment wrapText="1"/>
    </xf>
    <xf numFmtId="168" fontId="68" fillId="10" borderId="27" xfId="50" applyFont="1" applyFill="1" applyBorder="1"/>
    <xf numFmtId="0" fontId="8" fillId="2" borderId="0" xfId="0" applyFont="1" applyFill="1"/>
    <xf numFmtId="164" fontId="0" fillId="2" borderId="0" xfId="48" applyNumberFormat="1" applyFont="1" applyFill="1"/>
    <xf numFmtId="164" fontId="0" fillId="0" borderId="0" xfId="48" applyNumberFormat="1" applyFont="1"/>
    <xf numFmtId="0" fontId="13" fillId="0" borderId="0" xfId="0" applyFont="1" applyAlignment="1">
      <alignment horizontal="center"/>
    </xf>
    <xf numFmtId="0" fontId="6" fillId="0" borderId="7" xfId="0" applyFont="1" applyBorder="1" applyAlignment="1">
      <alignment horizontal="center"/>
    </xf>
    <xf numFmtId="0" fontId="22" fillId="0" borderId="1" xfId="0" applyFont="1" applyBorder="1" applyAlignment="1">
      <alignment horizontal="center"/>
    </xf>
    <xf numFmtId="0" fontId="25" fillId="0" borderId="0" xfId="0" applyFont="1" applyAlignment="1">
      <alignment horizontal="center"/>
    </xf>
    <xf numFmtId="37" fontId="9" fillId="2" borderId="0" xfId="0" applyNumberFormat="1" applyFont="1" applyFill="1" applyAlignment="1">
      <alignment horizontal="right" wrapText="1"/>
    </xf>
    <xf numFmtId="0" fontId="8" fillId="2" borderId="0" xfId="0" applyFont="1" applyFill="1" applyAlignment="1">
      <alignment horizontal="left"/>
    </xf>
    <xf numFmtId="164" fontId="8" fillId="10" borderId="0" xfId="0" applyNumberFormat="1" applyFont="1" applyFill="1" applyAlignment="1">
      <alignment horizontal="right" wrapText="1"/>
    </xf>
    <xf numFmtId="164" fontId="8" fillId="2" borderId="0" xfId="8" applyNumberFormat="1" applyFill="1" applyAlignment="1">
      <alignment wrapText="1"/>
    </xf>
    <xf numFmtId="166" fontId="0" fillId="2" borderId="0" xfId="0" applyNumberFormat="1" applyFill="1"/>
    <xf numFmtId="164" fontId="0" fillId="2" borderId="0" xfId="8" applyNumberFormat="1" applyFont="1" applyFill="1" applyAlignment="1">
      <alignment wrapText="1"/>
    </xf>
    <xf numFmtId="164" fontId="8" fillId="2" borderId="0" xfId="8" applyNumberFormat="1" applyFill="1"/>
    <xf numFmtId="166" fontId="25" fillId="2" borderId="0" xfId="0" applyNumberFormat="1" applyFont="1" applyFill="1"/>
    <xf numFmtId="3" fontId="25" fillId="2" borderId="0" xfId="0" applyNumberFormat="1" applyFont="1" applyFill="1"/>
    <xf numFmtId="3" fontId="12" fillId="0" borderId="0" xfId="0" applyNumberFormat="1" applyFont="1" applyAlignment="1">
      <alignment horizontal="center"/>
    </xf>
    <xf numFmtId="0" fontId="6" fillId="0" borderId="1" xfId="0" applyFont="1" applyBorder="1" applyAlignment="1">
      <alignment horizontal="right"/>
    </xf>
    <xf numFmtId="0" fontId="6" fillId="0" borderId="1" xfId="0" applyFont="1" applyBorder="1" applyAlignment="1">
      <alignment horizontal="left"/>
    </xf>
    <xf numFmtId="0" fontId="6" fillId="0" borderId="8" xfId="0" applyFont="1" applyBorder="1"/>
    <xf numFmtId="0" fontId="0" fillId="0" borderId="4" xfId="0" applyBorder="1"/>
    <xf numFmtId="0" fontId="0" fillId="0" borderId="3" xfId="0" applyBorder="1"/>
    <xf numFmtId="3" fontId="12" fillId="0" borderId="5" xfId="0" applyNumberFormat="1" applyFont="1" applyBorder="1" applyAlignment="1">
      <alignment horizontal="right"/>
    </xf>
    <xf numFmtId="164" fontId="12" fillId="0" borderId="1" xfId="8" applyNumberFormat="1" applyFont="1" applyBorder="1" applyAlignment="1">
      <alignment horizontal="center"/>
    </xf>
    <xf numFmtId="3" fontId="13" fillId="0" borderId="0" xfId="0" applyNumberFormat="1" applyFont="1" applyAlignment="1">
      <alignment horizontal="center"/>
    </xf>
    <xf numFmtId="3" fontId="12" fillId="0" borderId="7" xfId="8" applyNumberFormat="1" applyFont="1" applyBorder="1" applyAlignment="1">
      <alignment horizontal="center"/>
    </xf>
    <xf numFmtId="3" fontId="12" fillId="0" borderId="1" xfId="8" applyNumberFormat="1" applyFont="1" applyBorder="1" applyAlignment="1">
      <alignment horizontal="center"/>
    </xf>
    <xf numFmtId="3" fontId="6" fillId="0" borderId="6" xfId="0" applyNumberFormat="1" applyFont="1" applyBorder="1"/>
    <xf numFmtId="10" fontId="6" fillId="0" borderId="8" xfId="0" applyNumberFormat="1" applyFont="1" applyBorder="1" applyAlignment="1">
      <alignment horizontal="left"/>
    </xf>
    <xf numFmtId="10" fontId="12" fillId="0" borderId="7" xfId="145" applyNumberFormat="1" applyFont="1" applyBorder="1" applyAlignment="1">
      <alignment horizontal="center"/>
    </xf>
    <xf numFmtId="10" fontId="12" fillId="0" borderId="1" xfId="145" applyNumberFormat="1" applyFont="1" applyBorder="1" applyAlignment="1">
      <alignment horizontal="center"/>
    </xf>
    <xf numFmtId="164" fontId="12" fillId="0" borderId="7" xfId="0" applyNumberFormat="1" applyFont="1" applyBorder="1" applyAlignment="1">
      <alignment horizontal="center"/>
    </xf>
    <xf numFmtId="164" fontId="12" fillId="0" borderId="1" xfId="0" applyNumberFormat="1" applyFont="1" applyBorder="1" applyAlignment="1">
      <alignment horizontal="center"/>
    </xf>
    <xf numFmtId="169" fontId="13" fillId="0" borderId="7" xfId="8" applyNumberFormat="1" applyFont="1" applyBorder="1" applyAlignment="1">
      <alignment horizontal="center"/>
    </xf>
    <xf numFmtId="164" fontId="0" fillId="2" borderId="0" xfId="8" applyNumberFormat="1" applyFont="1" applyFill="1"/>
    <xf numFmtId="166" fontId="64" fillId="10" borderId="0" xfId="60" applyNumberFormat="1" applyFont="1" applyFill="1"/>
    <xf numFmtId="164" fontId="12" fillId="0" borderId="0" xfId="0" applyNumberFormat="1" applyFont="1"/>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25" fillId="0" borderId="0" xfId="0" applyFont="1" applyAlignment="1">
      <alignment horizontal="center" vertical="center"/>
    </xf>
    <xf numFmtId="0" fontId="20" fillId="3" borderId="0" xfId="0" applyFont="1" applyFill="1" applyBorder="1" applyAlignment="1">
      <alignment horizontal="center" wrapText="1"/>
    </xf>
    <xf numFmtId="0" fontId="0" fillId="4" borderId="15" xfId="0" applyFill="1" applyBorder="1" applyAlignment="1"/>
    <xf numFmtId="164" fontId="68" fillId="10" borderId="0" xfId="8" quotePrefix="1" applyNumberFormat="1" applyFont="1" applyFill="1" applyAlignment="1">
      <alignment horizontal="left"/>
    </xf>
    <xf numFmtId="164" fontId="68" fillId="10" borderId="0" xfId="48" quotePrefix="1" applyNumberFormat="1" applyFont="1" applyFill="1" applyAlignment="1">
      <alignment horizontal="left"/>
    </xf>
    <xf numFmtId="0" fontId="8" fillId="0" borderId="0" xfId="62"/>
    <xf numFmtId="0" fontId="1" fillId="0" borderId="0" xfId="62" applyFont="1" applyAlignment="1">
      <alignment horizontal="center"/>
    </xf>
    <xf numFmtId="0" fontId="1" fillId="0" borderId="0" xfId="62" applyFont="1"/>
    <xf numFmtId="0" fontId="7" fillId="0" borderId="0" xfId="62" applyFont="1" applyAlignment="1">
      <alignment horizontal="center"/>
    </xf>
    <xf numFmtId="0" fontId="2" fillId="0" borderId="0" xfId="62" applyFont="1"/>
    <xf numFmtId="0" fontId="8" fillId="0" borderId="0" xfId="62" applyAlignment="1">
      <alignment horizontal="center"/>
    </xf>
    <xf numFmtId="164" fontId="8" fillId="0" borderId="0" xfId="1" applyNumberFormat="1"/>
    <xf numFmtId="0" fontId="9" fillId="0" borderId="0" xfId="62" applyFont="1" applyAlignment="1">
      <alignment horizontal="left"/>
    </xf>
    <xf numFmtId="0" fontId="8" fillId="0" borderId="0" xfId="62" applyAlignment="1">
      <alignment horizontal="left"/>
    </xf>
    <xf numFmtId="164" fontId="8" fillId="0" borderId="0" xfId="1" applyNumberFormat="1" applyFill="1"/>
    <xf numFmtId="165" fontId="8" fillId="0" borderId="0" xfId="2" applyNumberFormat="1" applyAlignment="1">
      <alignment horizontal="right"/>
    </xf>
    <xf numFmtId="0" fontId="10" fillId="0" borderId="0" xfId="62" applyFont="1"/>
    <xf numFmtId="0" fontId="8" fillId="0" borderId="0" xfId="62" applyAlignment="1">
      <alignment wrapText="1"/>
    </xf>
    <xf numFmtId="0" fontId="12" fillId="0" borderId="2" xfId="62" applyFont="1" applyBorder="1"/>
    <xf numFmtId="0" fontId="12" fillId="0" borderId="3" xfId="62" applyFont="1" applyBorder="1" applyAlignment="1">
      <alignment horizontal="center"/>
    </xf>
    <xf numFmtId="0" fontId="13" fillId="0" borderId="2" xfId="62" applyFont="1" applyBorder="1" applyAlignment="1">
      <alignment horizontal="centerContinuous"/>
    </xf>
    <xf numFmtId="0" fontId="13" fillId="0" borderId="4" xfId="62" applyFont="1" applyBorder="1" applyAlignment="1">
      <alignment horizontal="centerContinuous"/>
    </xf>
    <xf numFmtId="0" fontId="13" fillId="0" borderId="3" xfId="62" applyFont="1" applyBorder="1" applyAlignment="1">
      <alignment horizontal="centerContinuous"/>
    </xf>
    <xf numFmtId="0" fontId="12" fillId="0" borderId="4" xfId="62" applyFont="1" applyBorder="1"/>
    <xf numFmtId="0" fontId="12" fillId="0" borderId="3" xfId="62" applyFont="1" applyBorder="1"/>
    <xf numFmtId="0" fontId="12" fillId="0" borderId="5" xfId="62" applyFont="1" applyBorder="1"/>
    <xf numFmtId="0" fontId="12" fillId="0" borderId="6" xfId="62" applyFont="1" applyBorder="1" applyAlignment="1">
      <alignment horizontal="center"/>
    </xf>
    <xf numFmtId="0" fontId="12" fillId="2" borderId="5" xfId="62" applyFont="1" applyFill="1" applyBorder="1" applyAlignment="1">
      <alignment horizontal="center"/>
    </xf>
    <xf numFmtId="0" fontId="8" fillId="0" borderId="6" xfId="62" applyBorder="1" applyAlignment="1">
      <alignment horizontal="center"/>
    </xf>
    <xf numFmtId="0" fontId="13" fillId="2" borderId="5" xfId="62" applyFont="1" applyFill="1" applyBorder="1" applyAlignment="1">
      <alignment horizontal="center"/>
    </xf>
    <xf numFmtId="0" fontId="13" fillId="0" borderId="0" xfId="62" applyFont="1" applyAlignment="1">
      <alignment horizontal="center"/>
    </xf>
    <xf numFmtId="0" fontId="13" fillId="0" borderId="6" xfId="62" applyFont="1" applyBorder="1" applyAlignment="1">
      <alignment horizontal="center"/>
    </xf>
    <xf numFmtId="0" fontId="12" fillId="0" borderId="0" xfId="62" applyFont="1"/>
    <xf numFmtId="0" fontId="12" fillId="0" borderId="6" xfId="62" applyFont="1" applyBorder="1"/>
    <xf numFmtId="0" fontId="12" fillId="0" borderId="0" xfId="62" applyFont="1" applyAlignment="1">
      <alignment horizontal="center"/>
    </xf>
    <xf numFmtId="164" fontId="12" fillId="0" borderId="6" xfId="1" applyNumberFormat="1" applyFont="1" applyBorder="1" applyAlignment="1">
      <alignment horizontal="center"/>
    </xf>
    <xf numFmtId="165" fontId="12" fillId="0" borderId="5" xfId="62" applyNumberFormat="1" applyFont="1" applyBorder="1"/>
    <xf numFmtId="43" fontId="12" fillId="0" borderId="0" xfId="62" applyNumberFormat="1" applyFont="1"/>
    <xf numFmtId="164" fontId="12" fillId="0" borderId="6" xfId="1" applyNumberFormat="1" applyFont="1" applyBorder="1"/>
    <xf numFmtId="0" fontId="12" fillId="0" borderId="6" xfId="62" applyFont="1" applyBorder="1" applyAlignment="1">
      <alignment horizontal="center" wrapText="1"/>
    </xf>
    <xf numFmtId="164" fontId="12" fillId="2" borderId="5" xfId="1" applyNumberFormat="1" applyFont="1" applyFill="1" applyBorder="1"/>
    <xf numFmtId="164" fontId="118" fillId="0" borderId="0" xfId="1" applyNumberFormat="1" applyFont="1" applyBorder="1"/>
    <xf numFmtId="164" fontId="118" fillId="0" borderId="6" xfId="1" applyNumberFormat="1" applyFont="1" applyBorder="1"/>
    <xf numFmtId="164" fontId="14" fillId="2" borderId="5" xfId="1" applyNumberFormat="1" applyFont="1" applyFill="1" applyBorder="1"/>
    <xf numFmtId="164" fontId="12" fillId="0" borderId="5" xfId="1" applyNumberFormat="1" applyFont="1" applyBorder="1"/>
    <xf numFmtId="43" fontId="12" fillId="2" borderId="5" xfId="1" applyFont="1" applyFill="1" applyBorder="1"/>
    <xf numFmtId="43" fontId="12" fillId="0" borderId="0" xfId="1" applyFont="1" applyFill="1" applyBorder="1"/>
    <xf numFmtId="43" fontId="12" fillId="0" borderId="6" xfId="1" applyFont="1" applyFill="1" applyBorder="1"/>
    <xf numFmtId="164" fontId="12" fillId="0" borderId="6" xfId="1" applyNumberFormat="1" applyFont="1" applyFill="1" applyBorder="1"/>
    <xf numFmtId="0" fontId="12" fillId="0" borderId="7" xfId="62" applyFont="1" applyBorder="1"/>
    <xf numFmtId="0" fontId="12" fillId="0" borderId="8" xfId="62" applyFont="1" applyBorder="1" applyAlignment="1">
      <alignment horizontal="center"/>
    </xf>
    <xf numFmtId="164" fontId="12" fillId="0" borderId="7" xfId="1" applyNumberFormat="1" applyFont="1" applyBorder="1"/>
    <xf numFmtId="164" fontId="12" fillId="0" borderId="8" xfId="1" applyNumberFormat="1" applyFont="1" applyBorder="1"/>
    <xf numFmtId="0" fontId="12" fillId="0" borderId="1" xfId="62" applyFont="1" applyBorder="1"/>
    <xf numFmtId="0" fontId="12" fillId="0" borderId="8" xfId="62" applyFont="1" applyBorder="1"/>
    <xf numFmtId="0" fontId="13" fillId="0" borderId="9" xfId="62" applyFont="1" applyBorder="1" applyAlignment="1">
      <alignment horizontal="center"/>
    </xf>
    <xf numFmtId="0" fontId="13" fillId="0" borderId="4" xfId="62" applyFont="1" applyBorder="1" applyAlignment="1">
      <alignment horizontal="center"/>
    </xf>
    <xf numFmtId="164" fontId="13" fillId="0" borderId="3" xfId="1" applyNumberFormat="1" applyFont="1" applyBorder="1" applyAlignment="1">
      <alignment horizontal="center"/>
    </xf>
    <xf numFmtId="0" fontId="13" fillId="0" borderId="2" xfId="62" applyFont="1" applyBorder="1" applyAlignment="1">
      <alignment horizontal="center"/>
    </xf>
    <xf numFmtId="0" fontId="13" fillId="0" borderId="3" xfId="62" applyFont="1" applyBorder="1" applyAlignment="1">
      <alignment horizontal="center"/>
    </xf>
    <xf numFmtId="0" fontId="12" fillId="0" borderId="10" xfId="62" applyFont="1" applyBorder="1" applyAlignment="1">
      <alignment horizontal="center"/>
    </xf>
    <xf numFmtId="164" fontId="12" fillId="0" borderId="0" xfId="62" applyNumberFormat="1" applyFont="1"/>
    <xf numFmtId="166" fontId="12" fillId="0" borderId="10" xfId="6" applyNumberFormat="1" applyFont="1" applyBorder="1"/>
    <xf numFmtId="166" fontId="12" fillId="0" borderId="6" xfId="62" applyNumberFormat="1" applyFont="1" applyBorder="1"/>
    <xf numFmtId="166" fontId="12" fillId="0" borderId="0" xfId="62" applyNumberFormat="1" applyFont="1"/>
    <xf numFmtId="164" fontId="12" fillId="0" borderId="5" xfId="62" applyNumberFormat="1" applyFont="1" applyBorder="1"/>
    <xf numFmtId="164" fontId="8" fillId="0" borderId="0" xfId="62" applyNumberFormat="1"/>
    <xf numFmtId="166" fontId="8" fillId="0" borderId="0" xfId="62" applyNumberFormat="1"/>
    <xf numFmtId="164" fontId="12" fillId="0" borderId="0" xfId="157" applyNumberFormat="1" applyFont="1" applyBorder="1"/>
    <xf numFmtId="164" fontId="12" fillId="0" borderId="6" xfId="157" applyNumberFormat="1" applyFont="1" applyBorder="1"/>
    <xf numFmtId="43" fontId="12" fillId="0" borderId="0" xfId="157" applyFont="1" applyBorder="1"/>
    <xf numFmtId="164" fontId="13" fillId="0" borderId="10" xfId="62" applyNumberFormat="1" applyFont="1" applyBorder="1"/>
    <xf numFmtId="164" fontId="13" fillId="0" borderId="0" xfId="62" applyNumberFormat="1" applyFont="1"/>
    <xf numFmtId="164" fontId="13" fillId="0" borderId="6" xfId="1" applyNumberFormat="1" applyFont="1" applyBorder="1"/>
    <xf numFmtId="164" fontId="13" fillId="0" borderId="11" xfId="62" applyNumberFormat="1" applyFont="1" applyBorder="1"/>
    <xf numFmtId="164" fontId="13" fillId="0" borderId="1" xfId="62" applyNumberFormat="1" applyFont="1" applyBorder="1"/>
    <xf numFmtId="164" fontId="13" fillId="0" borderId="8" xfId="1" applyNumberFormat="1" applyFont="1" applyBorder="1"/>
    <xf numFmtId="166" fontId="12" fillId="0" borderId="11" xfId="6" applyNumberFormat="1" applyFont="1" applyBorder="1"/>
    <xf numFmtId="166" fontId="12" fillId="0" borderId="1" xfId="62" applyNumberFormat="1" applyFont="1" applyBorder="1"/>
    <xf numFmtId="164" fontId="12" fillId="0" borderId="0" xfId="1" applyNumberFormat="1" applyFont="1"/>
    <xf numFmtId="166" fontId="12" fillId="0" borderId="0" xfId="6" applyNumberFormat="1" applyFont="1"/>
    <xf numFmtId="43" fontId="8" fillId="0" borderId="0" xfId="62" applyNumberFormat="1"/>
    <xf numFmtId="164" fontId="8" fillId="0" borderId="0" xfId="1" applyNumberFormat="1" applyFill="1" applyBorder="1"/>
    <xf numFmtId="0" fontId="26" fillId="0" borderId="0" xfId="0" applyFont="1"/>
    <xf numFmtId="0" fontId="27" fillId="0" borderId="0" xfId="0" applyFont="1"/>
    <xf numFmtId="0" fontId="8" fillId="0" borderId="5" xfId="0" applyFont="1" applyBorder="1"/>
    <xf numFmtId="166" fontId="8" fillId="0" borderId="0" xfId="10" applyNumberFormat="1" applyFont="1" applyBorder="1"/>
    <xf numFmtId="0" fontId="8" fillId="0" borderId="6" xfId="0" applyFont="1" applyBorder="1"/>
    <xf numFmtId="0" fontId="8" fillId="0" borderId="7" xfId="0" applyFont="1" applyBorder="1"/>
    <xf numFmtId="0" fontId="8" fillId="0" borderId="1" xfId="0" applyFont="1" applyBorder="1"/>
    <xf numFmtId="166" fontId="8" fillId="0" borderId="1" xfId="0" applyNumberFormat="1" applyFont="1" applyBorder="1"/>
    <xf numFmtId="0" fontId="8" fillId="0" borderId="8" xfId="0" applyFont="1" applyBorder="1"/>
    <xf numFmtId="0" fontId="24" fillId="0" borderId="5" xfId="0" applyFont="1" applyBorder="1"/>
    <xf numFmtId="0" fontId="24" fillId="0" borderId="0" xfId="0" applyFont="1" applyAlignment="1">
      <alignment horizontal="center"/>
    </xf>
    <xf numFmtId="166" fontId="24" fillId="0" borderId="0" xfId="10" applyNumberFormat="1" applyFont="1" applyBorder="1" applyAlignment="1">
      <alignment horizontal="center"/>
    </xf>
    <xf numFmtId="0" fontId="24" fillId="0" borderId="6" xfId="0" applyFont="1" applyBorder="1" applyAlignment="1">
      <alignment horizontal="center"/>
    </xf>
    <xf numFmtId="166" fontId="24" fillId="0" borderId="0" xfId="0" applyNumberFormat="1" applyFont="1"/>
    <xf numFmtId="166" fontId="24" fillId="0" borderId="6" xfId="0" applyNumberFormat="1" applyFont="1" applyBorder="1"/>
    <xf numFmtId="166" fontId="24" fillId="0" borderId="0" xfId="10" applyNumberFormat="1" applyFont="1" applyBorder="1"/>
    <xf numFmtId="164" fontId="24" fillId="0" borderId="0" xfId="10" applyNumberFormat="1" applyFont="1" applyBorder="1"/>
    <xf numFmtId="0" fontId="24" fillId="0" borderId="12" xfId="0" applyFont="1" applyBorder="1"/>
    <xf numFmtId="166" fontId="24" fillId="0" borderId="12" xfId="10" applyNumberFormat="1" applyFont="1" applyBorder="1"/>
    <xf numFmtId="164" fontId="24" fillId="0" borderId="12" xfId="0" applyNumberFormat="1" applyFont="1" applyBorder="1"/>
    <xf numFmtId="166" fontId="24" fillId="0" borderId="13" xfId="0" applyNumberFormat="1" applyFont="1" applyBorder="1"/>
    <xf numFmtId="0" fontId="24" fillId="0" borderId="7" xfId="0" applyFont="1" applyBorder="1"/>
    <xf numFmtId="0" fontId="24" fillId="0" borderId="1" xfId="0" applyFont="1" applyBorder="1"/>
    <xf numFmtId="166" fontId="24" fillId="0" borderId="1" xfId="0" applyNumberFormat="1" applyFont="1" applyBorder="1"/>
    <xf numFmtId="166" fontId="24" fillId="0" borderId="1" xfId="10" applyNumberFormat="1" applyFont="1" applyBorder="1"/>
    <xf numFmtId="166" fontId="24" fillId="0" borderId="8" xfId="0" applyNumberFormat="1" applyFont="1" applyBorder="1"/>
    <xf numFmtId="0" fontId="24" fillId="0" borderId="0" xfId="0" applyFont="1" applyBorder="1"/>
    <xf numFmtId="166" fontId="24" fillId="0" borderId="0" xfId="0" applyNumberFormat="1" applyFont="1" applyBorder="1"/>
    <xf numFmtId="0" fontId="12" fillId="0" borderId="0" xfId="62" applyFont="1" applyBorder="1" applyAlignment="1">
      <alignment horizontal="left"/>
    </xf>
    <xf numFmtId="3" fontId="68" fillId="0" borderId="0" xfId="27" applyNumberFormat="1" applyFont="1" applyAlignment="1">
      <alignment horizontal="left"/>
    </xf>
    <xf numFmtId="0" fontId="8" fillId="0" borderId="0" xfId="62" applyFill="1"/>
    <xf numFmtId="0" fontId="12" fillId="0" borderId="5" xfId="62" applyFont="1" applyFill="1" applyBorder="1"/>
    <xf numFmtId="0" fontId="12" fillId="0" borderId="10" xfId="62" applyFont="1" applyFill="1" applyBorder="1" applyAlignment="1">
      <alignment horizontal="center"/>
    </xf>
    <xf numFmtId="164" fontId="12" fillId="0" borderId="0" xfId="62" applyNumberFormat="1" applyFont="1" applyFill="1"/>
    <xf numFmtId="164" fontId="12" fillId="0" borderId="5" xfId="62" applyNumberFormat="1" applyFont="1" applyFill="1" applyBorder="1"/>
    <xf numFmtId="166" fontId="12" fillId="0" borderId="10" xfId="6" applyNumberFormat="1" applyFont="1" applyFill="1" applyBorder="1"/>
    <xf numFmtId="166" fontId="12" fillId="0" borderId="0" xfId="62" applyNumberFormat="1" applyFont="1" applyFill="1"/>
    <xf numFmtId="0" fontId="12" fillId="0" borderId="6" xfId="62" applyFont="1" applyFill="1" applyBorder="1"/>
    <xf numFmtId="164" fontId="8" fillId="0" borderId="0" xfId="62" applyNumberFormat="1" applyFill="1"/>
    <xf numFmtId="0" fontId="18" fillId="0" borderId="0" xfId="0" applyFont="1" applyFill="1" applyAlignment="1">
      <alignment horizontal="left"/>
    </xf>
    <xf numFmtId="0" fontId="69" fillId="0" borderId="0" xfId="26" applyFont="1" applyFill="1" applyBorder="1" applyAlignment="1">
      <alignment wrapText="1"/>
    </xf>
    <xf numFmtId="10" fontId="46" fillId="0" borderId="0" xfId="47" applyNumberFormat="1" applyFont="1" applyFill="1" applyBorder="1"/>
    <xf numFmtId="164" fontId="0" fillId="0" borderId="5" xfId="48" applyNumberFormat="1" applyFont="1" applyFill="1" applyBorder="1" applyAlignment="1">
      <alignment horizontal="center"/>
    </xf>
    <xf numFmtId="164" fontId="0" fillId="0" borderId="0" xfId="48" applyNumberFormat="1" applyFont="1" applyFill="1"/>
    <xf numFmtId="164" fontId="0" fillId="0" borderId="0" xfId="48" applyNumberFormat="1" applyFont="1" applyFill="1" applyAlignment="1">
      <alignment horizontal="center"/>
    </xf>
    <xf numFmtId="164" fontId="0" fillId="0" borderId="7" xfId="48" applyNumberFormat="1" applyFont="1" applyFill="1" applyBorder="1" applyAlignment="1">
      <alignment horizontal="center"/>
    </xf>
    <xf numFmtId="164" fontId="0" fillId="0" borderId="1" xfId="48" applyNumberFormat="1" applyFont="1" applyFill="1" applyBorder="1" applyAlignment="1">
      <alignment horizontal="center"/>
    </xf>
    <xf numFmtId="164" fontId="12" fillId="0" borderId="5" xfId="48" applyNumberFormat="1" applyFont="1" applyFill="1" applyBorder="1"/>
    <xf numFmtId="164" fontId="13" fillId="0" borderId="38" xfId="48" applyNumberFormat="1" applyFont="1" applyFill="1" applyBorder="1"/>
    <xf numFmtId="0" fontId="11" fillId="0" borderId="0" xfId="7" applyFont="1"/>
    <xf numFmtId="0" fontId="9" fillId="0" borderId="0" xfId="7" applyFont="1"/>
    <xf numFmtId="0" fontId="9" fillId="0" borderId="0" xfId="33" applyFont="1" applyAlignment="1">
      <alignment horizontal="left"/>
    </xf>
    <xf numFmtId="177" fontId="8" fillId="8" borderId="0" xfId="33" applyNumberFormat="1" applyFill="1"/>
    <xf numFmtId="43" fontId="24" fillId="0" borderId="0" xfId="48" applyFont="1"/>
    <xf numFmtId="44" fontId="8" fillId="0" borderId="0" xfId="33" applyNumberFormat="1"/>
    <xf numFmtId="177" fontId="0" fillId="0" borderId="0" xfId="8" applyNumberFormat="1" applyFont="1"/>
    <xf numFmtId="177" fontId="0" fillId="0" borderId="0" xfId="10" applyNumberFormat="1" applyFont="1"/>
    <xf numFmtId="177" fontId="46" fillId="0" borderId="0" xfId="24" applyNumberFormat="1" applyFont="1"/>
    <xf numFmtId="177" fontId="46" fillId="0" borderId="0" xfId="22" applyNumberFormat="1" applyFont="1"/>
    <xf numFmtId="177" fontId="8" fillId="0" borderId="0" xfId="33" applyNumberFormat="1"/>
    <xf numFmtId="41" fontId="8" fillId="0" borderId="0" xfId="7" applyNumberFormat="1"/>
    <xf numFmtId="41" fontId="8" fillId="0" borderId="0" xfId="7" applyNumberFormat="1" applyAlignment="1">
      <alignment horizontal="center"/>
    </xf>
    <xf numFmtId="49" fontId="8" fillId="0" borderId="0" xfId="7" applyNumberFormat="1" applyAlignment="1">
      <alignment horizontal="left"/>
    </xf>
    <xf numFmtId="41" fontId="4" fillId="0" borderId="0" xfId="7" applyNumberFormat="1" applyFont="1"/>
    <xf numFmtId="42" fontId="8" fillId="0" borderId="0" xfId="7" applyNumberFormat="1"/>
    <xf numFmtId="0" fontId="46" fillId="0" borderId="0" xfId="0" applyFont="1" applyAlignment="1">
      <alignment horizontal="left" vertical="top" wrapText="1"/>
    </xf>
    <xf numFmtId="0" fontId="65" fillId="0" borderId="30" xfId="0" applyFont="1" applyBorder="1" applyAlignment="1">
      <alignment horizontal="center" vertical="center"/>
    </xf>
    <xf numFmtId="0" fontId="65" fillId="0" borderId="22" xfId="0" applyFont="1" applyBorder="1" applyAlignment="1">
      <alignment horizontal="center" vertical="center"/>
    </xf>
    <xf numFmtId="0" fontId="65" fillId="0" borderId="21" xfId="0" applyFont="1" applyBorder="1" applyAlignment="1">
      <alignment horizontal="center" vertical="center"/>
    </xf>
    <xf numFmtId="0" fontId="65" fillId="0" borderId="24" xfId="0" applyFont="1" applyBorder="1" applyAlignment="1">
      <alignment horizontal="center" vertical="center"/>
    </xf>
    <xf numFmtId="0" fontId="88" fillId="0" borderId="0" xfId="0" applyFont="1" applyAlignment="1">
      <alignment horizontal="center"/>
    </xf>
    <xf numFmtId="0" fontId="65" fillId="0" borderId="0" xfId="0" applyFont="1" applyAlignment="1">
      <alignment horizontal="left" vertical="center" indent="1"/>
    </xf>
    <xf numFmtId="0" fontId="8" fillId="0" borderId="0" xfId="0" applyFont="1" applyAlignment="1">
      <alignment horizontal="left" vertical="top" wrapText="1"/>
    </xf>
    <xf numFmtId="0" fontId="46" fillId="0" borderId="0" xfId="0" applyFont="1" applyAlignment="1">
      <alignment horizontal="center" vertical="center" wrapText="1"/>
    </xf>
    <xf numFmtId="0" fontId="46" fillId="0" borderId="12" xfId="0" applyFont="1" applyBorder="1" applyAlignment="1">
      <alignment horizontal="center" wrapText="1"/>
    </xf>
    <xf numFmtId="0" fontId="19" fillId="4" borderId="14" xfId="0" applyFont="1" applyFill="1" applyBorder="1" applyAlignment="1">
      <alignment horizontal="left"/>
    </xf>
    <xf numFmtId="0" fontId="25" fillId="0" borderId="0" xfId="0" applyFont="1" applyAlignment="1">
      <alignment horizontal="center"/>
    </xf>
    <xf numFmtId="164" fontId="46" fillId="0" borderId="34" xfId="48" applyNumberFormat="1" applyFont="1" applyBorder="1" applyAlignment="1">
      <alignment vertical="center" wrapText="1"/>
    </xf>
    <xf numFmtId="164" fontId="46" fillId="0" borderId="0" xfId="48" applyNumberFormat="1" applyFont="1" applyAlignment="1">
      <alignment vertical="center" wrapText="1"/>
    </xf>
    <xf numFmtId="164" fontId="110" fillId="0" borderId="0" xfId="48" applyNumberFormat="1" applyFont="1" applyAlignment="1">
      <alignment vertical="center" wrapText="1"/>
    </xf>
    <xf numFmtId="164" fontId="46" fillId="10" borderId="0" xfId="48" applyNumberFormat="1" applyFont="1" applyFill="1" applyAlignment="1">
      <alignment vertical="center" wrapText="1"/>
    </xf>
    <xf numFmtId="0" fontId="46" fillId="0" borderId="0" xfId="48" applyNumberFormat="1" applyFont="1" applyAlignment="1">
      <alignment horizontal="right" vertical="center" wrapText="1"/>
    </xf>
    <xf numFmtId="164" fontId="46" fillId="0" borderId="19" xfId="48" applyNumberFormat="1" applyFont="1" applyBorder="1" applyAlignment="1">
      <alignment horizontal="right" vertical="center" wrapText="1"/>
    </xf>
    <xf numFmtId="164" fontId="46" fillId="0" borderId="19" xfId="48" applyNumberFormat="1" applyFont="1" applyBorder="1" applyAlignment="1">
      <alignment vertical="center" wrapText="1"/>
    </xf>
    <xf numFmtId="164" fontId="46" fillId="0" borderId="0" xfId="48" applyNumberFormat="1" applyFont="1" applyAlignment="1">
      <alignment horizontal="right" vertical="center" wrapText="1"/>
    </xf>
    <xf numFmtId="10" fontId="46" fillId="0" borderId="0" xfId="47" applyNumberFormat="1" applyFont="1"/>
    <xf numFmtId="164" fontId="46" fillId="10" borderId="0" xfId="48" applyNumberFormat="1" applyFont="1" applyFill="1" applyAlignment="1">
      <alignment horizontal="right" vertical="center" wrapText="1"/>
    </xf>
    <xf numFmtId="0" fontId="46" fillId="10" borderId="0" xfId="48" applyNumberFormat="1" applyFont="1" applyFill="1" applyAlignment="1">
      <alignment horizontal="right" vertical="center" wrapText="1"/>
    </xf>
    <xf numFmtId="41" fontId="8" fillId="10" borderId="23" xfId="14" applyNumberFormat="1" applyFill="1" applyBorder="1" applyAlignment="1">
      <alignment vertical="top"/>
    </xf>
    <xf numFmtId="37" fontId="8" fillId="10" borderId="23" xfId="14" applyNumberFormat="1" applyFill="1" applyBorder="1" applyAlignment="1">
      <alignment horizontal="left" vertical="top"/>
    </xf>
    <xf numFmtId="37" fontId="8" fillId="10" borderId="24" xfId="14" applyNumberFormat="1" applyFill="1" applyBorder="1" applyAlignment="1">
      <alignment horizontal="left" vertical="top"/>
    </xf>
    <xf numFmtId="37" fontId="8" fillId="10" borderId="22" xfId="14" applyNumberFormat="1" applyFill="1" applyBorder="1" applyAlignment="1">
      <alignment horizontal="left" vertical="top"/>
    </xf>
    <xf numFmtId="0" fontId="8" fillId="10" borderId="23" xfId="0" applyFont="1" applyFill="1" applyBorder="1" applyAlignment="1">
      <alignment horizontal="left" vertical="top" wrapText="1"/>
    </xf>
    <xf numFmtId="0" fontId="46" fillId="10" borderId="23" xfId="14" applyFont="1" applyFill="1" applyBorder="1"/>
    <xf numFmtId="0" fontId="46" fillId="10" borderId="25" xfId="14" applyFont="1" applyFill="1" applyBorder="1"/>
    <xf numFmtId="0" fontId="8" fillId="10" borderId="23" xfId="0" applyFont="1" applyFill="1" applyBorder="1" applyAlignment="1">
      <alignment horizontal="left" wrapText="1"/>
    </xf>
    <xf numFmtId="164" fontId="8" fillId="0" borderId="0" xfId="18" applyNumberFormat="1" applyFont="1"/>
    <xf numFmtId="164" fontId="8" fillId="0" borderId="12" xfId="48" applyNumberFormat="1" applyFont="1" applyBorder="1"/>
    <xf numFmtId="164" fontId="109" fillId="0" borderId="0" xfId="48" applyNumberFormat="1" applyFont="1"/>
    <xf numFmtId="164" fontId="46" fillId="0" borderId="0" xfId="8" applyNumberFormat="1" applyFont="1"/>
    <xf numFmtId="164" fontId="8" fillId="0" borderId="0" xfId="158" applyNumberFormat="1" applyFont="1"/>
    <xf numFmtId="167" fontId="46" fillId="0" borderId="0" xfId="145" applyNumberFormat="1" applyFont="1"/>
    <xf numFmtId="164" fontId="8" fillId="0" borderId="0" xfId="158" applyNumberFormat="1" applyFont="1" applyProtection="1">
      <protection locked="0"/>
    </xf>
    <xf numFmtId="164" fontId="46" fillId="10" borderId="0" xfId="8" applyNumberFormat="1" applyFont="1" applyFill="1"/>
    <xf numFmtId="42" fontId="46" fillId="0" borderId="0" xfId="8" applyNumberFormat="1" applyFont="1"/>
    <xf numFmtId="42" fontId="46" fillId="10" borderId="0" xfId="8" applyNumberFormat="1" applyFont="1" applyFill="1"/>
    <xf numFmtId="0" fontId="8" fillId="0" borderId="0" xfId="159" applyFont="1"/>
    <xf numFmtId="164" fontId="64" fillId="8" borderId="0" xfId="8" applyNumberFormat="1" applyFont="1" applyFill="1"/>
    <xf numFmtId="164" fontId="43" fillId="8" borderId="0" xfId="8" applyNumberFormat="1" applyFont="1" applyFill="1" applyAlignment="1">
      <alignment horizontal="center"/>
    </xf>
    <xf numFmtId="164" fontId="64" fillId="8" borderId="0" xfId="8" applyNumberFormat="1" applyFont="1" applyFill="1" applyAlignment="1">
      <alignment horizontal="center"/>
    </xf>
    <xf numFmtId="166" fontId="64" fillId="8" borderId="0" xfId="60" applyNumberFormat="1" applyFont="1" applyFill="1" applyAlignment="1">
      <alignment horizontal="center"/>
    </xf>
    <xf numFmtId="10" fontId="64" fillId="10" borderId="0" xfId="153" applyNumberFormat="1" applyFont="1" applyFill="1" applyAlignment="1">
      <alignment horizontal="center"/>
    </xf>
    <xf numFmtId="164" fontId="64" fillId="8" borderId="0" xfId="8" quotePrefix="1" applyNumberFormat="1" applyFont="1" applyFill="1" applyAlignment="1">
      <alignment horizontal="center"/>
    </xf>
    <xf numFmtId="166" fontId="64" fillId="8" borderId="0" xfId="60" applyNumberFormat="1" applyFont="1" applyFill="1"/>
    <xf numFmtId="0" fontId="34" fillId="8" borderId="0" xfId="8" applyNumberFormat="1" applyFont="1" applyFill="1"/>
    <xf numFmtId="0" fontId="34" fillId="8" borderId="6" xfId="8" applyNumberFormat="1" applyFont="1" applyFill="1" applyBorder="1"/>
    <xf numFmtId="164" fontId="64" fillId="10" borderId="0" xfId="8" applyNumberFormat="1" applyFont="1" applyFill="1"/>
    <xf numFmtId="0" fontId="34" fillId="8" borderId="0" xfId="60" applyNumberFormat="1" applyFont="1" applyFill="1"/>
    <xf numFmtId="0" fontId="34" fillId="8" borderId="6" xfId="60" applyNumberFormat="1" applyFont="1" applyFill="1" applyBorder="1"/>
    <xf numFmtId="168" fontId="25" fillId="0" borderId="0" xfId="19" applyFont="1" applyAlignment="1" applyProtection="1">
      <alignment horizontal="left" vertical="top" wrapText="1"/>
      <protection locked="0"/>
    </xf>
    <xf numFmtId="0" fontId="25" fillId="0" borderId="12" xfId="0" applyNumberFormat="1" applyFont="1" applyFill="1" applyBorder="1" applyAlignment="1">
      <alignment horizontal="left" indent="1"/>
    </xf>
    <xf numFmtId="164" fontId="46" fillId="10" borderId="0" xfId="48" applyNumberFormat="1" applyFont="1" applyFill="1" applyBorder="1" applyAlignment="1">
      <alignment vertical="center" wrapText="1"/>
    </xf>
    <xf numFmtId="164" fontId="46" fillId="10" borderId="0" xfId="48" applyNumberFormat="1" applyFont="1" applyFill="1" applyBorder="1" applyAlignment="1">
      <alignment horizontal="right" vertical="center" wrapText="1"/>
    </xf>
    <xf numFmtId="0" fontId="46" fillId="10" borderId="0" xfId="48" applyNumberFormat="1" applyFont="1" applyFill="1" applyBorder="1" applyAlignment="1">
      <alignment horizontal="right" vertical="center" wrapText="1"/>
    </xf>
    <xf numFmtId="164" fontId="46" fillId="0" borderId="0" xfId="48" applyNumberFormat="1" applyFont="1"/>
    <xf numFmtId="3" fontId="25" fillId="10" borderId="0" xfId="48" quotePrefix="1" applyNumberFormat="1" applyFont="1" applyFill="1" applyAlignment="1">
      <alignment horizontal="right"/>
    </xf>
    <xf numFmtId="3" fontId="25" fillId="10" borderId="12" xfId="48" quotePrefix="1" applyNumberFormat="1" applyFont="1" applyFill="1" applyBorder="1" applyAlignment="1">
      <alignment horizontal="right"/>
    </xf>
    <xf numFmtId="3" fontId="25" fillId="2" borderId="0" xfId="48" applyNumberFormat="1" applyFont="1" applyFill="1" applyBorder="1" applyAlignment="1">
      <alignment horizontal="right"/>
    </xf>
    <xf numFmtId="3" fontId="25" fillId="2" borderId="0" xfId="48" applyNumberFormat="1" applyFont="1" applyFill="1" applyAlignment="1"/>
    <xf numFmtId="3" fontId="25" fillId="2" borderId="12" xfId="48" applyNumberFormat="1" applyFont="1" applyFill="1" applyBorder="1" applyAlignment="1"/>
    <xf numFmtId="3" fontId="25" fillId="0" borderId="19" xfId="48" applyNumberFormat="1" applyFont="1" applyFill="1" applyBorder="1" applyAlignment="1">
      <alignment horizontal="right"/>
    </xf>
    <xf numFmtId="0" fontId="25" fillId="0" borderId="0" xfId="0" applyFont="1" applyFill="1" applyBorder="1" applyAlignment="1">
      <alignment horizontal="left" indent="1"/>
    </xf>
    <xf numFmtId="0" fontId="25" fillId="0" borderId="0" xfId="0" applyNumberFormat="1" applyFont="1" applyFill="1" applyAlignment="1">
      <alignment horizontal="left" indent="1"/>
    </xf>
    <xf numFmtId="0" fontId="25" fillId="0" borderId="0" xfId="0" applyNumberFormat="1" applyFont="1" applyBorder="1" applyAlignment="1">
      <alignment horizontal="left" indent="1"/>
    </xf>
    <xf numFmtId="0" fontId="25" fillId="0" borderId="0" xfId="0" applyFont="1" applyAlignment="1">
      <alignment vertical="top"/>
    </xf>
    <xf numFmtId="10" fontId="25" fillId="0" borderId="0" xfId="0" applyNumberFormat="1" applyFont="1"/>
    <xf numFmtId="0" fontId="8" fillId="0" borderId="0" xfId="14" applyAlignment="1">
      <alignment horizontal="left" vertical="top" wrapText="1"/>
    </xf>
    <xf numFmtId="0" fontId="68" fillId="0" borderId="0" xfId="26" applyFont="1" applyFill="1" applyAlignment="1">
      <alignment horizontal="center" wrapText="1"/>
    </xf>
    <xf numFmtId="0" fontId="25" fillId="0" borderId="0" xfId="0" applyFont="1" applyAlignment="1">
      <alignment horizontal="center"/>
    </xf>
    <xf numFmtId="0" fontId="46" fillId="0" borderId="0" xfId="152" applyFont="1"/>
    <xf numFmtId="0" fontId="46" fillId="0" borderId="0" xfId="152" applyFont="1" applyAlignment="1">
      <alignment horizontal="center"/>
    </xf>
    <xf numFmtId="0" fontId="46" fillId="0" borderId="0" xfId="152" applyFont="1" applyAlignment="1">
      <alignment horizontal="left"/>
    </xf>
    <xf numFmtId="0" fontId="65" fillId="0" borderId="12" xfId="0" applyFont="1" applyBorder="1" applyAlignment="1">
      <alignment horizontal="center" wrapText="1"/>
    </xf>
    <xf numFmtId="0" fontId="65" fillId="0" borderId="12" xfId="0" applyFont="1" applyBorder="1" applyAlignment="1">
      <alignment horizontal="left" wrapText="1"/>
    </xf>
    <xf numFmtId="0" fontId="65" fillId="0" borderId="0" xfId="0" applyFont="1" applyAlignment="1">
      <alignment horizontal="left" wrapText="1" indent="1"/>
    </xf>
    <xf numFmtId="0" fontId="65" fillId="0" borderId="0" xfId="0" applyFont="1" applyAlignment="1">
      <alignment horizontal="center" wrapText="1"/>
    </xf>
    <xf numFmtId="0" fontId="65" fillId="0" borderId="0" xfId="0" applyFont="1" applyAlignment="1">
      <alignment horizontal="left" wrapText="1"/>
    </xf>
    <xf numFmtId="0" fontId="120" fillId="0" borderId="0" xfId="0" applyFont="1"/>
    <xf numFmtId="164" fontId="8" fillId="0" borderId="0" xfId="8" applyNumberFormat="1" applyFont="1" applyProtection="1">
      <protection locked="0"/>
    </xf>
    <xf numFmtId="167" fontId="8" fillId="0" borderId="0" xfId="145" applyNumberFormat="1" applyFont="1"/>
    <xf numFmtId="164" fontId="65" fillId="0" borderId="0" xfId="0" applyNumberFormat="1" applyFont="1"/>
    <xf numFmtId="42" fontId="65" fillId="0" borderId="19" xfId="48" applyNumberFormat="1" applyFont="1" applyBorder="1"/>
    <xf numFmtId="164" fontId="122" fillId="0" borderId="0" xfId="151" applyNumberFormat="1" applyFont="1" applyProtection="1">
      <protection locked="0"/>
    </xf>
    <xf numFmtId="164" fontId="122" fillId="0" borderId="0" xfId="151" applyNumberFormat="1" applyFont="1"/>
    <xf numFmtId="167" fontId="122" fillId="0" borderId="0" xfId="47" applyNumberFormat="1" applyFont="1"/>
    <xf numFmtId="42" fontId="46" fillId="0" borderId="0" xfId="48" applyNumberFormat="1" applyFont="1"/>
    <xf numFmtId="42" fontId="65" fillId="0" borderId="20" xfId="0" applyNumberFormat="1" applyFont="1" applyBorder="1"/>
    <xf numFmtId="164" fontId="46" fillId="0" borderId="0" xfId="152" applyNumberFormat="1" applyFont="1"/>
    <xf numFmtId="0" fontId="46" fillId="0" borderId="0" xfId="152" applyFont="1" applyAlignment="1">
      <alignment horizontal="center" vertical="center"/>
    </xf>
    <xf numFmtId="0" fontId="123" fillId="6" borderId="0" xfId="0" applyFont="1" applyFill="1" applyAlignment="1">
      <alignment horizontal="left"/>
    </xf>
    <xf numFmtId="0" fontId="8" fillId="6" borderId="0" xfId="0" applyFont="1" applyFill="1" applyAlignment="1">
      <alignment horizontal="center"/>
    </xf>
    <xf numFmtId="0" fontId="8" fillId="6" borderId="0" xfId="0" applyFont="1" applyFill="1"/>
    <xf numFmtId="3" fontId="8" fillId="6" borderId="0" xfId="0" applyNumberFormat="1" applyFont="1" applyFill="1" applyAlignment="1">
      <alignment horizontal="center"/>
    </xf>
    <xf numFmtId="0" fontId="124" fillId="0" borderId="0" xfId="152" applyFont="1"/>
    <xf numFmtId="0" fontId="124" fillId="0" borderId="0" xfId="152" applyFont="1" applyAlignment="1">
      <alignment horizontal="center"/>
    </xf>
    <xf numFmtId="0" fontId="125" fillId="12" borderId="0" xfId="0" applyFont="1" applyFill="1"/>
    <xf numFmtId="0" fontId="34" fillId="8" borderId="0" xfId="0" applyFont="1" applyFill="1" applyAlignment="1">
      <alignment vertical="top" wrapText="1"/>
    </xf>
    <xf numFmtId="0" fontId="25" fillId="8" borderId="0" xfId="0" applyNumberFormat="1" applyFont="1" applyFill="1" applyBorder="1" applyAlignment="1">
      <alignment horizontal="left" indent="1"/>
    </xf>
    <xf numFmtId="0" fontId="7" fillId="0" borderId="0" xfId="0" applyFont="1" applyFill="1" applyAlignment="1">
      <alignment horizontal="center"/>
    </xf>
    <xf numFmtId="0" fontId="56" fillId="0" borderId="0" xfId="0" applyFont="1" applyFill="1"/>
    <xf numFmtId="164" fontId="7" fillId="0" borderId="0" xfId="8" applyNumberFormat="1" applyFont="1" applyFill="1"/>
    <xf numFmtId="164" fontId="8" fillId="2" borderId="0" xfId="8" applyNumberFormat="1" applyFont="1" applyFill="1" applyAlignment="1">
      <alignment horizontal="right"/>
    </xf>
    <xf numFmtId="164" fontId="12" fillId="0" borderId="0" xfId="8" applyNumberFormat="1" applyFont="1" applyBorder="1"/>
    <xf numFmtId="164" fontId="12" fillId="0" borderId="0" xfId="4" applyNumberFormat="1" applyFont="1" applyBorder="1"/>
    <xf numFmtId="9" fontId="12" fillId="0" borderId="0" xfId="145" applyFont="1" applyBorder="1"/>
    <xf numFmtId="164" fontId="0" fillId="0" borderId="0" xfId="0" applyNumberFormat="1"/>
    <xf numFmtId="164" fontId="65" fillId="0" borderId="0" xfId="0" applyNumberFormat="1" applyFont="1" applyBorder="1"/>
    <xf numFmtId="0" fontId="84" fillId="0" borderId="0" xfId="53" applyFont="1"/>
    <xf numFmtId="43" fontId="8" fillId="8" borderId="0" xfId="48" applyFont="1" applyFill="1"/>
    <xf numFmtId="177" fontId="126" fillId="0" borderId="0" xfId="8" applyNumberFormat="1" applyFont="1" applyAlignment="1">
      <alignment horizontal="center"/>
    </xf>
    <xf numFmtId="177" fontId="127" fillId="0" borderId="0" xfId="10" applyNumberFormat="1" applyFont="1"/>
    <xf numFmtId="43" fontId="8" fillId="0" borderId="0" xfId="48" applyFont="1"/>
    <xf numFmtId="177" fontId="24" fillId="0" borderId="0" xfId="22" applyNumberFormat="1" applyFont="1"/>
    <xf numFmtId="177" fontId="24" fillId="0" borderId="0" xfId="24" applyNumberFormat="1" applyFont="1"/>
    <xf numFmtId="177" fontId="127" fillId="0" borderId="0" xfId="8" applyNumberFormat="1" applyFont="1"/>
    <xf numFmtId="43" fontId="128" fillId="0" borderId="0" xfId="48" applyFont="1"/>
    <xf numFmtId="0" fontId="0" fillId="0" borderId="12" xfId="0" applyBorder="1"/>
    <xf numFmtId="43" fontId="8" fillId="8" borderId="12" xfId="48" applyFont="1" applyFill="1" applyBorder="1"/>
    <xf numFmtId="177" fontId="127" fillId="0" borderId="12" xfId="10" applyNumberFormat="1" applyFont="1" applyBorder="1"/>
    <xf numFmtId="177" fontId="127" fillId="0" borderId="12" xfId="8" applyNumberFormat="1" applyFont="1" applyBorder="1"/>
    <xf numFmtId="0" fontId="24" fillId="0" borderId="12" xfId="33" applyFont="1" applyBorder="1"/>
    <xf numFmtId="164" fontId="12" fillId="0" borderId="0" xfId="8" applyNumberFormat="1" applyFont="1" applyFill="1" applyBorder="1"/>
    <xf numFmtId="164" fontId="12" fillId="0" borderId="1" xfId="8" applyNumberFormat="1" applyFont="1" applyFill="1" applyBorder="1"/>
    <xf numFmtId="164" fontId="6" fillId="0" borderId="0" xfId="48" applyNumberFormat="1" applyFont="1"/>
    <xf numFmtId="164" fontId="6" fillId="0" borderId="1" xfId="48" applyNumberFormat="1" applyFont="1" applyBorder="1"/>
    <xf numFmtId="168" fontId="68" fillId="0" borderId="0" xfId="25" applyFont="1" applyAlignment="1">
      <alignment horizontal="left"/>
    </xf>
    <xf numFmtId="164" fontId="12" fillId="0" borderId="7" xfId="8" applyNumberFormat="1" applyFont="1" applyFill="1" applyBorder="1" applyAlignment="1">
      <alignment horizontal="right"/>
    </xf>
    <xf numFmtId="0" fontId="46" fillId="14" borderId="0" xfId="0" quotePrefix="1" applyFont="1" applyFill="1"/>
    <xf numFmtId="0" fontId="20" fillId="3" borderId="4" xfId="0" applyFont="1" applyFill="1" applyBorder="1" applyAlignment="1">
      <alignment horizontal="center" wrapText="1"/>
    </xf>
    <xf numFmtId="0" fontId="13" fillId="0" borderId="2" xfId="62" applyFont="1" applyBorder="1" applyAlignment="1">
      <alignment horizontal="center"/>
    </xf>
    <xf numFmtId="0" fontId="13" fillId="0" borderId="4" xfId="62" applyFont="1" applyBorder="1" applyAlignment="1">
      <alignment horizontal="center"/>
    </xf>
    <xf numFmtId="0" fontId="13" fillId="0" borderId="3" xfId="62" applyFont="1" applyBorder="1" applyAlignment="1">
      <alignment horizontal="center"/>
    </xf>
    <xf numFmtId="0" fontId="13" fillId="0" borderId="2" xfId="0" applyFont="1" applyBorder="1" applyAlignment="1">
      <alignment horizontal="centerContinuous" wrapText="1"/>
    </xf>
    <xf numFmtId="0" fontId="13" fillId="0" borderId="4" xfId="0" applyFont="1" applyBorder="1" applyAlignment="1">
      <alignment horizontal="centerContinuous"/>
    </xf>
    <xf numFmtId="0" fontId="13" fillId="0" borderId="3" xfId="0" applyFont="1" applyBorder="1" applyAlignment="1">
      <alignment horizontal="centerContinuous"/>
    </xf>
    <xf numFmtId="0" fontId="13" fillId="0" borderId="6" xfId="0" applyFont="1" applyBorder="1" applyAlignment="1">
      <alignment horizontal="center"/>
    </xf>
    <xf numFmtId="0" fontId="12" fillId="2" borderId="5" xfId="0" applyFont="1" applyFill="1" applyBorder="1" applyAlignment="1">
      <alignment horizontal="center"/>
    </xf>
    <xf numFmtId="0" fontId="12" fillId="0" borderId="6" xfId="0" applyFont="1" applyBorder="1" applyAlignment="1">
      <alignment horizontal="center"/>
    </xf>
    <xf numFmtId="165" fontId="12" fillId="0" borderId="5" xfId="0" applyNumberFormat="1" applyFont="1" applyBorder="1"/>
    <xf numFmtId="164" fontId="12" fillId="2" borderId="5" xfId="4" applyNumberFormat="1" applyFont="1" applyFill="1" applyBorder="1"/>
    <xf numFmtId="3" fontId="101" fillId="0" borderId="0" xfId="0" applyNumberFormat="1" applyFont="1"/>
    <xf numFmtId="164" fontId="68" fillId="10" borderId="33" xfId="8" applyNumberFormat="1" applyFont="1" applyFill="1" applyBorder="1"/>
    <xf numFmtId="0" fontId="68" fillId="10" borderId="27" xfId="8" applyNumberFormat="1" applyFont="1" applyFill="1" applyBorder="1" applyAlignment="1">
      <alignment horizontal="left"/>
    </xf>
    <xf numFmtId="168" fontId="68" fillId="0" borderId="33" xfId="35" applyFont="1" applyFill="1" applyBorder="1"/>
    <xf numFmtId="164" fontId="68" fillId="10" borderId="27" xfId="8" applyNumberFormat="1" applyFont="1" applyFill="1" applyBorder="1"/>
    <xf numFmtId="168" fontId="25" fillId="0" borderId="0" xfId="19" applyFont="1" applyAlignment="1" applyProtection="1">
      <alignment horizontal="left" vertical="top" wrapText="1"/>
      <protection locked="0"/>
    </xf>
    <xf numFmtId="0" fontId="25" fillId="0" borderId="0" xfId="0" applyFont="1" applyAlignment="1">
      <alignment horizontal="left" vertical="top" wrapText="1"/>
    </xf>
    <xf numFmtId="168" fontId="25" fillId="0" borderId="0" xfId="19" applyFont="1" applyAlignment="1" applyProtection="1">
      <alignment horizontal="left" wrapText="1"/>
      <protection locked="0"/>
    </xf>
    <xf numFmtId="0" fontId="25" fillId="0" borderId="0" xfId="0" applyFont="1" applyAlignment="1">
      <alignment vertical="top" wrapText="1"/>
    </xf>
    <xf numFmtId="0" fontId="64" fillId="0" borderId="0" xfId="0" applyFont="1" applyAlignment="1">
      <alignment vertical="top" wrapText="1"/>
    </xf>
    <xf numFmtId="0" fontId="46" fillId="10" borderId="0" xfId="0" applyFont="1" applyFill="1" applyAlignment="1">
      <alignment horizontal="left" vertical="top" wrapText="1"/>
    </xf>
    <xf numFmtId="0" fontId="65" fillId="0" borderId="22" xfId="0" applyFont="1" applyBorder="1" applyAlignment="1">
      <alignment horizontal="center" vertical="center"/>
    </xf>
    <xf numFmtId="0" fontId="65" fillId="0" borderId="21" xfId="0" applyFont="1" applyBorder="1" applyAlignment="1">
      <alignment horizontal="center" vertical="center"/>
    </xf>
    <xf numFmtId="0" fontId="65" fillId="0" borderId="24" xfId="0" applyFont="1" applyBorder="1" applyAlignment="1">
      <alignment horizontal="center" vertical="center"/>
    </xf>
    <xf numFmtId="0" fontId="46" fillId="0" borderId="0" xfId="0" applyFont="1" applyAlignment="1">
      <alignment horizontal="left" vertical="top" wrapText="1"/>
    </xf>
    <xf numFmtId="0" fontId="46" fillId="0" borderId="0" xfId="0" applyFont="1" applyAlignment="1">
      <alignment horizontal="left" vertical="top"/>
    </xf>
    <xf numFmtId="0" fontId="65" fillId="0" borderId="12" xfId="0" applyFont="1" applyBorder="1" applyAlignment="1">
      <alignment horizontal="center" vertical="center"/>
    </xf>
    <xf numFmtId="0" fontId="65" fillId="0" borderId="29" xfId="0" applyFont="1" applyBorder="1" applyAlignment="1">
      <alignment horizontal="center" vertical="center"/>
    </xf>
    <xf numFmtId="0" fontId="65" fillId="0" borderId="19" xfId="0" applyFont="1" applyBorder="1" applyAlignment="1">
      <alignment horizontal="center" vertical="center"/>
    </xf>
    <xf numFmtId="0" fontId="65" fillId="0" borderId="30" xfId="0" applyFont="1" applyBorder="1" applyAlignment="1">
      <alignment horizontal="center" vertical="center"/>
    </xf>
    <xf numFmtId="0" fontId="88" fillId="0" borderId="0" xfId="0" applyFont="1" applyAlignment="1">
      <alignment horizontal="center"/>
    </xf>
    <xf numFmtId="0" fontId="65" fillId="0" borderId="0" xfId="14" applyFont="1" applyAlignment="1">
      <alignment horizontal="left" vertical="top" wrapText="1"/>
    </xf>
    <xf numFmtId="0" fontId="9" fillId="0" borderId="0" xfId="14" applyFont="1" applyAlignment="1">
      <alignment horizontal="left" vertical="top" wrapText="1"/>
    </xf>
    <xf numFmtId="0" fontId="7" fillId="0" borderId="0" xfId="14" applyFont="1" applyAlignment="1">
      <alignment horizontal="center"/>
    </xf>
    <xf numFmtId="0" fontId="7" fillId="0" borderId="0" xfId="17" applyFont="1" applyAlignment="1">
      <alignment horizontal="center"/>
    </xf>
    <xf numFmtId="15" fontId="9" fillId="10" borderId="0" xfId="17" quotePrefix="1" applyNumberFormat="1" applyFont="1" applyFill="1" applyAlignment="1">
      <alignment horizontal="center"/>
    </xf>
    <xf numFmtId="0" fontId="8" fillId="0" borderId="0" xfId="14" applyAlignment="1">
      <alignment horizontal="left" vertical="top" wrapText="1"/>
    </xf>
    <xf numFmtId="0" fontId="65" fillId="0" borderId="0" xfId="0" applyFont="1" applyAlignment="1">
      <alignment horizontal="left" vertical="center" indent="1"/>
    </xf>
    <xf numFmtId="0" fontId="65" fillId="0" borderId="12" xfId="0" applyFont="1" applyBorder="1" applyAlignment="1">
      <alignment horizontal="left" vertical="center" indent="1"/>
    </xf>
    <xf numFmtId="0" fontId="111" fillId="13" borderId="12" xfId="0" applyFont="1" applyFill="1" applyBorder="1" applyAlignment="1">
      <alignment horizontal="left"/>
    </xf>
    <xf numFmtId="0" fontId="113" fillId="13" borderId="0" xfId="0" applyFont="1" applyFill="1" applyAlignment="1">
      <alignment horizontal="center"/>
    </xf>
    <xf numFmtId="0" fontId="111" fillId="13" borderId="0" xfId="0" applyFont="1" applyFill="1" applyAlignment="1">
      <alignment horizontal="left"/>
    </xf>
    <xf numFmtId="0" fontId="89" fillId="0" borderId="22" xfId="0" applyFont="1" applyBorder="1" applyAlignment="1">
      <alignment horizontal="center"/>
    </xf>
    <xf numFmtId="0" fontId="89" fillId="0" borderId="21" xfId="0" applyFont="1" applyBorder="1" applyAlignment="1">
      <alignment horizontal="center"/>
    </xf>
    <xf numFmtId="0" fontId="89" fillId="0" borderId="24" xfId="0" applyFont="1" applyBorder="1" applyAlignment="1">
      <alignment horizontal="center"/>
    </xf>
    <xf numFmtId="0" fontId="8" fillId="0" borderId="0" xfId="0" applyFont="1" applyAlignment="1">
      <alignment horizontal="left" vertical="top" wrapText="1"/>
    </xf>
    <xf numFmtId="0" fontId="65" fillId="0" borderId="0" xfId="0" applyFont="1" applyAlignment="1">
      <alignment horizontal="left" vertical="center" wrapText="1"/>
    </xf>
    <xf numFmtId="0" fontId="65" fillId="0" borderId="12" xfId="0" applyFont="1" applyBorder="1" applyAlignment="1">
      <alignment horizontal="left"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0" xfId="0" applyFont="1" applyAlignment="1">
      <alignment horizontal="center" wrapText="1"/>
    </xf>
    <xf numFmtId="0" fontId="46" fillId="0" borderId="12" xfId="0" applyFont="1" applyBorder="1" applyAlignment="1">
      <alignment horizontal="center" wrapText="1"/>
    </xf>
    <xf numFmtId="0" fontId="65" fillId="0" borderId="0" xfId="0" applyFont="1" applyAlignment="1">
      <alignment horizontal="center" vertical="center"/>
    </xf>
    <xf numFmtId="0" fontId="65" fillId="0" borderId="0" xfId="0" applyFont="1" applyAlignment="1">
      <alignment horizontal="left" vertical="center"/>
    </xf>
    <xf numFmtId="0" fontId="65" fillId="0" borderId="12" xfId="0" applyFont="1" applyBorder="1" applyAlignment="1">
      <alignment horizontal="left" vertical="center"/>
    </xf>
    <xf numFmtId="0" fontId="46" fillId="0" borderId="0" xfId="0" applyFont="1" applyAlignment="1">
      <alignment horizontal="left" vertical="center" wrapText="1" indent="1"/>
    </xf>
    <xf numFmtId="0" fontId="46" fillId="0" borderId="12" xfId="0" applyFont="1" applyBorder="1" applyAlignment="1">
      <alignment horizontal="left" vertical="center" wrapText="1" indent="1"/>
    </xf>
    <xf numFmtId="0" fontId="8" fillId="0" borderId="0" xfId="152" applyFont="1" applyAlignment="1">
      <alignment horizontal="left" vertical="top" wrapText="1"/>
    </xf>
    <xf numFmtId="0" fontId="46" fillId="0" borderId="0" xfId="152" applyFont="1" applyAlignment="1">
      <alignment horizontal="left" vertical="top" wrapText="1"/>
    </xf>
    <xf numFmtId="0" fontId="114" fillId="13" borderId="22" xfId="0" applyFont="1" applyFill="1" applyBorder="1" applyAlignment="1">
      <alignment horizontal="center"/>
    </xf>
    <xf numFmtId="0" fontId="114" fillId="13" borderId="21" xfId="0" applyFont="1" applyFill="1" applyBorder="1" applyAlignment="1">
      <alignment horizontal="center"/>
    </xf>
    <xf numFmtId="0" fontId="114" fillId="13" borderId="24" xfId="0" applyFont="1" applyFill="1" applyBorder="1" applyAlignment="1">
      <alignment horizontal="center"/>
    </xf>
    <xf numFmtId="0" fontId="88" fillId="0" borderId="22" xfId="0" applyFont="1" applyBorder="1" applyAlignment="1">
      <alignment horizontal="center"/>
    </xf>
    <xf numFmtId="0" fontId="88" fillId="0" borderId="21" xfId="0" applyFont="1" applyBorder="1" applyAlignment="1">
      <alignment horizontal="center"/>
    </xf>
    <xf numFmtId="0" fontId="88" fillId="0" borderId="24" xfId="0" applyFont="1" applyBorder="1" applyAlignment="1">
      <alignment horizontal="center"/>
    </xf>
    <xf numFmtId="0" fontId="3" fillId="0" borderId="0" xfId="0" applyFont="1" applyAlignment="1">
      <alignment horizontal="center"/>
    </xf>
    <xf numFmtId="0" fontId="25" fillId="0" borderId="0" xfId="0" applyFont="1" applyAlignment="1">
      <alignment horizontal="center"/>
    </xf>
    <xf numFmtId="0" fontId="0" fillId="0" borderId="0" xfId="0" applyAlignment="1"/>
    <xf numFmtId="0" fontId="1" fillId="0" borderId="0" xfId="0" applyFont="1" applyAlignment="1">
      <alignment horizontal="center"/>
    </xf>
    <xf numFmtId="0" fontId="15" fillId="0" borderId="0" xfId="0" applyFont="1" applyAlignment="1">
      <alignment horizontal="center"/>
    </xf>
    <xf numFmtId="0" fontId="64" fillId="8" borderId="0" xfId="0" applyFont="1" applyFill="1" applyAlignment="1">
      <alignment horizontal="left" vertical="top" wrapText="1"/>
    </xf>
    <xf numFmtId="0" fontId="64" fillId="8" borderId="0" xfId="0" applyFont="1" applyFill="1" applyAlignment="1">
      <alignment horizontal="left" vertical="center" wrapText="1"/>
    </xf>
    <xf numFmtId="0" fontId="34" fillId="8" borderId="0" xfId="0" applyFont="1" applyFill="1" applyAlignment="1">
      <alignment horizontal="left" vertical="top" wrapText="1"/>
    </xf>
    <xf numFmtId="0" fontId="64" fillId="8" borderId="1" xfId="0" applyFont="1" applyFill="1" applyBorder="1" applyAlignment="1">
      <alignment horizontal="left" vertical="center" wrapText="1"/>
    </xf>
    <xf numFmtId="0" fontId="19" fillId="3" borderId="14" xfId="0" applyFont="1" applyFill="1" applyBorder="1" applyAlignment="1">
      <alignment horizontal="left"/>
    </xf>
    <xf numFmtId="0" fontId="19" fillId="3" borderId="15" xfId="0" applyFont="1" applyFill="1" applyBorder="1" applyAlignment="1">
      <alignment horizontal="left"/>
    </xf>
    <xf numFmtId="0" fontId="19" fillId="3" borderId="16" xfId="0" applyFont="1" applyFill="1" applyBorder="1" applyAlignment="1">
      <alignment horizontal="left"/>
    </xf>
    <xf numFmtId="0" fontId="19" fillId="3" borderId="2" xfId="0" applyFont="1" applyFill="1" applyBorder="1" applyAlignment="1">
      <alignment horizontal="center"/>
    </xf>
    <xf numFmtId="0" fontId="19" fillId="3" borderId="4" xfId="0" applyFont="1" applyFill="1" applyBorder="1" applyAlignment="1">
      <alignment horizontal="center"/>
    </xf>
    <xf numFmtId="0" fontId="19" fillId="3" borderId="3" xfId="0" applyFont="1" applyFill="1" applyBorder="1" applyAlignment="1">
      <alignment horizontal="center"/>
    </xf>
    <xf numFmtId="0" fontId="20" fillId="3" borderId="4" xfId="0" applyFont="1" applyFill="1" applyBorder="1" applyAlignment="1">
      <alignment horizontal="center" wrapText="1"/>
    </xf>
    <xf numFmtId="0" fontId="0" fillId="0" borderId="4" xfId="0" applyBorder="1" applyAlignment="1">
      <alignment wrapText="1"/>
    </xf>
    <xf numFmtId="0" fontId="0" fillId="0" borderId="3" xfId="0" applyBorder="1" applyAlignment="1">
      <alignment wrapText="1"/>
    </xf>
    <xf numFmtId="0" fontId="12" fillId="0" borderId="0" xfId="0" applyFont="1" applyAlignment="1">
      <alignment wrapText="1"/>
    </xf>
    <xf numFmtId="0" fontId="0" fillId="0" borderId="0" xfId="0" applyAlignment="1">
      <alignment wrapText="1"/>
    </xf>
    <xf numFmtId="0" fontId="0" fillId="0" borderId="6" xfId="0" applyBorder="1" applyAlignment="1">
      <alignment wrapText="1"/>
    </xf>
    <xf numFmtId="0" fontId="19" fillId="4" borderId="14" xfId="0" applyFont="1" applyFill="1" applyBorder="1" applyAlignment="1">
      <alignment horizontal="left"/>
    </xf>
    <xf numFmtId="0" fontId="19" fillId="4" borderId="15" xfId="0" applyFont="1" applyFill="1" applyBorder="1" applyAlignment="1">
      <alignment horizontal="left"/>
    </xf>
    <xf numFmtId="0" fontId="19" fillId="4" borderId="16" xfId="0" applyFont="1" applyFill="1" applyBorder="1" applyAlignment="1">
      <alignment horizontal="left"/>
    </xf>
    <xf numFmtId="0" fontId="18" fillId="0" borderId="14" xfId="0" applyFont="1" applyFill="1" applyBorder="1" applyAlignment="1">
      <alignment horizontal="left"/>
    </xf>
    <xf numFmtId="0" fontId="18" fillId="0" borderId="15" xfId="0" applyFont="1" applyFill="1" applyBorder="1" applyAlignment="1">
      <alignment horizontal="left"/>
    </xf>
    <xf numFmtId="0" fontId="18" fillId="0" borderId="16" xfId="0" applyFont="1" applyFill="1" applyBorder="1" applyAlignment="1">
      <alignment horizontal="left"/>
    </xf>
    <xf numFmtId="0" fontId="10" fillId="0" borderId="2" xfId="0" applyFont="1" applyFill="1" applyBorder="1" applyAlignment="1">
      <alignment horizontal="center"/>
    </xf>
    <xf numFmtId="0" fontId="0" fillId="0" borderId="4" xfId="0" applyFill="1" applyBorder="1" applyAlignment="1">
      <alignment horizontal="center"/>
    </xf>
    <xf numFmtId="0" fontId="10" fillId="0" borderId="4" xfId="0" applyFont="1" applyFill="1" applyBorder="1" applyAlignment="1">
      <alignment horizontal="center"/>
    </xf>
    <xf numFmtId="0" fontId="19" fillId="4" borderId="4" xfId="0" applyFont="1" applyFill="1" applyBorder="1" applyAlignment="1">
      <alignment horizontal="center"/>
    </xf>
    <xf numFmtId="0" fontId="19" fillId="4" borderId="3" xfId="0" applyFont="1" applyFill="1" applyBorder="1" applyAlignment="1">
      <alignment horizontal="center"/>
    </xf>
    <xf numFmtId="0" fontId="10" fillId="3" borderId="2" xfId="0" applyFont="1" applyFill="1" applyBorder="1" applyAlignment="1">
      <alignment horizontal="center"/>
    </xf>
    <xf numFmtId="0" fontId="0" fillId="0" borderId="4" xfId="0" applyBorder="1" applyAlignment="1">
      <alignment horizontal="center"/>
    </xf>
    <xf numFmtId="0" fontId="10" fillId="3" borderId="4" xfId="0" applyFont="1" applyFill="1" applyBorder="1" applyAlignment="1">
      <alignment horizontal="center"/>
    </xf>
    <xf numFmtId="0" fontId="23" fillId="3" borderId="4" xfId="0" applyFont="1" applyFill="1" applyBorder="1" applyAlignment="1">
      <alignment horizontal="center" wrapText="1"/>
    </xf>
    <xf numFmtId="0" fontId="23" fillId="3" borderId="3" xfId="0" applyFont="1" applyFill="1" applyBorder="1" applyAlignment="1">
      <alignment horizontal="center" wrapText="1"/>
    </xf>
    <xf numFmtId="164" fontId="21"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21" fillId="0" borderId="0" xfId="1" applyNumberFormat="1" applyFont="1" applyFill="1" applyBorder="1" applyAlignment="1">
      <alignment horizontal="center"/>
    </xf>
    <xf numFmtId="0" fontId="13" fillId="0" borderId="1" xfId="0" applyFont="1" applyFill="1" applyBorder="1" applyAlignment="1">
      <alignment horizontal="center" wrapText="1"/>
    </xf>
    <xf numFmtId="0" fontId="12" fillId="0" borderId="1" xfId="0" applyFont="1" applyFill="1" applyBorder="1" applyAlignment="1">
      <alignment horizontal="center" wrapText="1"/>
    </xf>
    <xf numFmtId="0" fontId="12" fillId="0" borderId="8" xfId="0" applyFont="1" applyFill="1" applyBorder="1" applyAlignment="1">
      <alignment horizontal="center" wrapText="1"/>
    </xf>
    <xf numFmtId="0" fontId="12" fillId="0" borderId="4" xfId="0" applyFont="1" applyBorder="1" applyAlignment="1">
      <alignment horizontal="center" wrapText="1"/>
    </xf>
    <xf numFmtId="0" fontId="12" fillId="0" borderId="3" xfId="0" applyFont="1" applyBorder="1" applyAlignment="1">
      <alignment horizontal="center" wrapText="1"/>
    </xf>
    <xf numFmtId="164" fontId="21"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21" fillId="0" borderId="1" xfId="1" applyNumberFormat="1" applyFont="1" applyFill="1" applyBorder="1" applyAlignment="1">
      <alignment horizontal="center"/>
    </xf>
    <xf numFmtId="0" fontId="13" fillId="0" borderId="0" xfId="0" applyFont="1" applyFill="1" applyBorder="1" applyAlignment="1">
      <alignment horizontal="center" wrapText="1"/>
    </xf>
    <xf numFmtId="0" fontId="13" fillId="0" borderId="6" xfId="0" applyFont="1" applyFill="1" applyBorder="1" applyAlignment="1">
      <alignment horizontal="center" wrapText="1"/>
    </xf>
    <xf numFmtId="0" fontId="19" fillId="4" borderId="2" xfId="0" applyFont="1" applyFill="1" applyBorder="1" applyAlignment="1">
      <alignment horizontal="center"/>
    </xf>
    <xf numFmtId="0" fontId="0" fillId="0" borderId="0" xfId="0" applyFill="1" applyAlignment="1">
      <alignment horizontal="center" vertical="center" wrapText="1"/>
    </xf>
    <xf numFmtId="0" fontId="0" fillId="0" borderId="6" xfId="0" applyFill="1" applyBorder="1" applyAlignment="1">
      <alignment horizontal="center" vertical="center" wrapText="1"/>
    </xf>
    <xf numFmtId="0" fontId="68" fillId="0" borderId="0" xfId="31" applyFont="1" applyFill="1" applyAlignment="1">
      <alignment horizontal="left" vertical="top" wrapText="1"/>
    </xf>
    <xf numFmtId="0" fontId="19" fillId="4" borderId="2" xfId="0" applyFont="1" applyFill="1" applyBorder="1" applyAlignment="1">
      <alignment horizontal="left"/>
    </xf>
    <xf numFmtId="0" fontId="19" fillId="4" borderId="4" xfId="0" applyFont="1" applyFill="1" applyBorder="1" applyAlignment="1">
      <alignment horizontal="left"/>
    </xf>
    <xf numFmtId="0" fontId="12" fillId="0" borderId="0" xfId="0" applyFont="1" applyFill="1" applyBorder="1" applyAlignment="1">
      <alignment horizontal="center" wrapText="1"/>
    </xf>
    <xf numFmtId="0" fontId="12" fillId="0" borderId="6" xfId="0" applyFont="1" applyFill="1" applyBorder="1" applyAlignment="1">
      <alignment horizontal="center" wrapText="1"/>
    </xf>
    <xf numFmtId="2" fontId="21"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Fill="1" applyBorder="1" applyAlignment="1">
      <alignment horizontal="center"/>
    </xf>
    <xf numFmtId="0" fontId="20" fillId="3" borderId="3" xfId="0" applyFont="1" applyFill="1" applyBorder="1" applyAlignment="1">
      <alignment horizontal="center" wrapText="1"/>
    </xf>
    <xf numFmtId="0" fontId="12" fillId="0" borderId="1" xfId="0" applyFont="1" applyBorder="1" applyAlignment="1" applyProtection="1">
      <alignment horizontal="left"/>
      <protection locked="0"/>
    </xf>
    <xf numFmtId="0" fontId="12" fillId="0" borderId="8" xfId="0" applyFont="1" applyBorder="1" applyAlignment="1" applyProtection="1">
      <alignment horizontal="left"/>
      <protection locked="0"/>
    </xf>
    <xf numFmtId="164" fontId="12" fillId="0" borderId="1" xfId="1" applyNumberFormat="1" applyFont="1" applyFill="1" applyBorder="1" applyAlignment="1">
      <alignment horizontal="center" wrapText="1"/>
    </xf>
    <xf numFmtId="164" fontId="12" fillId="0" borderId="8" xfId="1" applyNumberFormat="1" applyFont="1" applyFill="1" applyBorder="1" applyAlignment="1">
      <alignment horizontal="center" wrapText="1"/>
    </xf>
    <xf numFmtId="0" fontId="12" fillId="0" borderId="1" xfId="0" applyFont="1" applyFill="1" applyBorder="1" applyAlignment="1">
      <alignment horizontal="left" wrapText="1"/>
    </xf>
    <xf numFmtId="0" fontId="12" fillId="0" borderId="8" xfId="0" applyFont="1" applyFill="1" applyBorder="1" applyAlignment="1">
      <alignment horizontal="left" wrapText="1"/>
    </xf>
    <xf numFmtId="164" fontId="12" fillId="0" borderId="1" xfId="0" applyNumberFormat="1" applyFont="1" applyFill="1" applyBorder="1" applyAlignment="1">
      <alignment horizontal="center" wrapText="1"/>
    </xf>
    <xf numFmtId="0" fontId="20" fillId="0" borderId="0" xfId="0" applyFont="1" applyFill="1" applyBorder="1" applyAlignment="1">
      <alignment horizontal="center" wrapText="1"/>
    </xf>
    <xf numFmtId="3" fontId="12" fillId="0" borderId="0" xfId="0" applyNumberFormat="1" applyFont="1" applyBorder="1" applyAlignment="1">
      <alignment horizontal="left" wrapText="1"/>
    </xf>
    <xf numFmtId="0" fontId="0" fillId="0" borderId="0" xfId="0" applyBorder="1" applyAlignment="1">
      <alignment wrapText="1"/>
    </xf>
    <xf numFmtId="0" fontId="12" fillId="0" borderId="1" xfId="0" applyFont="1" applyBorder="1" applyAlignment="1">
      <alignment horizontal="left" vertical="top" wrapText="1"/>
    </xf>
    <xf numFmtId="0" fontId="0" fillId="0" borderId="1" xfId="0" applyBorder="1" applyAlignment="1">
      <alignment horizontal="left" wrapText="1"/>
    </xf>
    <xf numFmtId="0" fontId="12" fillId="0" borderId="0" xfId="0" applyFont="1" applyAlignment="1">
      <alignment horizontal="center" wrapText="1"/>
    </xf>
    <xf numFmtId="0" fontId="12" fillId="0" borderId="6" xfId="0" applyFont="1" applyBorder="1" applyAlignment="1">
      <alignment horizontal="center" wrapText="1"/>
    </xf>
    <xf numFmtId="0" fontId="1" fillId="0" borderId="0" xfId="20" applyFont="1" applyAlignment="1">
      <alignment horizontal="center"/>
    </xf>
    <xf numFmtId="0" fontId="53" fillId="0" borderId="0" xfId="20" applyFont="1" applyAlignment="1"/>
    <xf numFmtId="0" fontId="1" fillId="0" borderId="0" xfId="33" applyFont="1" applyAlignment="1">
      <alignment horizontal="center"/>
    </xf>
    <xf numFmtId="0" fontId="53" fillId="0" borderId="0" xfId="33" applyFont="1"/>
    <xf numFmtId="168" fontId="68" fillId="0" borderId="0" xfId="27" applyFont="1" applyFill="1" applyBorder="1" applyAlignment="1">
      <alignment horizontal="left"/>
    </xf>
    <xf numFmtId="168" fontId="68" fillId="0" borderId="0" xfId="35" applyFont="1" applyAlignment="1">
      <alignment horizontal="left" vertical="center" wrapText="1"/>
    </xf>
    <xf numFmtId="168" fontId="68" fillId="0" borderId="0" xfId="27" applyFont="1" applyFill="1" applyBorder="1" applyAlignment="1">
      <alignment horizontal="left" vertical="top" wrapText="1"/>
    </xf>
    <xf numFmtId="168" fontId="68" fillId="0" borderId="0" xfId="27" applyFont="1" applyFill="1" applyBorder="1" applyAlignment="1">
      <alignment horizontal="left" wrapText="1"/>
    </xf>
    <xf numFmtId="168" fontId="68" fillId="0" borderId="0" xfId="27" applyFont="1" applyAlignment="1">
      <alignment horizontal="left" vertical="top" wrapText="1"/>
    </xf>
    <xf numFmtId="168" fontId="68" fillId="0" borderId="29" xfId="35" applyFont="1" applyFill="1" applyBorder="1" applyAlignment="1">
      <alignment horizontal="center"/>
    </xf>
    <xf numFmtId="168" fontId="68" fillId="0" borderId="30" xfId="35" applyFont="1" applyFill="1" applyBorder="1" applyAlignment="1">
      <alignment horizontal="center"/>
    </xf>
    <xf numFmtId="168" fontId="68" fillId="0" borderId="32" xfId="35" applyFont="1" applyFill="1" applyBorder="1" applyAlignment="1">
      <alignment horizontal="center"/>
    </xf>
    <xf numFmtId="168" fontId="68" fillId="0" borderId="26" xfId="35" applyFont="1" applyFill="1" applyBorder="1" applyAlignment="1">
      <alignment horizontal="center"/>
    </xf>
    <xf numFmtId="168" fontId="69" fillId="0" borderId="29" xfId="27" applyFont="1" applyBorder="1" applyAlignment="1">
      <alignment horizontal="center"/>
    </xf>
    <xf numFmtId="168" fontId="69" fillId="0" borderId="32" xfId="27" applyFont="1" applyBorder="1" applyAlignment="1">
      <alignment horizontal="center"/>
    </xf>
    <xf numFmtId="168" fontId="69" fillId="0" borderId="33" xfId="27" applyFont="1" applyBorder="1" applyAlignment="1">
      <alignment horizontal="center" wrapText="1"/>
    </xf>
    <xf numFmtId="168" fontId="69" fillId="0" borderId="25" xfId="27" applyFont="1" applyBorder="1" applyAlignment="1">
      <alignment horizontal="center" wrapText="1"/>
    </xf>
    <xf numFmtId="168" fontId="68" fillId="0" borderId="0" xfId="35" applyFont="1" applyAlignment="1">
      <alignment horizontal="left" vertical="top" wrapText="1"/>
    </xf>
    <xf numFmtId="0" fontId="68" fillId="0" borderId="0" xfId="0" applyFont="1" applyFill="1" applyBorder="1" applyAlignment="1">
      <alignment horizontal="center"/>
    </xf>
    <xf numFmtId="0" fontId="2" fillId="0" borderId="1" xfId="62" applyFont="1" applyBorder="1" applyAlignment="1">
      <alignment wrapText="1"/>
    </xf>
    <xf numFmtId="0" fontId="8" fillId="0" borderId="1" xfId="62" applyBorder="1" applyAlignment="1">
      <alignment wrapText="1"/>
    </xf>
    <xf numFmtId="0" fontId="13" fillId="0" borderId="2" xfId="62" applyFont="1" applyBorder="1" applyAlignment="1">
      <alignment horizontal="center"/>
    </xf>
    <xf numFmtId="0" fontId="13" fillId="0" borderId="4" xfId="62" applyFont="1" applyBorder="1" applyAlignment="1">
      <alignment horizontal="center"/>
    </xf>
    <xf numFmtId="0" fontId="13" fillId="0" borderId="3" xfId="62" applyFont="1" applyBorder="1" applyAlignment="1">
      <alignment horizontal="center"/>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71" fillId="0" borderId="0" xfId="31" applyNumberFormat="1" applyFont="1" applyFill="1" applyAlignment="1">
      <alignment horizontal="left" vertical="top" wrapText="1"/>
    </xf>
    <xf numFmtId="0" fontId="69" fillId="9" borderId="22" xfId="26" applyFont="1" applyFill="1" applyBorder="1" applyAlignment="1">
      <alignment horizontal="center"/>
    </xf>
    <xf numFmtId="0" fontId="69" fillId="9" borderId="21" xfId="26" applyFont="1" applyFill="1" applyBorder="1" applyAlignment="1">
      <alignment horizontal="center"/>
    </xf>
    <xf numFmtId="0" fontId="69" fillId="9" borderId="24" xfId="26" applyFont="1" applyFill="1" applyBorder="1" applyAlignment="1">
      <alignment horizontal="center"/>
    </xf>
    <xf numFmtId="168" fontId="69" fillId="9" borderId="22" xfId="56" applyFont="1" applyFill="1" applyBorder="1" applyAlignment="1">
      <alignment horizontal="center"/>
    </xf>
    <xf numFmtId="0" fontId="0" fillId="0" borderId="21" xfId="0" applyBorder="1" applyAlignment="1">
      <alignment horizontal="center"/>
    </xf>
    <xf numFmtId="168" fontId="69" fillId="0" borderId="0" xfId="25" applyFont="1" applyFill="1" applyAlignment="1">
      <alignment horizontal="center"/>
    </xf>
    <xf numFmtId="168" fontId="68" fillId="0" borderId="0" xfId="25" applyFont="1" applyAlignment="1">
      <alignment horizontal="left" vertical="center" wrapText="1"/>
    </xf>
    <xf numFmtId="168" fontId="68" fillId="0" borderId="0" xfId="25"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69" fillId="9" borderId="14" xfId="26"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9" fillId="9" borderId="15" xfId="26" applyFont="1" applyFill="1" applyBorder="1" applyAlignment="1">
      <alignment horizontal="center"/>
    </xf>
    <xf numFmtId="0" fontId="69" fillId="9" borderId="16" xfId="26" applyFont="1" applyFill="1" applyBorder="1" applyAlignment="1">
      <alignment horizontal="center"/>
    </xf>
    <xf numFmtId="0" fontId="0" fillId="0" borderId="15" xfId="0" applyBorder="1" applyAlignment="1"/>
    <xf numFmtId="168" fontId="3" fillId="0" borderId="0" xfId="35" applyFont="1" applyFill="1" applyAlignment="1">
      <alignment horizontal="center"/>
    </xf>
    <xf numFmtId="0" fontId="1" fillId="0" borderId="0" xfId="5" applyFont="1" applyFill="1" applyAlignment="1">
      <alignment horizontal="center"/>
    </xf>
    <xf numFmtId="0" fontId="104" fillId="0" borderId="0" xfId="0" applyFont="1" applyAlignment="1">
      <alignment horizontal="center"/>
    </xf>
    <xf numFmtId="0" fontId="102" fillId="0" borderId="0" xfId="0" applyFont="1" applyAlignment="1">
      <alignment horizontal="center"/>
    </xf>
  </cellXfs>
  <cellStyles count="162">
    <cellStyle name="Comma" xfId="48" builtinId="3"/>
    <cellStyle name="Comma [0] 3 2" xfId="40" xr:uid="{EC5EA9AE-B745-47C8-AFE6-56FBEE149A5C}"/>
    <cellStyle name="Comma [0] 3 2 2" xfId="43" xr:uid="{36FED332-A54D-4C01-AB73-D6D936DA350F}"/>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EE23BE1E-9729-4E6B-A2AA-2534FE145031}"/>
    <cellStyle name="Comma 4" xfId="1" xr:uid="{00000000-0005-0000-0000-000006000000}"/>
    <cellStyle name="Comma 4 2 2" xfId="4" xr:uid="{00000000-0005-0000-0000-000007000000}"/>
    <cellStyle name="Comma 4 3" xfId="157" xr:uid="{FC5B0B23-5940-4432-A824-189BA1EF5D39}"/>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6 12" xfId="159" xr:uid="{1EE0B7CF-DE9B-4AEE-84DD-9490C72D8CAB}"/>
    <cellStyle name="Normal 7" xfId="27" xr:uid="{D5B5E0E3-DC2B-44D9-8A11-A6C8C1AD539A}"/>
    <cellStyle name="Normal 8" xfId="147" xr:uid="{56776621-D035-4D92-8F56-61856F74D484}"/>
    <cellStyle name="Normal 8 2" xfId="160" xr:uid="{422D86E0-F105-486B-AB4F-CEED0C6DC207}"/>
    <cellStyle name="Normal 9" xfId="155" xr:uid="{880F2C80-EE04-4EAB-ACEC-B8A30062EA2F}"/>
    <cellStyle name="Normal 9 2" xfId="161" xr:uid="{3096AFC6-0A11-4C93-AE4B-F1F1F0620EFD}"/>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6" Type="http://schemas.openxmlformats.org/officeDocument/2006/relationships/worksheet" Target="worksheets/sheet16.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externalLink" Target="externalLinks/externalLink99.xml"/><Relationship Id="rId5" Type="http://schemas.openxmlformats.org/officeDocument/2006/relationships/worksheet" Target="worksheets/sheet5.xml"/><Relationship Id="rId90" Type="http://schemas.openxmlformats.org/officeDocument/2006/relationships/externalLink" Target="externalLinks/externalLink66.xml"/><Relationship Id="rId95" Type="http://schemas.openxmlformats.org/officeDocument/2006/relationships/externalLink" Target="externalLinks/externalLink7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13" Type="http://schemas.openxmlformats.org/officeDocument/2006/relationships/externalLink" Target="externalLinks/externalLink89.xml"/><Relationship Id="rId118" Type="http://schemas.openxmlformats.org/officeDocument/2006/relationships/externalLink" Target="externalLinks/externalLink94.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103" Type="http://schemas.openxmlformats.org/officeDocument/2006/relationships/externalLink" Target="externalLinks/externalLink79.xml"/><Relationship Id="rId108" Type="http://schemas.openxmlformats.org/officeDocument/2006/relationships/externalLink" Target="externalLinks/externalLink84.xml"/><Relationship Id="rId116" Type="http://schemas.openxmlformats.org/officeDocument/2006/relationships/externalLink" Target="externalLinks/externalLink92.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1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14" Type="http://schemas.openxmlformats.org/officeDocument/2006/relationships/externalLink" Target="externalLinks/externalLink90.xml"/><Relationship Id="rId119" Type="http://schemas.openxmlformats.org/officeDocument/2006/relationships/externalLink" Target="externalLinks/externalLink95.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externalLink" Target="externalLinks/externalLink96.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97</xdr:row>
      <xdr:rowOff>123825</xdr:rowOff>
    </xdr:from>
    <xdr:to>
      <xdr:col>13</xdr:col>
      <xdr:colOff>941661</xdr:colOff>
      <xdr:row>130</xdr:row>
      <xdr:rowOff>113633</xdr:rowOff>
    </xdr:to>
    <xdr:pic>
      <xdr:nvPicPr>
        <xdr:cNvPr id="4" name="Picture 3">
          <a:extLst>
            <a:ext uri="{FF2B5EF4-FFF2-40B4-BE49-F238E27FC236}">
              <a16:creationId xmlns:a16="http://schemas.microsoft.com/office/drawing/2014/main" id="{A494D529-E805-4B27-BC8B-7110245B2553}"/>
            </a:ext>
          </a:extLst>
        </xdr:cNvPr>
        <xdr:cNvPicPr>
          <a:picLocks noChangeAspect="1"/>
        </xdr:cNvPicPr>
      </xdr:nvPicPr>
      <xdr:blipFill>
        <a:blip xmlns:r="http://schemas.openxmlformats.org/officeDocument/2006/relationships" r:embed="rId1"/>
        <a:stretch>
          <a:fillRect/>
        </a:stretch>
      </xdr:blipFill>
      <xdr:spPr>
        <a:xfrm>
          <a:off x="400050" y="16459200"/>
          <a:ext cx="10514286" cy="5333333"/>
        </a:xfrm>
        <a:prstGeom prst="rect">
          <a:avLst/>
        </a:prstGeom>
      </xdr:spPr>
    </xdr:pic>
    <xdr:clientData/>
  </xdr:twoCellAnchor>
  <xdr:twoCellAnchor editAs="oneCell">
    <xdr:from>
      <xdr:col>0</xdr:col>
      <xdr:colOff>809625</xdr:colOff>
      <xdr:row>130</xdr:row>
      <xdr:rowOff>104775</xdr:rowOff>
    </xdr:from>
    <xdr:to>
      <xdr:col>13</xdr:col>
      <xdr:colOff>884569</xdr:colOff>
      <xdr:row>159</xdr:row>
      <xdr:rowOff>8950</xdr:rowOff>
    </xdr:to>
    <xdr:pic>
      <xdr:nvPicPr>
        <xdr:cNvPr id="7" name="Picture 6">
          <a:extLst>
            <a:ext uri="{FF2B5EF4-FFF2-40B4-BE49-F238E27FC236}">
              <a16:creationId xmlns:a16="http://schemas.microsoft.com/office/drawing/2014/main" id="{C97E302F-6ADF-4B49-B0FA-E79C061CA3E2}"/>
            </a:ext>
          </a:extLst>
        </xdr:cNvPr>
        <xdr:cNvPicPr>
          <a:picLocks noChangeAspect="1"/>
        </xdr:cNvPicPr>
      </xdr:nvPicPr>
      <xdr:blipFill>
        <a:blip xmlns:r="http://schemas.openxmlformats.org/officeDocument/2006/relationships" r:embed="rId2"/>
        <a:stretch>
          <a:fillRect/>
        </a:stretch>
      </xdr:blipFill>
      <xdr:spPr>
        <a:xfrm>
          <a:off x="809625" y="21783675"/>
          <a:ext cx="10047619" cy="4600000"/>
        </a:xfrm>
        <a:prstGeom prst="rect">
          <a:avLst/>
        </a:prstGeom>
      </xdr:spPr>
    </xdr:pic>
    <xdr:clientData/>
  </xdr:twoCellAnchor>
  <xdr:twoCellAnchor editAs="oneCell">
    <xdr:from>
      <xdr:col>1</xdr:col>
      <xdr:colOff>0</xdr:colOff>
      <xdr:row>36</xdr:row>
      <xdr:rowOff>0</xdr:rowOff>
    </xdr:from>
    <xdr:to>
      <xdr:col>11</xdr:col>
      <xdr:colOff>323850</xdr:colOff>
      <xdr:row>87</xdr:row>
      <xdr:rowOff>160873</xdr:rowOff>
    </xdr:to>
    <xdr:pic>
      <xdr:nvPicPr>
        <xdr:cNvPr id="6" name="Picture 5">
          <a:extLst>
            <a:ext uri="{FF2B5EF4-FFF2-40B4-BE49-F238E27FC236}">
              <a16:creationId xmlns:a16="http://schemas.microsoft.com/office/drawing/2014/main" id="{FAE880DD-21B6-4269-B921-7EE5F7EDB8ED}"/>
            </a:ext>
          </a:extLst>
        </xdr:cNvPr>
        <xdr:cNvPicPr>
          <a:picLocks noChangeAspect="1"/>
        </xdr:cNvPicPr>
      </xdr:nvPicPr>
      <xdr:blipFill>
        <a:blip xmlns:r="http://schemas.openxmlformats.org/officeDocument/2006/relationships" r:embed="rId3"/>
        <a:stretch>
          <a:fillRect/>
        </a:stretch>
      </xdr:blipFill>
      <xdr:spPr>
        <a:xfrm>
          <a:off x="2466975" y="6457950"/>
          <a:ext cx="6762750" cy="8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1.xml.rels><?xml version="1.0" encoding="UTF-8" standalone="yes"?>
<Relationships xmlns="http://schemas.openxmlformats.org/package/2006/relationships"><Relationship Id="rId2" Type="http://schemas.microsoft.com/office/2019/04/relationships/externalLinkLongPath" Target="/Services/Finance/0848_tax_dept/Tax%20Accounting,%20Provisions,%20and%20Reserves/Provisions/2009/PHI%20Consolidated/Q1/Rollforwards,%20Acct%20Recs,%20ETR/PHI%20Consol%20Current-Def'd%20Exp%202009-03%20-%20WORKING.xls?26A26807" TargetMode="External"/><Relationship Id="rId1" Type="http://schemas.openxmlformats.org/officeDocument/2006/relationships/externalLinkPath" Target="file:///\\26A26807\PHI%20Consol%20Current-Def'd%20Exp%202009-03%20-%20WORK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0/PHI%20Consolidated/Q3/PHI%20Consol%20Current-Defd%20Exp%202010-09%20-%20Working%20Cop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ervices/Finance/0848_tax_dept/Income%20Tax%20Compliance/Tax%20Year%202009/Federal/Tax%20Return%20(and%20Workpapers)/Power%20Delivery/Pepco/2009%20Depreciation/CPI/CPI%20Rates%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2/Power%20Delivery/Pepco/Q3/September/Pepco%202012%20September%20Close%20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refreshError="1"/>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refreshError="1"/>
      <sheetData sheetId="9" refreshError="1"/>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refreshError="1"/>
      <sheetData sheetId="15" refreshError="1"/>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X387"/>
  <sheetViews>
    <sheetView tabSelected="1" zoomScale="75" zoomScaleNormal="75" zoomScaleSheetLayoutView="80" workbookViewId="0">
      <selection activeCell="K168" sqref="K168"/>
    </sheetView>
  </sheetViews>
  <sheetFormatPr defaultColWidth="9.1796875" defaultRowHeight="15.5"/>
  <cols>
    <col min="1" max="1" width="7.453125" style="211" customWidth="1"/>
    <col min="2" max="2" width="5.7265625" style="216" customWidth="1"/>
    <col min="3" max="3" width="64" style="216" customWidth="1"/>
    <col min="4" max="4" width="35.81640625" style="216" customWidth="1"/>
    <col min="5" max="5" width="25.7265625" style="204" customWidth="1"/>
    <col min="6" max="6" width="65.7265625" style="152" customWidth="1"/>
    <col min="7" max="7" width="2.7265625" style="152" customWidth="1"/>
    <col min="8" max="8" width="26.1796875" style="152" customWidth="1"/>
    <col min="9" max="9" width="3.26953125" style="205" customWidth="1"/>
    <col min="10" max="10" width="7.453125" style="1139" customWidth="1"/>
    <col min="11" max="11" width="16.7265625" customWidth="1"/>
    <col min="12" max="12" width="4.1796875" customWidth="1"/>
    <col min="13" max="14" width="9.1796875" customWidth="1"/>
    <col min="15" max="16384" width="9.1796875" style="152"/>
  </cols>
  <sheetData>
    <row r="1" spans="1:14" ht="30">
      <c r="A1" s="1"/>
      <c r="C1" s="216" t="s">
        <v>85</v>
      </c>
      <c r="F1" s="897"/>
      <c r="H1" s="255"/>
      <c r="I1" s="899"/>
      <c r="J1" s="395"/>
    </row>
    <row r="2" spans="1:14" ht="28">
      <c r="A2" s="1"/>
      <c r="D2" s="372" t="s">
        <v>1588</v>
      </c>
      <c r="F2" s="373"/>
      <c r="H2" s="255"/>
      <c r="I2" s="899"/>
      <c r="J2" s="395"/>
    </row>
    <row r="3" spans="1:14" s="377" customFormat="1" ht="25.5" customHeight="1" thickBot="1">
      <c r="A3" s="374"/>
      <c r="B3" s="375"/>
      <c r="C3" s="375"/>
      <c r="D3" s="375"/>
      <c r="E3" s="376"/>
      <c r="J3" s="395"/>
      <c r="K3"/>
      <c r="L3"/>
      <c r="M3"/>
      <c r="N3"/>
    </row>
    <row r="4" spans="1:14" ht="27.75" customHeight="1" thickBot="1">
      <c r="A4" s="378" t="s">
        <v>1574</v>
      </c>
      <c r="B4" s="379"/>
      <c r="C4" s="379"/>
      <c r="D4" s="379"/>
      <c r="E4" s="380"/>
      <c r="F4" s="381"/>
      <c r="H4" s="404"/>
      <c r="I4" s="376"/>
      <c r="J4" s="1773"/>
    </row>
    <row r="5" spans="1:14" s="296" customFormat="1" ht="42" customHeight="1" thickBot="1">
      <c r="A5" s="382" t="s">
        <v>279</v>
      </c>
      <c r="B5" s="383"/>
      <c r="C5" s="384"/>
      <c r="D5" s="384"/>
      <c r="E5" s="385" t="s">
        <v>280</v>
      </c>
      <c r="F5" s="386" t="s">
        <v>281</v>
      </c>
      <c r="G5" s="387"/>
      <c r="H5" s="388" t="s">
        <v>1922</v>
      </c>
      <c r="I5" s="952"/>
      <c r="J5" s="395"/>
      <c r="K5"/>
      <c r="L5"/>
      <c r="M5"/>
      <c r="N5"/>
    </row>
    <row r="6" spans="1:14" s="395" customFormat="1" ht="23.25" customHeight="1">
      <c r="A6" s="389" t="s">
        <v>282</v>
      </c>
      <c r="B6" s="390"/>
      <c r="C6" s="391"/>
      <c r="D6" s="391"/>
      <c r="E6" s="392"/>
      <c r="F6" s="393"/>
      <c r="G6" s="394"/>
      <c r="H6" s="393"/>
      <c r="I6" s="393"/>
      <c r="K6"/>
      <c r="L6"/>
      <c r="M6"/>
      <c r="N6"/>
    </row>
    <row r="7" spans="1:14" s="205" customFormat="1">
      <c r="A7" s="396" t="s">
        <v>283</v>
      </c>
      <c r="B7" s="397"/>
      <c r="C7" s="398"/>
      <c r="D7" s="398"/>
      <c r="E7" s="399"/>
      <c r="F7" s="400"/>
      <c r="G7" s="400"/>
      <c r="H7" s="276"/>
      <c r="I7" s="402"/>
      <c r="J7" s="1139"/>
      <c r="K7"/>
      <c r="L7"/>
      <c r="M7"/>
      <c r="N7"/>
    </row>
    <row r="8" spans="1:14" s="205" customFormat="1">
      <c r="A8" s="236"/>
      <c r="B8" s="295"/>
      <c r="C8" s="295"/>
      <c r="D8" s="295"/>
      <c r="E8" s="1437"/>
      <c r="F8" s="401"/>
      <c r="G8" s="401"/>
      <c r="H8" s="402"/>
      <c r="I8" s="402"/>
      <c r="J8" s="1139"/>
      <c r="K8"/>
      <c r="L8"/>
      <c r="M8"/>
      <c r="N8"/>
    </row>
    <row r="9" spans="1:14" ht="18" customHeight="1">
      <c r="A9" s="212"/>
      <c r="B9" s="243" t="s">
        <v>284</v>
      </c>
      <c r="E9" s="278"/>
      <c r="F9" s="227"/>
      <c r="G9" s="227"/>
      <c r="H9" s="227"/>
      <c r="I9" s="228"/>
    </row>
    <row r="10" spans="1:14">
      <c r="A10" s="220">
        <v>1</v>
      </c>
      <c r="B10" s="220"/>
      <c r="C10" s="401" t="s">
        <v>285</v>
      </c>
      <c r="D10" s="403"/>
      <c r="E10" s="1430"/>
      <c r="F10" s="227" t="s">
        <v>286</v>
      </c>
      <c r="G10" s="216"/>
      <c r="H10" s="405">
        <v>5526391</v>
      </c>
      <c r="I10" s="953"/>
    </row>
    <row r="11" spans="1:14">
      <c r="A11" s="204"/>
      <c r="E11" s="1430"/>
      <c r="H11" s="1193"/>
    </row>
    <row r="12" spans="1:14">
      <c r="A12" s="220">
        <v>2</v>
      </c>
      <c r="B12" s="220"/>
      <c r="C12" s="401" t="s">
        <v>287</v>
      </c>
      <c r="D12" s="401"/>
      <c r="E12" s="1430"/>
      <c r="F12" s="401" t="s">
        <v>288</v>
      </c>
      <c r="G12" s="216"/>
      <c r="H12" s="405">
        <v>46006563</v>
      </c>
      <c r="I12" s="953"/>
    </row>
    <row r="13" spans="1:14">
      <c r="A13" s="220">
        <v>3</v>
      </c>
      <c r="B13" s="220"/>
      <c r="C13" s="1736" t="s">
        <v>289</v>
      </c>
      <c r="D13" s="401"/>
      <c r="E13" s="1430"/>
      <c r="F13" s="401" t="s">
        <v>290</v>
      </c>
      <c r="G13" s="216"/>
      <c r="H13" s="405">
        <v>3549725</v>
      </c>
      <c r="I13" s="954"/>
    </row>
    <row r="14" spans="1:14">
      <c r="A14" s="220">
        <v>4</v>
      </c>
      <c r="B14" s="220"/>
      <c r="C14" s="406" t="s">
        <v>44</v>
      </c>
      <c r="D14" s="247"/>
      <c r="E14" s="407"/>
      <c r="F14" s="247" t="s">
        <v>821</v>
      </c>
      <c r="G14" s="244"/>
      <c r="H14" s="247">
        <f>H12-H13</f>
        <v>42456838</v>
      </c>
      <c r="I14" s="219"/>
    </row>
    <row r="15" spans="1:14">
      <c r="A15" s="220"/>
      <c r="B15" s="220"/>
      <c r="C15" s="231"/>
      <c r="E15" s="278"/>
      <c r="F15" s="216"/>
      <c r="G15" s="216"/>
      <c r="H15" s="227"/>
      <c r="I15" s="228"/>
    </row>
    <row r="16" spans="1:14" ht="16" thickBot="1">
      <c r="A16" s="220">
        <v>5</v>
      </c>
      <c r="B16" s="408" t="s">
        <v>266</v>
      </c>
      <c r="C16" s="408"/>
      <c r="D16" s="409"/>
      <c r="E16" s="480"/>
      <c r="F16" s="410" t="s">
        <v>822</v>
      </c>
      <c r="G16" s="411"/>
      <c r="H16" s="412">
        <f>+H10/H14</f>
        <v>0.13016492184368511</v>
      </c>
      <c r="I16" s="950"/>
    </row>
    <row r="17" spans="1:9" ht="16" thickTop="1">
      <c r="A17" s="220"/>
      <c r="B17" s="220"/>
      <c r="C17" s="243"/>
      <c r="D17" s="239"/>
      <c r="E17" s="278"/>
      <c r="F17" s="216"/>
      <c r="G17" s="216"/>
      <c r="H17" s="413"/>
      <c r="I17" s="955"/>
    </row>
    <row r="18" spans="1:9">
      <c r="A18" s="204"/>
      <c r="B18" s="243" t="s">
        <v>54</v>
      </c>
      <c r="D18" s="152"/>
      <c r="E18" s="1430"/>
    </row>
    <row r="19" spans="1:9">
      <c r="A19" s="212">
        <v>6</v>
      </c>
      <c r="B19" s="152"/>
      <c r="C19" s="401" t="s">
        <v>145</v>
      </c>
      <c r="E19" s="498" t="str">
        <f>"(Note "&amp;B$334&amp;")"</f>
        <v>(Note B)</v>
      </c>
      <c r="F19" s="401" t="s">
        <v>795</v>
      </c>
      <c r="H19" s="405">
        <f>'9A - Gross Plant &amp; ARO'!K24</f>
        <v>4835268314.4481564</v>
      </c>
      <c r="I19" s="953"/>
    </row>
    <row r="20" spans="1:9">
      <c r="A20" s="212" t="s">
        <v>819</v>
      </c>
      <c r="B20" s="212"/>
      <c r="C20" s="243" t="s">
        <v>770</v>
      </c>
      <c r="D20" s="239"/>
      <c r="E20" s="1430"/>
      <c r="F20" s="228" t="s">
        <v>820</v>
      </c>
      <c r="H20" s="405">
        <f>+'10 - Merger Costs'!C103</f>
        <v>1039236.7451319997</v>
      </c>
      <c r="I20" s="953"/>
    </row>
    <row r="21" spans="1:9">
      <c r="A21" s="212">
        <v>7</v>
      </c>
      <c r="B21" s="152"/>
      <c r="C21" s="401" t="s">
        <v>291</v>
      </c>
      <c r="E21" s="498"/>
      <c r="F21" s="225" t="str">
        <f>"(Line "&amp;A$54&amp;" - "&amp;A$55&amp;")"</f>
        <v>(Line 24 - 24a)</v>
      </c>
      <c r="H21" s="228">
        <f>H54-H55</f>
        <v>149574926</v>
      </c>
      <c r="I21" s="228"/>
    </row>
    <row r="22" spans="1:9">
      <c r="A22" s="212">
        <v>8</v>
      </c>
      <c r="B22" s="152"/>
      <c r="C22" s="414" t="s">
        <v>292</v>
      </c>
      <c r="D22" s="244"/>
      <c r="E22" s="417"/>
      <c r="F22" s="247" t="str">
        <f>"(Line "&amp;A19&amp;" - "&amp;A20&amp;" +"&amp;A21&amp;")"</f>
        <v>(Line 6 - 6a +7)</v>
      </c>
      <c r="G22" s="415"/>
      <c r="H22" s="242">
        <f>+H19-H20+H21</f>
        <v>4983804003.7030239</v>
      </c>
      <c r="I22" s="219"/>
    </row>
    <row r="23" spans="1:9">
      <c r="A23" s="404"/>
      <c r="B23" s="152"/>
      <c r="C23" s="401"/>
      <c r="E23" s="1430"/>
      <c r="F23" s="401"/>
      <c r="H23" s="228"/>
      <c r="I23" s="228"/>
    </row>
    <row r="24" spans="1:9">
      <c r="A24" s="212">
        <f>+A22+1</f>
        <v>9</v>
      </c>
      <c r="B24" s="152"/>
      <c r="C24" s="401" t="s">
        <v>146</v>
      </c>
      <c r="E24" s="1430"/>
      <c r="F24" s="401" t="s">
        <v>870</v>
      </c>
      <c r="H24" s="405">
        <f>+'9A - Gross Plant &amp; ARO'!C64</f>
        <v>1223053533.121803</v>
      </c>
      <c r="I24" s="953"/>
    </row>
    <row r="25" spans="1:9">
      <c r="A25" s="212" t="s">
        <v>864</v>
      </c>
      <c r="B25" s="205"/>
      <c r="C25" s="243" t="s">
        <v>770</v>
      </c>
      <c r="D25" s="239"/>
      <c r="E25" s="1430"/>
      <c r="F25" s="228" t="s">
        <v>868</v>
      </c>
      <c r="H25" s="405">
        <f>+'10 - Merger Costs'!C51</f>
        <v>138788.60820188082</v>
      </c>
      <c r="I25" s="953"/>
    </row>
    <row r="26" spans="1:9">
      <c r="A26" s="212">
        <f>+A24+1</f>
        <v>10</v>
      </c>
      <c r="B26" s="152"/>
      <c r="C26" s="401" t="s">
        <v>147</v>
      </c>
      <c r="E26" s="498" t="str">
        <f>"(Note "&amp;B$333&amp;")"</f>
        <v>(Note A)</v>
      </c>
      <c r="F26" s="228" t="s">
        <v>871</v>
      </c>
      <c r="H26" s="405">
        <f>+'9 - Rate Base'!I24</f>
        <v>26931169.549566314</v>
      </c>
      <c r="I26" s="953"/>
    </row>
    <row r="27" spans="1:9">
      <c r="A27" s="212" t="s">
        <v>865</v>
      </c>
      <c r="B27" s="205"/>
      <c r="C27" s="243" t="s">
        <v>770</v>
      </c>
      <c r="D27" s="239"/>
      <c r="E27" s="1430"/>
      <c r="F27" s="228" t="s">
        <v>895</v>
      </c>
      <c r="H27" s="405">
        <f>+'9 - Rate Base'!I25</f>
        <v>649100.9024796153</v>
      </c>
      <c r="I27" s="953"/>
    </row>
    <row r="28" spans="1:9">
      <c r="A28" s="212">
        <f>+A26+1</f>
        <v>11</v>
      </c>
      <c r="B28" s="152"/>
      <c r="C28" s="401" t="s">
        <v>293</v>
      </c>
      <c r="E28" s="498" t="str">
        <f>"(Note "&amp;B$333&amp;")"</f>
        <v>(Note A)</v>
      </c>
      <c r="F28" s="228" t="s">
        <v>872</v>
      </c>
      <c r="H28" s="416">
        <f>+'9 - Rate Base'!J24</f>
        <v>26610118</v>
      </c>
      <c r="I28" s="228"/>
    </row>
    <row r="29" spans="1:9">
      <c r="A29" s="212" t="s">
        <v>875</v>
      </c>
      <c r="B29" s="205"/>
      <c r="C29" s="243" t="s">
        <v>770</v>
      </c>
      <c r="D29" s="239"/>
      <c r="E29" s="1430"/>
      <c r="F29" s="228" t="s">
        <v>873</v>
      </c>
      <c r="H29" s="416">
        <f>+'9 - Rate Base'!J25</f>
        <v>0</v>
      </c>
      <c r="I29" s="228"/>
    </row>
    <row r="30" spans="1:9">
      <c r="A30" s="212">
        <f>+A28+1</f>
        <v>12</v>
      </c>
      <c r="C30" s="295" t="s">
        <v>295</v>
      </c>
      <c r="E30" s="498" t="str">
        <f>"(Note "&amp;B$333&amp;")"</f>
        <v>(Note A)</v>
      </c>
      <c r="F30" s="228" t="s">
        <v>874</v>
      </c>
      <c r="H30" s="416">
        <f>+'9 - Rate Base'!H24</f>
        <v>61423513</v>
      </c>
      <c r="I30" s="228"/>
    </row>
    <row r="31" spans="1:9">
      <c r="A31" s="212" t="s">
        <v>876</v>
      </c>
      <c r="B31" s="205"/>
      <c r="C31" s="243" t="s">
        <v>770</v>
      </c>
      <c r="D31" s="239"/>
      <c r="E31" s="1430"/>
      <c r="F31" s="228" t="s">
        <v>894</v>
      </c>
      <c r="H31" s="416">
        <f>+'9 - Rate Base'!H25</f>
        <v>0</v>
      </c>
      <c r="I31" s="228"/>
    </row>
    <row r="32" spans="1:9">
      <c r="A32" s="212">
        <v>13</v>
      </c>
      <c r="C32" s="414" t="s">
        <v>296</v>
      </c>
      <c r="D32" s="244"/>
      <c r="E32" s="417"/>
      <c r="F32" s="247" t="str">
        <f>"(Line "&amp;A24&amp;" - "&amp;A25&amp;" + "&amp;A26&amp;" - "&amp;A27&amp;" + "&amp;A28&amp;" - "&amp;A29&amp;" + "&amp;A30&amp;" - "&amp;A31&amp;")"</f>
        <v>(Line 9 - 9a + 10 - 10a + 11 - 11a + 12 - 12a)</v>
      </c>
      <c r="G32" s="415"/>
      <c r="H32" s="242">
        <f>H24-H25+H26-H27+H28-H29+H30-H31</f>
        <v>1337230444.1606877</v>
      </c>
      <c r="I32" s="219"/>
    </row>
    <row r="33" spans="1:14" ht="17.25" customHeight="1">
      <c r="A33" s="204"/>
      <c r="C33" s="295"/>
      <c r="E33" s="1430"/>
      <c r="F33" s="227"/>
      <c r="H33" s="418"/>
      <c r="I33" s="420"/>
    </row>
    <row r="34" spans="1:14">
      <c r="A34" s="220">
        <v>14</v>
      </c>
      <c r="B34" s="152"/>
      <c r="C34" s="415" t="s">
        <v>297</v>
      </c>
      <c r="D34" s="415"/>
      <c r="E34" s="417"/>
      <c r="F34" s="247" t="s">
        <v>824</v>
      </c>
      <c r="G34" s="415"/>
      <c r="H34" s="247">
        <f>+H22-H32</f>
        <v>3646573559.5423365</v>
      </c>
      <c r="I34" s="219"/>
    </row>
    <row r="35" spans="1:14">
      <c r="A35" s="204"/>
      <c r="B35" s="152"/>
      <c r="C35" s="152"/>
      <c r="D35" s="152"/>
      <c r="E35" s="1430"/>
    </row>
    <row r="36" spans="1:14">
      <c r="A36" s="212">
        <v>15</v>
      </c>
      <c r="B36" s="152"/>
      <c r="C36" s="152" t="s">
        <v>298</v>
      </c>
      <c r="D36" s="152"/>
      <c r="E36" s="1430"/>
      <c r="F36" s="225" t="s">
        <v>825</v>
      </c>
      <c r="H36" s="418">
        <f>+H62-H60</f>
        <v>1891083332.9928472</v>
      </c>
      <c r="I36" s="420"/>
    </row>
    <row r="37" spans="1:14" ht="16" thickBot="1">
      <c r="A37" s="220">
        <v>16</v>
      </c>
      <c r="B37" s="267" t="s">
        <v>238</v>
      </c>
      <c r="C37" s="267"/>
      <c r="D37" s="267"/>
      <c r="E37" s="419"/>
      <c r="F37" s="410" t="s">
        <v>826</v>
      </c>
      <c r="G37" s="267"/>
      <c r="H37" s="412">
        <f>+H36/(H22)</f>
        <v>0.379445767046166</v>
      </c>
      <c r="I37" s="950"/>
    </row>
    <row r="38" spans="1:14" ht="16" thickTop="1">
      <c r="A38" s="204"/>
      <c r="E38" s="1430"/>
    </row>
    <row r="39" spans="1:14">
      <c r="A39" s="212">
        <v>17</v>
      </c>
      <c r="B39" s="220"/>
      <c r="C39" s="243" t="s">
        <v>299</v>
      </c>
      <c r="D39" s="239"/>
      <c r="E39" s="278"/>
      <c r="F39" s="225" t="s">
        <v>827</v>
      </c>
      <c r="G39" s="216"/>
      <c r="H39" s="420">
        <f>+H81-H60</f>
        <v>1419684070.1615183</v>
      </c>
      <c r="I39" s="420"/>
    </row>
    <row r="40" spans="1:14" ht="16" thickBot="1">
      <c r="A40" s="220">
        <v>18</v>
      </c>
      <c r="B40" s="267" t="s">
        <v>300</v>
      </c>
      <c r="C40" s="267"/>
      <c r="D40" s="267"/>
      <c r="E40" s="419"/>
      <c r="F40" s="410" t="s">
        <v>828</v>
      </c>
      <c r="G40" s="267"/>
      <c r="H40" s="421">
        <f>+H39/H34</f>
        <v>0.38932001424912871</v>
      </c>
      <c r="I40" s="950"/>
    </row>
    <row r="41" spans="1:14" ht="16" thickTop="1">
      <c r="A41" s="220"/>
      <c r="B41" s="442"/>
      <c r="C41" s="442"/>
      <c r="D41" s="442"/>
      <c r="E41" s="1430"/>
      <c r="F41" s="218"/>
      <c r="G41" s="442"/>
      <c r="H41" s="950"/>
      <c r="I41" s="950"/>
    </row>
    <row r="42" spans="1:14">
      <c r="A42" s="221"/>
      <c r="B42" s="220"/>
      <c r="C42" s="243"/>
      <c r="D42" s="239"/>
      <c r="E42" s="278"/>
      <c r="F42" s="216"/>
      <c r="G42" s="216"/>
      <c r="H42" s="413"/>
      <c r="I42" s="955"/>
    </row>
    <row r="43" spans="1:14" s="205" customFormat="1">
      <c r="A43" s="422" t="s">
        <v>301</v>
      </c>
      <c r="B43" s="423"/>
      <c r="C43" s="398"/>
      <c r="D43" s="398"/>
      <c r="E43" s="1438"/>
      <c r="F43" s="400"/>
      <c r="G43" s="400"/>
      <c r="H43" s="276"/>
      <c r="I43" s="402"/>
      <c r="J43" s="1139"/>
      <c r="K43"/>
      <c r="L43"/>
      <c r="M43"/>
      <c r="N43"/>
    </row>
    <row r="44" spans="1:14" s="205" customFormat="1">
      <c r="A44" s="424"/>
      <c r="B44" s="425"/>
      <c r="C44" s="295"/>
      <c r="D44" s="295"/>
      <c r="E44" s="1439"/>
      <c r="F44" s="401"/>
      <c r="G44" s="401"/>
      <c r="H44" s="402"/>
      <c r="I44" s="402"/>
      <c r="J44" s="1139"/>
      <c r="K44"/>
      <c r="L44"/>
      <c r="M44"/>
      <c r="N44"/>
    </row>
    <row r="45" spans="1:14">
      <c r="A45" s="204"/>
      <c r="B45" s="243" t="s">
        <v>55</v>
      </c>
      <c r="E45" s="278"/>
      <c r="F45" s="228"/>
      <c r="G45" s="212"/>
      <c r="H45" s="227"/>
      <c r="I45" s="228"/>
    </row>
    <row r="46" spans="1:14">
      <c r="A46" s="212">
        <v>19</v>
      </c>
      <c r="B46" s="220"/>
      <c r="C46" s="231" t="s">
        <v>302</v>
      </c>
      <c r="E46" s="498" t="str">
        <f>"(Note "&amp;B$334&amp;")"</f>
        <v>(Note B)</v>
      </c>
      <c r="F46" s="228" t="s">
        <v>889</v>
      </c>
      <c r="G46" s="216"/>
      <c r="H46" s="405">
        <f>+'9 - Rate Base'!C24</f>
        <v>1829026357.6987534</v>
      </c>
      <c r="I46" s="953"/>
    </row>
    <row r="47" spans="1:14">
      <c r="A47" s="212" t="s">
        <v>877</v>
      </c>
      <c r="B47" s="205"/>
      <c r="C47" s="243" t="s">
        <v>770</v>
      </c>
      <c r="D47" s="239"/>
      <c r="E47" s="1430"/>
      <c r="F47" s="228" t="s">
        <v>878</v>
      </c>
      <c r="G47" s="216"/>
      <c r="H47" s="416">
        <f>+'9 - Rate Base'!C25</f>
        <v>0</v>
      </c>
      <c r="I47" s="228"/>
    </row>
    <row r="48" spans="1:14">
      <c r="A48" s="212">
        <v>20</v>
      </c>
      <c r="B48" s="212"/>
      <c r="C48" s="243" t="s">
        <v>812</v>
      </c>
      <c r="D48" s="239"/>
      <c r="E48" s="278"/>
      <c r="F48" s="236"/>
      <c r="G48" s="216"/>
      <c r="H48" s="880">
        <v>0</v>
      </c>
      <c r="I48" s="880"/>
    </row>
    <row r="49" spans="1:14">
      <c r="A49" s="212">
        <v>21</v>
      </c>
      <c r="B49" s="212"/>
      <c r="C49" s="522" t="s">
        <v>812</v>
      </c>
      <c r="D49" s="474"/>
      <c r="E49" s="426"/>
      <c r="F49" s="289"/>
      <c r="G49" s="222"/>
      <c r="H49" s="881">
        <v>0</v>
      </c>
      <c r="I49" s="880"/>
    </row>
    <row r="50" spans="1:14">
      <c r="A50" s="212">
        <v>22</v>
      </c>
      <c r="B50" s="220"/>
      <c r="C50" s="231" t="s">
        <v>304</v>
      </c>
      <c r="E50" s="498"/>
      <c r="F50" s="247" t="str">
        <f>"(Line "&amp;A46&amp;" -"&amp;A47&amp;")"</f>
        <v>(Line 19 -19a)</v>
      </c>
      <c r="G50" s="216"/>
      <c r="H50" s="228">
        <f>H46-H47+H48+H49</f>
        <v>1829026357.6987534</v>
      </c>
      <c r="I50" s="228"/>
    </row>
    <row r="51" spans="1:14" s="205" customFormat="1">
      <c r="A51" s="212"/>
      <c r="B51" s="212"/>
      <c r="C51" s="243"/>
      <c r="D51" s="239"/>
      <c r="E51" s="1430"/>
      <c r="F51" s="228"/>
      <c r="G51" s="239"/>
      <c r="H51" s="228"/>
      <c r="I51" s="228"/>
      <c r="J51" s="1139"/>
      <c r="K51"/>
      <c r="L51"/>
      <c r="M51"/>
      <c r="N51"/>
    </row>
    <row r="52" spans="1:14">
      <c r="A52" s="212">
        <v>23</v>
      </c>
      <c r="B52" s="220"/>
      <c r="C52" s="231" t="s">
        <v>148</v>
      </c>
      <c r="E52" s="1430"/>
      <c r="F52" s="228" t="s">
        <v>890</v>
      </c>
      <c r="G52" s="216"/>
      <c r="H52" s="416">
        <f>+'9 - Rate Base'!D24</f>
        <v>328220831.99740028</v>
      </c>
      <c r="I52" s="228"/>
    </row>
    <row r="53" spans="1:14">
      <c r="A53" s="212" t="s">
        <v>879</v>
      </c>
      <c r="B53" s="212"/>
      <c r="C53" s="243" t="s">
        <v>770</v>
      </c>
      <c r="D53" s="239"/>
      <c r="E53" s="1430"/>
      <c r="F53" s="228" t="s">
        <v>880</v>
      </c>
      <c r="G53" s="216"/>
      <c r="H53" s="416">
        <f>+'9 - Rate Base'!D25</f>
        <v>1039237</v>
      </c>
      <c r="I53" s="228"/>
    </row>
    <row r="54" spans="1:14">
      <c r="A54" s="212">
        <v>24</v>
      </c>
      <c r="B54" s="220"/>
      <c r="C54" s="231" t="s">
        <v>305</v>
      </c>
      <c r="E54" s="498" t="str">
        <f>"(Notes "&amp;B$333&amp;" &amp; "&amp;B$334&amp;")"</f>
        <v>(Notes A &amp; B)</v>
      </c>
      <c r="F54" s="219" t="s">
        <v>891</v>
      </c>
      <c r="G54" s="216"/>
      <c r="H54" s="427">
        <f>+'9 - Rate Base'!E24</f>
        <v>149574926</v>
      </c>
      <c r="I54" s="219"/>
    </row>
    <row r="55" spans="1:14">
      <c r="A55" s="212" t="s">
        <v>881</v>
      </c>
      <c r="B55" s="212"/>
      <c r="C55" s="243" t="s">
        <v>770</v>
      </c>
      <c r="D55" s="239"/>
      <c r="E55" s="1430"/>
      <c r="F55" s="234" t="s">
        <v>882</v>
      </c>
      <c r="G55" s="216"/>
      <c r="H55" s="416">
        <f>+'9 - Rate Base'!E25</f>
        <v>0</v>
      </c>
      <c r="I55" s="228"/>
    </row>
    <row r="56" spans="1:14">
      <c r="A56" s="212">
        <v>25</v>
      </c>
      <c r="B56" s="220"/>
      <c r="C56" s="406" t="s">
        <v>306</v>
      </c>
      <c r="D56" s="244"/>
      <c r="E56" s="417"/>
      <c r="F56" s="247" t="str">
        <f>"(Line "&amp;A52&amp;" -"&amp;A53&amp;" + "&amp;A54&amp;" - "&amp;A55&amp;")"</f>
        <v>(Line 23 -23a + 24 - 24a)</v>
      </c>
      <c r="G56" s="244"/>
      <c r="H56" s="247">
        <f>H52-H53+H54-H55</f>
        <v>476756520.99740028</v>
      </c>
      <c r="I56" s="219"/>
    </row>
    <row r="57" spans="1:14">
      <c r="A57" s="212">
        <v>26</v>
      </c>
      <c r="B57" s="220"/>
      <c r="C57" s="1737" t="s">
        <v>307</v>
      </c>
      <c r="D57" s="243"/>
      <c r="E57" s="278"/>
      <c r="F57" s="225" t="str">
        <f>"(Line "&amp;A$16&amp;")"</f>
        <v>(Line 5)</v>
      </c>
      <c r="G57" s="428"/>
      <c r="H57" s="429">
        <f>+H16</f>
        <v>0.13016492184368511</v>
      </c>
      <c r="I57" s="956"/>
    </row>
    <row r="58" spans="1:14">
      <c r="A58" s="212">
        <v>27</v>
      </c>
      <c r="B58" s="152"/>
      <c r="C58" s="241" t="s">
        <v>308</v>
      </c>
      <c r="D58" s="414"/>
      <c r="E58" s="407"/>
      <c r="F58" s="218" t="str">
        <f>"(Line "&amp;A56&amp;" * "&amp;A57&amp;")"</f>
        <v>(Line 25 * 26)</v>
      </c>
      <c r="G58" s="415"/>
      <c r="H58" s="247">
        <f>+H57*H56</f>
        <v>62056975.294093825</v>
      </c>
      <c r="I58" s="219"/>
    </row>
    <row r="59" spans="1:14">
      <c r="A59" s="404"/>
      <c r="B59" s="152"/>
      <c r="C59" s="243"/>
      <c r="D59" s="205"/>
      <c r="E59" s="426"/>
      <c r="H59" s="218"/>
      <c r="I59" s="219"/>
    </row>
    <row r="60" spans="1:14">
      <c r="A60" s="212">
        <v>28</v>
      </c>
      <c r="B60" s="220"/>
      <c r="C60" s="241" t="s">
        <v>309</v>
      </c>
      <c r="D60" s="430"/>
      <c r="E60" s="498" t="str">
        <f>"(Note "&amp;B$339&amp;")"</f>
        <v>(Note C)</v>
      </c>
      <c r="F60" s="242" t="s">
        <v>797</v>
      </c>
      <c r="G60" s="244"/>
      <c r="H60" s="431">
        <f>+'9 - Rate Base'!D47</f>
        <v>0</v>
      </c>
      <c r="I60" s="219"/>
    </row>
    <row r="61" spans="1:14">
      <c r="A61" s="404"/>
      <c r="B61" s="152"/>
      <c r="C61" s="243"/>
      <c r="D61" s="205"/>
      <c r="E61" s="1430"/>
      <c r="H61" s="218"/>
      <c r="I61" s="219"/>
    </row>
    <row r="62" spans="1:14" s="296" customFormat="1" ht="16" thickBot="1">
      <c r="A62" s="212">
        <v>29</v>
      </c>
      <c r="B62" s="267" t="s">
        <v>310</v>
      </c>
      <c r="C62" s="267"/>
      <c r="D62" s="267"/>
      <c r="E62" s="419"/>
      <c r="F62" s="410" t="str">
        <f>"(Line "&amp;A50&amp;" + "&amp;A58&amp;" + "&amp;A60&amp;")"</f>
        <v>(Line 22 + 27 + 28)</v>
      </c>
      <c r="G62" s="267"/>
      <c r="H62" s="432">
        <f>SUM(H50,H58,H60)</f>
        <v>1891083332.9928472</v>
      </c>
      <c r="I62" s="521"/>
      <c r="J62" s="1139"/>
      <c r="K62"/>
      <c r="L62"/>
      <c r="M62"/>
      <c r="N62"/>
    </row>
    <row r="63" spans="1:14" ht="16" thickTop="1">
      <c r="A63" s="404"/>
      <c r="B63" s="152"/>
      <c r="C63" s="152"/>
      <c r="D63" s="152"/>
      <c r="E63" s="1430"/>
    </row>
    <row r="64" spans="1:14">
      <c r="A64" s="212"/>
      <c r="B64" s="243" t="s">
        <v>72</v>
      </c>
      <c r="C64" s="243"/>
      <c r="D64" s="228"/>
      <c r="E64" s="278"/>
      <c r="F64" s="227"/>
      <c r="G64" s="285"/>
      <c r="H64" s="227"/>
      <c r="I64" s="228"/>
    </row>
    <row r="65" spans="1:14">
      <c r="A65" s="404"/>
      <c r="B65" s="239"/>
      <c r="C65" s="239"/>
      <c r="D65" s="239"/>
      <c r="E65" s="1430"/>
      <c r="F65" s="227"/>
      <c r="G65" s="227"/>
      <c r="H65" s="227"/>
      <c r="I65" s="228"/>
    </row>
    <row r="66" spans="1:14">
      <c r="A66" s="212">
        <v>30</v>
      </c>
      <c r="B66" s="220"/>
      <c r="C66" s="231" t="s">
        <v>311</v>
      </c>
      <c r="E66" s="498" t="str">
        <f>"(Note "&amp;B$334&amp;")"</f>
        <v>(Note B)</v>
      </c>
      <c r="F66" s="228" t="s">
        <v>886</v>
      </c>
      <c r="G66" s="216"/>
      <c r="H66" s="416">
        <f>+'9 - Rate Base'!F24</f>
        <v>446185488.40568775</v>
      </c>
      <c r="I66" s="228"/>
    </row>
    <row r="67" spans="1:14">
      <c r="A67" s="212" t="s">
        <v>883</v>
      </c>
      <c r="B67" s="205"/>
      <c r="C67" s="522" t="s">
        <v>770</v>
      </c>
      <c r="D67" s="474"/>
      <c r="E67" s="426"/>
      <c r="F67" s="234" t="s">
        <v>887</v>
      </c>
      <c r="G67" s="222"/>
      <c r="H67" s="497">
        <f>+'9 - Rate Base'!F25</f>
        <v>0</v>
      </c>
      <c r="I67" s="219"/>
    </row>
    <row r="68" spans="1:14">
      <c r="A68" s="212" t="s">
        <v>884</v>
      </c>
      <c r="B68" s="205"/>
      <c r="C68" s="243" t="s">
        <v>885</v>
      </c>
      <c r="D68" s="239"/>
      <c r="E68" s="1430"/>
      <c r="F68" s="228" t="str">
        <f>"(Line "&amp;A66&amp;" - "&amp;A67&amp;")"</f>
        <v>(Line 30 - 30a)</v>
      </c>
      <c r="G68" s="216"/>
      <c r="H68" s="416">
        <f>+H66-H67</f>
        <v>446185488.40568775</v>
      </c>
      <c r="I68" s="228"/>
    </row>
    <row r="69" spans="1:14" s="205" customFormat="1">
      <c r="A69" s="212"/>
      <c r="B69" s="212"/>
      <c r="C69" s="239"/>
      <c r="D69" s="243"/>
      <c r="E69" s="1430"/>
      <c r="F69" s="228"/>
      <c r="G69" s="239"/>
      <c r="H69" s="228"/>
      <c r="I69" s="228"/>
      <c r="J69" s="1139"/>
      <c r="K69"/>
      <c r="L69"/>
      <c r="M69"/>
      <c r="N69"/>
    </row>
    <row r="70" spans="1:14">
      <c r="A70" s="212">
        <v>31</v>
      </c>
      <c r="B70" s="220"/>
      <c r="C70" s="231" t="s">
        <v>152</v>
      </c>
      <c r="E70" s="1430"/>
      <c r="F70" s="228" t="s">
        <v>892</v>
      </c>
      <c r="G70" s="216"/>
      <c r="H70" s="416">
        <f>+'9 - Rate Base'!G24</f>
        <v>79529458.300162598</v>
      </c>
      <c r="I70" s="228"/>
    </row>
    <row r="71" spans="1:14">
      <c r="A71" s="212" t="s">
        <v>888</v>
      </c>
      <c r="B71" s="212"/>
      <c r="C71" s="243" t="s">
        <v>770</v>
      </c>
      <c r="D71" s="239"/>
      <c r="E71" s="1430"/>
      <c r="F71" s="228" t="s">
        <v>893</v>
      </c>
      <c r="G71" s="216"/>
      <c r="H71" s="416">
        <f>+'9 - Rate Base'!G25</f>
        <v>138788.60820188082</v>
      </c>
      <c r="I71" s="228"/>
    </row>
    <row r="72" spans="1:14">
      <c r="A72" s="212">
        <v>32</v>
      </c>
      <c r="B72" s="220"/>
      <c r="C72" s="231" t="s">
        <v>147</v>
      </c>
      <c r="E72" s="1430"/>
      <c r="F72" s="218" t="str">
        <f>"(Line "&amp;A$26&amp;" - "&amp;A$27&amp;")"</f>
        <v>(Line 10 - 10a)</v>
      </c>
      <c r="G72" s="216"/>
      <c r="H72" s="228">
        <f>+H26-H27</f>
        <v>26282068.647086699</v>
      </c>
      <c r="I72" s="228"/>
    </row>
    <row r="73" spans="1:14">
      <c r="A73" s="212">
        <v>33</v>
      </c>
      <c r="B73" s="220"/>
      <c r="C73" s="231" t="s">
        <v>293</v>
      </c>
      <c r="E73" s="498"/>
      <c r="F73" s="218" t="str">
        <f>"(Line "&amp;A$28&amp;" - "&amp;A$29&amp;")"</f>
        <v>(Line 11 - 11a)</v>
      </c>
      <c r="G73" s="216"/>
      <c r="H73" s="228">
        <f>+H28-H29</f>
        <v>26610118</v>
      </c>
      <c r="I73" s="228"/>
    </row>
    <row r="74" spans="1:14">
      <c r="A74" s="212">
        <v>34</v>
      </c>
      <c r="B74" s="220"/>
      <c r="C74" s="257" t="s">
        <v>312</v>
      </c>
      <c r="D74" s="222"/>
      <c r="E74" s="466"/>
      <c r="F74" s="225" t="str">
        <f>"(Line "&amp;A$30&amp;" - "&amp;A$31&amp;")"</f>
        <v>(Line 12 - 12a)</v>
      </c>
      <c r="G74" s="216"/>
      <c r="H74" s="234">
        <f>+H30-H31</f>
        <v>61423513</v>
      </c>
      <c r="I74" s="219"/>
    </row>
    <row r="75" spans="1:14">
      <c r="A75" s="212">
        <v>35</v>
      </c>
      <c r="B75" s="220"/>
      <c r="C75" s="434" t="s">
        <v>296</v>
      </c>
      <c r="D75" s="215"/>
      <c r="E75" s="278"/>
      <c r="F75" s="247" t="str">
        <f>"(Line "&amp;A70&amp;" - "&amp;A71&amp;" + "&amp;A72&amp;" + "&amp;A73&amp;" + "&amp;A74&amp;")"</f>
        <v>(Line 31 - 31a + 32 + 33 + 34)</v>
      </c>
      <c r="G75" s="218"/>
      <c r="H75" s="218">
        <f>H70-H71+H72+H73+H74</f>
        <v>193706369.33904743</v>
      </c>
      <c r="I75" s="219"/>
    </row>
    <row r="76" spans="1:14">
      <c r="A76" s="212">
        <v>36</v>
      </c>
      <c r="B76" s="220"/>
      <c r="C76" s="1738" t="s">
        <v>307</v>
      </c>
      <c r="D76" s="215"/>
      <c r="E76" s="278"/>
      <c r="F76" s="225" t="str">
        <f>"(Line "&amp;A$16&amp;")"</f>
        <v>(Line 5)</v>
      </c>
      <c r="G76" s="218"/>
      <c r="H76" s="435">
        <f>+H16</f>
        <v>0.13016492184368511</v>
      </c>
      <c r="I76" s="957"/>
    </row>
    <row r="77" spans="1:14">
      <c r="A77" s="212">
        <v>37</v>
      </c>
      <c r="B77" s="152"/>
      <c r="C77" s="406" t="s">
        <v>313</v>
      </c>
      <c r="D77" s="415"/>
      <c r="E77" s="417"/>
      <c r="F77" s="218" t="str">
        <f>"(Line "&amp;A75&amp;" * "&amp;A76&amp;")"</f>
        <v>(Line 35 * 36)</v>
      </c>
      <c r="G77" s="415"/>
      <c r="H77" s="247">
        <f>+H76*H75</f>
        <v>25213774.425641112</v>
      </c>
      <c r="I77" s="219"/>
    </row>
    <row r="78" spans="1:14">
      <c r="A78" s="404"/>
      <c r="B78" s="152"/>
      <c r="C78" s="152"/>
      <c r="D78" s="152"/>
      <c r="E78" s="1430"/>
    </row>
    <row r="79" spans="1:14" ht="16" thickBot="1">
      <c r="A79" s="212">
        <v>38</v>
      </c>
      <c r="B79" s="267" t="s">
        <v>314</v>
      </c>
      <c r="C79" s="267"/>
      <c r="D79" s="267"/>
      <c r="E79" s="419"/>
      <c r="F79" s="410" t="str">
        <f>"(Line "&amp;A68&amp;" + "&amp;A77&amp;")"</f>
        <v>(Line 30b + 37)</v>
      </c>
      <c r="G79" s="267"/>
      <c r="H79" s="432">
        <f>+H77+H68</f>
        <v>471399262.83132887</v>
      </c>
      <c r="I79" s="521"/>
    </row>
    <row r="80" spans="1:14" ht="16" thickTop="1">
      <c r="A80" s="404"/>
      <c r="B80" s="152"/>
      <c r="C80" s="152"/>
      <c r="D80" s="152"/>
      <c r="E80" s="1430"/>
    </row>
    <row r="81" spans="1:9" ht="16" thickBot="1">
      <c r="A81" s="212">
        <v>39</v>
      </c>
      <c r="B81" s="267" t="s">
        <v>315</v>
      </c>
      <c r="C81" s="267"/>
      <c r="D81" s="267"/>
      <c r="E81" s="419"/>
      <c r="F81" s="410" t="str">
        <f>"(Line "&amp;A62&amp;" - "&amp;A79&amp;")"</f>
        <v>(Line 29 - 38)</v>
      </c>
      <c r="G81" s="267"/>
      <c r="H81" s="432">
        <f>+H62-H79</f>
        <v>1419684070.1615183</v>
      </c>
      <c r="I81" s="521"/>
    </row>
    <row r="82" spans="1:9" ht="16" thickTop="1">
      <c r="A82" s="204"/>
      <c r="B82" s="152"/>
      <c r="C82" s="152"/>
      <c r="D82" s="152"/>
      <c r="E82" s="1430"/>
    </row>
    <row r="83" spans="1:9">
      <c r="A83" s="422" t="s">
        <v>316</v>
      </c>
      <c r="B83" s="398"/>
      <c r="C83" s="398"/>
      <c r="D83" s="398"/>
      <c r="E83" s="1438"/>
      <c r="F83" s="400"/>
      <c r="G83" s="400"/>
      <c r="H83" s="209"/>
    </row>
    <row r="84" spans="1:9">
      <c r="A84" s="1408"/>
      <c r="B84" s="437"/>
      <c r="C84" s="437"/>
      <c r="D84" s="437"/>
      <c r="E84" s="1430"/>
    </row>
    <row r="85" spans="1:9">
      <c r="A85" s="404"/>
      <c r="B85" s="1147" t="s">
        <v>905</v>
      </c>
      <c r="C85" s="1138"/>
      <c r="D85" s="1139"/>
      <c r="E85" s="255"/>
      <c r="F85" s="1139"/>
      <c r="G85" s="1138"/>
      <c r="H85" s="1141"/>
    </row>
    <row r="86" spans="1:9">
      <c r="A86" s="404" t="s">
        <v>906</v>
      </c>
      <c r="B86" s="1147"/>
      <c r="C86" s="1140" t="s">
        <v>907</v>
      </c>
      <c r="D86" s="1193" t="str">
        <f>'1A - ADIT Summary'!D177</f>
        <v>Projected Activity</v>
      </c>
      <c r="E86" s="498" t="str">
        <f>"(Note "&amp;B364&amp;")"</f>
        <v>(Note V)</v>
      </c>
      <c r="F86" s="1172" t="str">
        <f>"Attachment 1A - ADIT Summary, Line "&amp;'1A - ADIT Summary'!B38&amp;""</f>
        <v>Attachment 1A - ADIT Summary, Line 23</v>
      </c>
      <c r="G86" s="1138"/>
      <c r="H86" s="1407">
        <f>IF('1A - ADIT Summary'!$D$177="True-Up Adjustment", '1A - ADIT Summary'!R38,'1A - ADIT Summary'!L38)</f>
        <v>15449391.327332795</v>
      </c>
    </row>
    <row r="87" spans="1:9">
      <c r="A87" s="404" t="s">
        <v>908</v>
      </c>
      <c r="B87" s="1147"/>
      <c r="C87" s="1140" t="s">
        <v>909</v>
      </c>
      <c r="D87" s="1193" t="str">
        <f>D86</f>
        <v>Projected Activity</v>
      </c>
      <c r="E87" s="498" t="str">
        <f>"(Note "&amp;B364&amp;")"</f>
        <v>(Note V)</v>
      </c>
      <c r="F87" s="1172" t="str">
        <f>"Attachment 1A - ADIT Summary, Line "&amp;'1A - ADIT Summary'!B71&amp;""</f>
        <v>Attachment 1A - ADIT Summary, Line 46</v>
      </c>
      <c r="G87" s="1138"/>
      <c r="H87" s="1730">
        <f>IF('1A - ADIT Summary'!$D$177="True-Up Adjustment", '1A - ADIT Summary'!R71,'1A - ADIT Summary'!L71)</f>
        <v>0</v>
      </c>
    </row>
    <row r="88" spans="1:9">
      <c r="A88" s="404" t="s">
        <v>910</v>
      </c>
      <c r="B88" s="1147"/>
      <c r="C88" s="1140" t="s">
        <v>1216</v>
      </c>
      <c r="D88" s="1193" t="str">
        <f>D87</f>
        <v>Projected Activity</v>
      </c>
      <c r="E88" s="498" t="str">
        <f>"(Note "&amp;B364&amp;")"</f>
        <v>(Note V)</v>
      </c>
      <c r="F88" s="1172" t="str">
        <f>"Attachment 1A - ADIT Summary, Line "&amp;'1A - ADIT Summary'!B104&amp;""</f>
        <v>Attachment 1A - ADIT Summary, Line 69</v>
      </c>
      <c r="G88" s="1138"/>
      <c r="H88" s="1730">
        <f>IF('1A - ADIT Summary'!$D$177="True-Up Adjustment", '1A - ADIT Summary'!R104,'1A - ADIT Summary'!L104)</f>
        <v>-290691461.57940996</v>
      </c>
    </row>
    <row r="89" spans="1:9">
      <c r="A89" s="404" t="s">
        <v>911</v>
      </c>
      <c r="B89" s="1148"/>
      <c r="C89" s="1140" t="s">
        <v>912</v>
      </c>
      <c r="D89" s="1193" t="str">
        <f>D88</f>
        <v>Projected Activity</v>
      </c>
      <c r="E89" s="498" t="str">
        <f>"(Note "&amp;B364&amp;")"</f>
        <v>(Note V)</v>
      </c>
      <c r="F89" s="1172" t="str">
        <f>"Attachment 1A - ADIT Summary, Line "&amp;'1A - ADIT Summary'!B137&amp;""</f>
        <v>Attachment 1A - ADIT Summary, Line 92</v>
      </c>
      <c r="G89" s="1138"/>
      <c r="H89" s="1730">
        <f>IF('1A - ADIT Summary'!$D$177="True-Up Adjustment", '1A - ADIT Summary'!R137,'1A - ADIT Summary'!L137)</f>
        <v>-7225762.0947265225</v>
      </c>
    </row>
    <row r="90" spans="1:9">
      <c r="A90" s="404" t="s">
        <v>1217</v>
      </c>
      <c r="B90" s="1139"/>
      <c r="C90" s="1144" t="s">
        <v>913</v>
      </c>
      <c r="D90" s="1193" t="str">
        <f>D89</f>
        <v>Projected Activity</v>
      </c>
      <c r="E90" s="466" t="str">
        <f>"(Note "&amp;B361&amp;")"</f>
        <v>(Note U)</v>
      </c>
      <c r="F90" s="1176" t="str">
        <f>"Attachment 1A - ADIT Summary, Line "&amp;'1A - ADIT Summary'!B170&amp;""</f>
        <v>Attachment 1A - ADIT Summary, Line 115</v>
      </c>
      <c r="G90" s="1143"/>
      <c r="H90" s="1731">
        <f>IF('1A - ADIT Summary'!$D$177="True-Up Adjustment", '1A - ADIT Summary'!R170,'1A - ADIT Summary'!L170)</f>
        <v>-534198.15808174165</v>
      </c>
    </row>
    <row r="91" spans="1:9">
      <c r="A91" s="404" t="s">
        <v>1218</v>
      </c>
      <c r="B91" s="1139"/>
      <c r="C91" s="1149" t="s">
        <v>320</v>
      </c>
      <c r="D91" s="1146"/>
      <c r="E91" s="417"/>
      <c r="F91" s="1172" t="str">
        <f>"(Line "&amp;A86&amp;" + "&amp;A87&amp;" + "&amp;A88&amp;" + "&amp;A89&amp;" + "&amp;A90&amp;")"</f>
        <v>(Line 40a + 40b + 40c + 40d + 40e)</v>
      </c>
      <c r="G91" s="1146"/>
      <c r="H91" s="1732">
        <f>SUM(H86:H90)</f>
        <v>-283002030.50488544</v>
      </c>
    </row>
    <row r="92" spans="1:9">
      <c r="A92" s="404"/>
      <c r="B92" s="1139"/>
      <c r="C92" s="1148"/>
      <c r="D92" s="1145"/>
      <c r="E92" s="1743"/>
      <c r="F92" s="1145"/>
      <c r="G92" s="1150"/>
      <c r="H92" s="1151"/>
    </row>
    <row r="93" spans="1:9">
      <c r="A93" s="212"/>
      <c r="B93" s="1139" t="s">
        <v>1857</v>
      </c>
      <c r="C93" s="1147"/>
      <c r="D93" s="1145"/>
      <c r="E93" s="1743"/>
      <c r="F93" s="1166"/>
      <c r="G93" s="1145"/>
      <c r="H93" s="1154"/>
    </row>
    <row r="94" spans="1:9">
      <c r="A94" s="212" t="s">
        <v>1219</v>
      </c>
      <c r="B94" s="1139"/>
      <c r="C94" s="1147" t="s">
        <v>1220</v>
      </c>
      <c r="D94" s="1145" t="s">
        <v>1215</v>
      </c>
      <c r="E94" s="498" t="str">
        <f>"(Note "&amp;B374&amp;")"</f>
        <v>(Note W)</v>
      </c>
      <c r="F94" s="1172" t="str">
        <f>"Attachment 1D - ADIT Rate Base Adjustment, Line "&amp;'1D - ADIT Rate Base Adjustment'!B117&amp;""</f>
        <v>Attachment 1D - ADIT Rate Base Adjustment, Line 73</v>
      </c>
      <c r="G94" s="1145"/>
      <c r="H94" s="1733">
        <f>IF('1D - ADIT Rate Base Adjustment'!D237="True-Up Adjustment",'1D - ADIT Rate Base Adjustment'!N117,'1D - ADIT Rate Base Adjustment'!H117)</f>
        <v>-74819422.887440488</v>
      </c>
    </row>
    <row r="95" spans="1:9">
      <c r="A95" s="212" t="s">
        <v>1221</v>
      </c>
      <c r="B95" s="1139"/>
      <c r="C95" s="1152" t="s">
        <v>1222</v>
      </c>
      <c r="D95" s="1153" t="s">
        <v>1215</v>
      </c>
      <c r="E95" s="466" t="str">
        <f>"(Note "&amp;B374&amp;")"</f>
        <v>(Note W)</v>
      </c>
      <c r="F95" s="1176" t="str">
        <f>"Attachment 1D - ADIT Rate Base Adjustment, Line "&amp;'1D - ADIT Rate Base Adjustment'!B230&amp;""</f>
        <v>Attachment 1D - ADIT Rate Base Adjustment, Line 146</v>
      </c>
      <c r="G95" s="1153"/>
      <c r="H95" s="1734">
        <f>IF('1D - ADIT Rate Base Adjustment'!D237="True-Up Adjustment",'1D - ADIT Rate Base Adjustment'!N230,'1D - ADIT Rate Base Adjustment'!H230)</f>
        <v>0</v>
      </c>
    </row>
    <row r="96" spans="1:9">
      <c r="A96" s="212">
        <v>42</v>
      </c>
      <c r="B96" s="1139"/>
      <c r="C96" s="1147" t="s">
        <v>1223</v>
      </c>
      <c r="D96" s="1145"/>
      <c r="E96" s="1743"/>
      <c r="F96" s="1172" t="str">
        <f>"(Line "&amp;A94&amp;" + "&amp;A95&amp;")"</f>
        <v>(Line 41a + 41b)</v>
      </c>
      <c r="G96" s="1145"/>
      <c r="H96" s="1154">
        <f>H94+H95</f>
        <v>-74819422.887440488</v>
      </c>
    </row>
    <row r="97" spans="1:14">
      <c r="A97" s="212"/>
      <c r="B97" s="1139"/>
      <c r="C97" s="1147"/>
      <c r="D97" s="1145"/>
      <c r="E97" s="1743"/>
      <c r="F97" s="1142"/>
      <c r="G97" s="1145"/>
      <c r="H97" s="1154"/>
    </row>
    <row r="98" spans="1:14">
      <c r="A98" s="212">
        <v>43</v>
      </c>
      <c r="B98" s="1139"/>
      <c r="C98" s="1149" t="s">
        <v>1224</v>
      </c>
      <c r="D98" s="1146"/>
      <c r="E98" s="417"/>
      <c r="F98" s="1172" t="str">
        <f>"(Line "&amp;A91&amp;" + "&amp;A96&amp;")"</f>
        <v>(Line 40f + 42)</v>
      </c>
      <c r="G98" s="1146"/>
      <c r="H98" s="1735">
        <f>H91+H96</f>
        <v>-357821453.39232594</v>
      </c>
    </row>
    <row r="99" spans="1:14">
      <c r="A99" s="436"/>
      <c r="B99" s="437"/>
      <c r="C99" s="437"/>
      <c r="D99" s="437"/>
      <c r="E99" s="1430"/>
    </row>
    <row r="100" spans="1:14">
      <c r="A100" s="212" t="s">
        <v>321</v>
      </c>
      <c r="B100" s="438" t="s">
        <v>322</v>
      </c>
      <c r="D100" s="401"/>
      <c r="E100" s="498" t="s">
        <v>323</v>
      </c>
      <c r="F100" s="219" t="s">
        <v>898</v>
      </c>
      <c r="G100" s="401"/>
      <c r="H100" s="444">
        <f>+'9 - Rate Base'!C47</f>
        <v>0</v>
      </c>
      <c r="I100" s="443"/>
    </row>
    <row r="101" spans="1:14" ht="15" customHeight="1">
      <c r="A101" s="212"/>
      <c r="B101" s="152"/>
      <c r="D101" s="401"/>
      <c r="E101" s="498"/>
      <c r="F101" s="219"/>
      <c r="G101" s="442"/>
      <c r="H101" s="443"/>
      <c r="I101" s="443"/>
    </row>
    <row r="102" spans="1:14" ht="18">
      <c r="A102" s="212" t="s">
        <v>324</v>
      </c>
      <c r="B102" s="445" t="s">
        <v>325</v>
      </c>
      <c r="C102" s="446"/>
      <c r="D102" s="447"/>
      <c r="E102" s="447"/>
      <c r="F102" s="900" t="s">
        <v>798</v>
      </c>
      <c r="G102" s="442"/>
      <c r="H102" s="443">
        <f>+'9 - Rate Base'!I47</f>
        <v>0</v>
      </c>
      <c r="I102" s="443"/>
    </row>
    <row r="103" spans="1:14" ht="18">
      <c r="A103" s="152"/>
      <c r="B103" s="152"/>
      <c r="C103" s="446"/>
      <c r="D103" s="447"/>
      <c r="E103" s="447"/>
      <c r="F103" s="447"/>
      <c r="G103" s="442"/>
      <c r="H103" s="443"/>
      <c r="I103" s="443"/>
    </row>
    <row r="104" spans="1:14" s="205" customFormat="1">
      <c r="A104" s="212"/>
      <c r="B104" s="205" t="s">
        <v>327</v>
      </c>
      <c r="C104" s="439"/>
      <c r="D104" s="401"/>
      <c r="E104" s="1430"/>
      <c r="F104" s="219"/>
      <c r="G104" s="401"/>
      <c r="H104" s="443"/>
      <c r="I104" s="443"/>
      <c r="J104" s="1139"/>
      <c r="K104"/>
      <c r="L104"/>
      <c r="M104"/>
      <c r="N104"/>
    </row>
    <row r="105" spans="1:14">
      <c r="A105" s="404">
        <v>44</v>
      </c>
      <c r="B105" s="205"/>
      <c r="C105" s="438" t="s">
        <v>1048</v>
      </c>
      <c r="D105" s="401"/>
      <c r="E105" s="1430" t="s">
        <v>319</v>
      </c>
      <c r="F105" s="900" t="s">
        <v>326</v>
      </c>
      <c r="G105" s="442"/>
      <c r="H105" s="1151">
        <f>+'5 - Cost Support 1'!AC122</f>
        <v>-4509775.7394906571</v>
      </c>
      <c r="I105" s="443"/>
    </row>
    <row r="106" spans="1:14">
      <c r="A106" s="212"/>
      <c r="B106" s="448"/>
      <c r="C106" s="239"/>
      <c r="D106" s="239"/>
      <c r="E106" s="1430"/>
      <c r="F106" s="449"/>
      <c r="G106" s="299"/>
    </row>
    <row r="107" spans="1:14">
      <c r="A107" s="212"/>
      <c r="B107" s="213" t="s">
        <v>110</v>
      </c>
      <c r="C107" s="213"/>
      <c r="D107" s="239"/>
      <c r="E107" s="1430"/>
      <c r="F107" s="450"/>
      <c r="G107" s="451"/>
    </row>
    <row r="108" spans="1:14">
      <c r="A108" s="212">
        <v>45</v>
      </c>
      <c r="B108" s="452"/>
      <c r="C108" s="453" t="s">
        <v>112</v>
      </c>
      <c r="D108" s="433"/>
      <c r="E108" s="466" t="str">
        <f>"(Note "&amp;B$333&amp;")"</f>
        <v>(Note A)</v>
      </c>
      <c r="F108" s="453" t="s">
        <v>799</v>
      </c>
      <c r="G108" s="454"/>
      <c r="H108" s="443">
        <f>+'9 - Rate Base'!G47</f>
        <v>19438049.86028517</v>
      </c>
      <c r="I108" s="443"/>
      <c r="J108" s="420"/>
    </row>
    <row r="109" spans="1:14">
      <c r="A109" s="220">
        <v>46</v>
      </c>
      <c r="B109" s="448"/>
      <c r="C109" s="205" t="s">
        <v>328</v>
      </c>
      <c r="D109" s="244"/>
      <c r="E109" s="417"/>
      <c r="F109" s="219" t="s">
        <v>833</v>
      </c>
      <c r="G109" s="293"/>
      <c r="H109" s="455">
        <f>+H108</f>
        <v>19438049.86028517</v>
      </c>
      <c r="I109" s="443"/>
      <c r="J109" s="420"/>
    </row>
    <row r="110" spans="1:14">
      <c r="A110" s="212"/>
      <c r="B110" s="448"/>
      <c r="C110" s="239"/>
      <c r="E110" s="1430"/>
      <c r="F110" s="299"/>
      <c r="G110" s="299"/>
    </row>
    <row r="111" spans="1:14">
      <c r="A111" s="220"/>
      <c r="B111" s="448"/>
      <c r="C111" s="213"/>
      <c r="E111" s="1430"/>
      <c r="F111" s="451"/>
      <c r="G111" s="451"/>
      <c r="H111" s="456"/>
      <c r="I111" s="958"/>
    </row>
    <row r="112" spans="1:14">
      <c r="A112" s="212"/>
      <c r="B112" s="213" t="s">
        <v>57</v>
      </c>
      <c r="C112" s="205"/>
      <c r="D112" s="205"/>
      <c r="E112" s="1440"/>
      <c r="F112" s="454"/>
      <c r="G112" s="451"/>
      <c r="H112" s="456"/>
      <c r="I112" s="958"/>
    </row>
    <row r="113" spans="1:14">
      <c r="A113" s="404">
        <v>47</v>
      </c>
      <c r="B113" s="205"/>
      <c r="C113" s="205" t="s">
        <v>329</v>
      </c>
      <c r="D113" s="239"/>
      <c r="E113" s="498" t="str">
        <f>"(Note "&amp;B$333&amp;")"</f>
        <v>(Note A)</v>
      </c>
      <c r="F113" s="213" t="s">
        <v>800</v>
      </c>
      <c r="H113" s="457">
        <f>+'9 - Rate Base'!F47</f>
        <v>0</v>
      </c>
      <c r="I113" s="303"/>
      <c r="J113" s="420"/>
    </row>
    <row r="114" spans="1:14" s="205" customFormat="1">
      <c r="A114" s="212">
        <v>48</v>
      </c>
      <c r="B114" s="448"/>
      <c r="C114" s="453" t="s">
        <v>307</v>
      </c>
      <c r="D114" s="289"/>
      <c r="E114" s="426"/>
      <c r="F114" s="225" t="str">
        <f>"(Line "&amp;A$16&amp;")"</f>
        <v>(Line 5)</v>
      </c>
      <c r="G114" s="459"/>
      <c r="H114" s="286">
        <f>+H16</f>
        <v>0.13016492184368511</v>
      </c>
      <c r="I114" s="286"/>
      <c r="J114" s="1139"/>
      <c r="K114"/>
      <c r="L114"/>
      <c r="M114"/>
      <c r="N114"/>
    </row>
    <row r="115" spans="1:14">
      <c r="A115" s="212">
        <v>49</v>
      </c>
      <c r="B115" s="448"/>
      <c r="C115" s="213" t="s">
        <v>330</v>
      </c>
      <c r="D115" s="239"/>
      <c r="E115" s="1430"/>
      <c r="F115" s="218" t="str">
        <f>"(Line "&amp;A113&amp;" * "&amp;A114&amp;")"</f>
        <v>(Line 47 * 48)</v>
      </c>
      <c r="G115" s="451"/>
      <c r="H115" s="455">
        <f>+H113*H114</f>
        <v>0</v>
      </c>
      <c r="I115" s="443"/>
    </row>
    <row r="116" spans="1:14">
      <c r="A116" s="212">
        <v>50</v>
      </c>
      <c r="B116" s="448"/>
      <c r="C116" s="213" t="s">
        <v>331</v>
      </c>
      <c r="D116" s="239"/>
      <c r="E116" s="466" t="s">
        <v>1225</v>
      </c>
      <c r="F116" s="453" t="s">
        <v>1185</v>
      </c>
      <c r="G116" s="451"/>
      <c r="H116" s="457">
        <f>+'9 - Rate Base'!E47</f>
        <v>4074476.7594921072</v>
      </c>
      <c r="I116" s="303"/>
    </row>
    <row r="117" spans="1:14" ht="18" customHeight="1">
      <c r="A117" s="212">
        <v>51</v>
      </c>
      <c r="B117" s="448"/>
      <c r="C117" s="414" t="s">
        <v>332</v>
      </c>
      <c r="D117" s="244"/>
      <c r="E117" s="417"/>
      <c r="F117" s="218" t="str">
        <f>"(Line "&amp;A115&amp;" + "&amp;A116&amp;")"</f>
        <v>(Line 49 + 50)</v>
      </c>
      <c r="G117" s="293"/>
      <c r="H117" s="460">
        <f>SUM(H115:H116)</f>
        <v>4074476.7594921072</v>
      </c>
      <c r="I117" s="521"/>
    </row>
    <row r="118" spans="1:14">
      <c r="A118" s="212"/>
      <c r="B118" s="448"/>
      <c r="C118" s="213"/>
      <c r="E118" s="1430"/>
      <c r="F118" s="451"/>
      <c r="G118" s="451"/>
    </row>
    <row r="119" spans="1:14">
      <c r="A119" s="212"/>
      <c r="B119" s="213" t="s">
        <v>333</v>
      </c>
      <c r="C119" s="205"/>
      <c r="E119" s="1430"/>
      <c r="F119" s="451"/>
      <c r="G119" s="451"/>
    </row>
    <row r="120" spans="1:14">
      <c r="A120" s="212">
        <v>52</v>
      </c>
      <c r="B120" s="448"/>
      <c r="C120" s="213" t="s">
        <v>334</v>
      </c>
      <c r="D120" s="211"/>
      <c r="E120" s="1430"/>
      <c r="F120" s="218" t="str">
        <f>"(Line "&amp;A$171&amp;")"</f>
        <v>(Line 85)</v>
      </c>
      <c r="G120" s="451"/>
      <c r="H120" s="461">
        <f>+H171</f>
        <v>35370084.528215259</v>
      </c>
      <c r="I120" s="461"/>
      <c r="J120" s="420"/>
    </row>
    <row r="121" spans="1:14">
      <c r="A121" s="212">
        <v>53</v>
      </c>
      <c r="B121" s="448"/>
      <c r="C121" s="238" t="s">
        <v>335</v>
      </c>
      <c r="D121" s="211"/>
      <c r="E121" s="1430"/>
      <c r="F121" s="256" t="s">
        <v>336</v>
      </c>
      <c r="H121" s="462">
        <v>0.125</v>
      </c>
      <c r="I121" s="959"/>
    </row>
    <row r="122" spans="1:14" s="296" customFormat="1">
      <c r="A122" s="212">
        <v>54</v>
      </c>
      <c r="B122" s="448"/>
      <c r="C122" s="440" t="s">
        <v>337</v>
      </c>
      <c r="D122" s="246"/>
      <c r="E122" s="417"/>
      <c r="F122" s="218" t="str">
        <f>"(Line "&amp;A120&amp;" * "&amp;A121&amp;")"</f>
        <v>(Line 52 * 53)</v>
      </c>
      <c r="G122" s="415"/>
      <c r="H122" s="463">
        <f>+H120*H121</f>
        <v>4421260.5660269074</v>
      </c>
      <c r="I122" s="449"/>
      <c r="J122" s="1139"/>
      <c r="K122"/>
      <c r="L122"/>
      <c r="M122"/>
      <c r="N122"/>
    </row>
    <row r="123" spans="1:14" s="296" customFormat="1">
      <c r="A123" s="212"/>
      <c r="B123" s="448"/>
      <c r="C123" s="438"/>
      <c r="D123" s="226"/>
      <c r="E123" s="1430"/>
      <c r="F123" s="218"/>
      <c r="G123" s="442"/>
      <c r="H123" s="299"/>
      <c r="I123" s="449"/>
      <c r="J123" s="395"/>
      <c r="K123"/>
      <c r="L123"/>
      <c r="M123"/>
      <c r="N123"/>
    </row>
    <row r="124" spans="1:14" s="296" customFormat="1">
      <c r="A124" s="152"/>
      <c r="B124" s="438" t="s">
        <v>117</v>
      </c>
      <c r="C124" s="152"/>
      <c r="D124" s="226"/>
      <c r="E124" s="1193"/>
      <c r="F124" s="218"/>
      <c r="G124" s="442"/>
      <c r="H124" s="299"/>
      <c r="I124" s="449"/>
      <c r="J124" s="395"/>
      <c r="K124"/>
      <c r="L124"/>
      <c r="M124"/>
      <c r="N124"/>
    </row>
    <row r="125" spans="1:14">
      <c r="A125" s="212">
        <v>55</v>
      </c>
      <c r="B125" s="152"/>
      <c r="C125" s="152" t="s">
        <v>338</v>
      </c>
      <c r="D125" s="152"/>
      <c r="E125" s="498" t="str">
        <f>"(Note "&amp;B$350&amp;")"</f>
        <v>(Note N)</v>
      </c>
      <c r="F125" s="152" t="s">
        <v>339</v>
      </c>
      <c r="H125" s="464">
        <f>+'5 - Cost Support 1'!G146</f>
        <v>0</v>
      </c>
    </row>
    <row r="126" spans="1:14">
      <c r="A126" s="204">
        <v>56</v>
      </c>
      <c r="B126" s="152"/>
      <c r="C126" s="465" t="s">
        <v>340</v>
      </c>
      <c r="D126" s="465"/>
      <c r="E126" s="466" t="str">
        <f>+E125</f>
        <v>(Note N)</v>
      </c>
      <c r="F126" s="467" t="str">
        <f>+F125</f>
        <v>From PJM</v>
      </c>
      <c r="H126" s="468">
        <f>+'5 - Cost Support 1'!G151</f>
        <v>0</v>
      </c>
      <c r="I126" s="401"/>
    </row>
    <row r="127" spans="1:14">
      <c r="A127" s="204">
        <v>57</v>
      </c>
      <c r="B127" s="152"/>
      <c r="C127" s="152" t="s">
        <v>341</v>
      </c>
      <c r="D127" s="152"/>
      <c r="E127" s="1430"/>
      <c r="F127" s="218" t="str">
        <f>"(Line "&amp;A125&amp;" - "&amp;A126&amp;")"</f>
        <v>(Line 55 - 56)</v>
      </c>
      <c r="H127" s="152">
        <f>+H125-H126</f>
        <v>0</v>
      </c>
    </row>
    <row r="128" spans="1:14">
      <c r="A128" s="204"/>
      <c r="B128" s="152"/>
      <c r="C128" s="152"/>
      <c r="D128" s="152"/>
      <c r="E128" s="1430"/>
    </row>
    <row r="129" spans="1:14" ht="16" thickBot="1">
      <c r="A129" s="204">
        <v>58</v>
      </c>
      <c r="B129" s="267" t="s">
        <v>342</v>
      </c>
      <c r="C129" s="267"/>
      <c r="D129" s="267"/>
      <c r="E129" s="419"/>
      <c r="F129" s="432" t="str">
        <f>"(Line "&amp;A98&amp;" + "&amp;A100&amp;" + "&amp;A102&amp;" + "&amp;A105&amp;" + "&amp;A109&amp;" + "&amp;A117&amp;" + "&amp;A122&amp;" - "&amp;A127&amp;")"</f>
        <v>(Line 43 + 43a + 43b + 44 + 46 + 51 + 54 - 57)</v>
      </c>
      <c r="G129" s="469"/>
      <c r="H129" s="432">
        <f>SUM(H98,H100,H102,H105,H109,H117,H122)-H127</f>
        <v>-334397441.94601238</v>
      </c>
      <c r="I129" s="521"/>
      <c r="J129" s="420"/>
    </row>
    <row r="130" spans="1:14" ht="16" thickTop="1">
      <c r="A130" s="204"/>
      <c r="B130" s="152"/>
      <c r="C130" s="152"/>
      <c r="D130" s="152"/>
      <c r="E130" s="1430"/>
    </row>
    <row r="131" spans="1:14" ht="16" thickBot="1">
      <c r="A131" s="220">
        <v>59</v>
      </c>
      <c r="B131" s="267" t="s">
        <v>343</v>
      </c>
      <c r="C131" s="267"/>
      <c r="D131" s="267"/>
      <c r="E131" s="419"/>
      <c r="F131" s="410" t="str">
        <f>"(Line "&amp;A81&amp;" + "&amp;A129&amp;")"</f>
        <v>(Line 39 + 58)</v>
      </c>
      <c r="G131" s="267"/>
      <c r="H131" s="432">
        <f>+H81+H129</f>
        <v>1085286628.2155061</v>
      </c>
      <c r="I131" s="521"/>
      <c r="J131" s="420"/>
    </row>
    <row r="132" spans="1:14" ht="16" thickTop="1">
      <c r="B132" s="152"/>
      <c r="C132" s="152"/>
      <c r="D132" s="152"/>
      <c r="E132" s="1430"/>
    </row>
    <row r="133" spans="1:14" s="205" customFormat="1">
      <c r="A133" s="470" t="s">
        <v>344</v>
      </c>
      <c r="B133" s="471"/>
      <c r="C133" s="472"/>
      <c r="D133" s="274"/>
      <c r="E133" s="1438"/>
      <c r="F133" s="209"/>
      <c r="G133" s="209"/>
      <c r="H133" s="276"/>
      <c r="I133" s="402"/>
      <c r="J133" s="1139"/>
      <c r="K133"/>
      <c r="L133"/>
      <c r="M133"/>
      <c r="N133"/>
    </row>
    <row r="134" spans="1:14" s="205" customFormat="1">
      <c r="A134" s="239"/>
      <c r="B134" s="239"/>
      <c r="C134" s="239"/>
      <c r="D134" s="239"/>
      <c r="E134" s="1439"/>
      <c r="H134" s="402"/>
      <c r="I134" s="402"/>
      <c r="J134" s="1139"/>
      <c r="K134"/>
      <c r="L134"/>
      <c r="M134"/>
      <c r="N134"/>
    </row>
    <row r="135" spans="1:14">
      <c r="A135" s="220"/>
      <c r="B135" s="243" t="s">
        <v>149</v>
      </c>
      <c r="D135" s="227"/>
      <c r="E135" s="278"/>
      <c r="G135" s="227"/>
      <c r="H135" s="227"/>
      <c r="I135" s="228"/>
    </row>
    <row r="136" spans="1:14">
      <c r="A136" s="220">
        <v>60</v>
      </c>
      <c r="B136" s="220"/>
      <c r="C136" s="243" t="s">
        <v>149</v>
      </c>
      <c r="D136" s="239"/>
      <c r="E136" s="1430"/>
      <c r="F136" s="228" t="s">
        <v>1049</v>
      </c>
      <c r="G136" s="212"/>
      <c r="H136" s="416">
        <f>+'11A - O&amp;M'!G38</f>
        <v>23627022</v>
      </c>
      <c r="I136" s="228"/>
    </row>
    <row r="137" spans="1:14">
      <c r="A137" s="220">
        <v>61</v>
      </c>
      <c r="B137" s="220"/>
      <c r="C137" s="243" t="s">
        <v>345</v>
      </c>
      <c r="D137" s="239"/>
      <c r="E137" s="1430"/>
      <c r="F137" s="228" t="s">
        <v>326</v>
      </c>
      <c r="G137" s="212"/>
      <c r="H137" s="228">
        <f>'5 - Cost Support 1'!G159</f>
        <v>0</v>
      </c>
      <c r="I137" s="228"/>
    </row>
    <row r="138" spans="1:14">
      <c r="A138" s="220">
        <v>62</v>
      </c>
      <c r="B138" s="220"/>
      <c r="C138" s="243" t="s">
        <v>346</v>
      </c>
      <c r="D138" s="239"/>
      <c r="E138" s="1430"/>
      <c r="F138" s="228" t="s">
        <v>326</v>
      </c>
      <c r="G138" s="212"/>
      <c r="H138" s="228">
        <f>'5 - Cost Support 1'!J160</f>
        <v>0</v>
      </c>
      <c r="I138" s="228"/>
    </row>
    <row r="139" spans="1:14">
      <c r="A139" s="212">
        <v>63</v>
      </c>
      <c r="B139" s="220"/>
      <c r="C139" s="243" t="s">
        <v>347</v>
      </c>
      <c r="D139" s="239"/>
      <c r="E139" s="1430"/>
      <c r="F139" s="228" t="s">
        <v>348</v>
      </c>
      <c r="G139" s="239"/>
      <c r="H139" s="416">
        <v>0</v>
      </c>
      <c r="I139" s="228"/>
    </row>
    <row r="140" spans="1:14">
      <c r="A140" s="212" t="s">
        <v>767</v>
      </c>
      <c r="B140" s="212"/>
      <c r="C140" s="243" t="s">
        <v>768</v>
      </c>
      <c r="D140" s="239"/>
      <c r="E140" s="1430"/>
      <c r="F140" s="228" t="s">
        <v>916</v>
      </c>
      <c r="G140" s="239"/>
      <c r="H140" s="416">
        <f>+'10 - Merger Costs'!G7</f>
        <v>0</v>
      </c>
      <c r="I140" s="228"/>
    </row>
    <row r="141" spans="1:14">
      <c r="A141" s="212">
        <v>64</v>
      </c>
      <c r="B141" s="212"/>
      <c r="C141" s="243" t="s">
        <v>349</v>
      </c>
      <c r="D141" s="239"/>
      <c r="E141" s="498" t="str">
        <f>"(Note "&amp;B$353&amp;")"</f>
        <v>(Note O)</v>
      </c>
      <c r="F141" s="228" t="s">
        <v>350</v>
      </c>
      <c r="G141" s="239"/>
      <c r="H141" s="416">
        <v>0</v>
      </c>
      <c r="I141" s="228"/>
      <c r="J141" s="1774"/>
    </row>
    <row r="142" spans="1:14">
      <c r="A142" s="212">
        <v>65</v>
      </c>
      <c r="B142" s="220"/>
      <c r="C142" s="243" t="s">
        <v>351</v>
      </c>
      <c r="D142" s="228"/>
      <c r="E142" s="466" t="str">
        <f>"(Note "&amp;B$333&amp;")"</f>
        <v>(Note A)</v>
      </c>
      <c r="F142" s="234" t="s">
        <v>352</v>
      </c>
      <c r="G142" s="239"/>
      <c r="H142" s="427">
        <v>0</v>
      </c>
      <c r="I142" s="219"/>
    </row>
    <row r="143" spans="1:14">
      <c r="A143" s="212">
        <v>66</v>
      </c>
      <c r="B143" s="239"/>
      <c r="C143" s="241" t="s">
        <v>149</v>
      </c>
      <c r="D143" s="240"/>
      <c r="E143" s="417"/>
      <c r="F143" s="219" t="str">
        <f>"(Lines "&amp;A136&amp;" - "&amp;A137&amp;" + "&amp;A138&amp;" - "&amp;A139&amp;" - "&amp;A140&amp;" + "&amp;A141&amp;" + "&amp;A142&amp;")"</f>
        <v>(Lines 60 - 61 + 62 - 63 - 63a + 64 + 65)</v>
      </c>
      <c r="G143" s="414"/>
      <c r="H143" s="242">
        <f>+H136-H137+H138-H139-H140+H141+H142</f>
        <v>23627022</v>
      </c>
      <c r="I143" s="219"/>
    </row>
    <row r="144" spans="1:14">
      <c r="A144" s="212"/>
      <c r="B144" s="212"/>
      <c r="C144" s="243"/>
      <c r="D144" s="239"/>
      <c r="E144" s="278"/>
      <c r="F144" s="239"/>
      <c r="G144" s="239"/>
      <c r="H144" s="413"/>
      <c r="I144" s="955"/>
    </row>
    <row r="145" spans="1:9">
      <c r="A145" s="212"/>
      <c r="B145" s="243" t="s">
        <v>58</v>
      </c>
      <c r="C145" s="239"/>
      <c r="D145" s="239"/>
      <c r="E145" s="278"/>
      <c r="F145" s="239"/>
      <c r="G145" s="239"/>
      <c r="H145" s="413"/>
      <c r="I145" s="955"/>
    </row>
    <row r="146" spans="1:9">
      <c r="A146" s="212">
        <v>67</v>
      </c>
      <c r="B146" s="212"/>
      <c r="C146" s="243" t="s">
        <v>353</v>
      </c>
      <c r="D146" s="239"/>
      <c r="E146" s="498" t="str">
        <f>"(Note "&amp;B$333&amp;")"</f>
        <v>(Note A)</v>
      </c>
      <c r="F146" s="227" t="s">
        <v>294</v>
      </c>
      <c r="G146" s="239"/>
      <c r="H146" s="416">
        <v>0</v>
      </c>
      <c r="I146" s="228"/>
    </row>
    <row r="147" spans="1:9">
      <c r="A147" s="212">
        <v>68</v>
      </c>
      <c r="B147" s="212"/>
      <c r="C147" s="243" t="s">
        <v>150</v>
      </c>
      <c r="D147" s="239"/>
      <c r="E147" s="1430"/>
      <c r="F147" s="228" t="s">
        <v>1050</v>
      </c>
      <c r="G147" s="239"/>
      <c r="H147" s="416">
        <f>+'11B - A&amp;G'!E24</f>
        <v>96541540</v>
      </c>
      <c r="I147" s="228"/>
    </row>
    <row r="148" spans="1:9">
      <c r="A148" s="212" t="s">
        <v>354</v>
      </c>
      <c r="B148" s="212"/>
      <c r="C148" s="243" t="s">
        <v>355</v>
      </c>
      <c r="D148" s="239"/>
      <c r="E148" s="498" t="s">
        <v>356</v>
      </c>
      <c r="F148" s="228" t="s">
        <v>326</v>
      </c>
      <c r="G148" s="473"/>
      <c r="H148" s="416">
        <f>+'5 - Cost Support 1'!I245</f>
        <v>-837815.80691199994</v>
      </c>
      <c r="I148" s="228"/>
    </row>
    <row r="149" spans="1:9">
      <c r="A149" s="212" t="s">
        <v>769</v>
      </c>
      <c r="B149" s="212"/>
      <c r="C149" s="243" t="s">
        <v>770</v>
      </c>
      <c r="D149" s="239"/>
      <c r="E149" s="1430"/>
      <c r="F149" s="228" t="s">
        <v>917</v>
      </c>
      <c r="G149" s="239"/>
      <c r="H149" s="416">
        <f>+'10 - Merger Costs'!C8</f>
        <v>-18888.113177999992</v>
      </c>
      <c r="I149" s="228"/>
    </row>
    <row r="150" spans="1:9">
      <c r="A150" s="212" t="s">
        <v>1207</v>
      </c>
      <c r="B150" s="212"/>
      <c r="C150" s="243" t="s">
        <v>1208</v>
      </c>
      <c r="D150" s="239"/>
      <c r="E150" s="1430"/>
      <c r="F150" s="228" t="s">
        <v>326</v>
      </c>
      <c r="G150" s="239"/>
      <c r="H150" s="416">
        <f>+'5 - Cost Support 1'!K227+'5 - Cost Support 1'!J227+'5 - Cost Support 1'!I227</f>
        <v>527228.46954218962</v>
      </c>
      <c r="I150" s="228"/>
    </row>
    <row r="151" spans="1:9">
      <c r="A151" s="212">
        <v>69</v>
      </c>
      <c r="B151" s="212"/>
      <c r="C151" s="243" t="s">
        <v>357</v>
      </c>
      <c r="D151" s="228"/>
      <c r="E151" s="1430"/>
      <c r="F151" s="243" t="s">
        <v>358</v>
      </c>
      <c r="G151" s="216"/>
      <c r="H151" s="416">
        <f>+'11B - A&amp;G'!E14</f>
        <v>673516</v>
      </c>
      <c r="I151" s="228"/>
    </row>
    <row r="152" spans="1:9">
      <c r="A152" s="212">
        <v>70</v>
      </c>
      <c r="B152" s="212"/>
      <c r="C152" s="243" t="s">
        <v>359</v>
      </c>
      <c r="D152" s="228"/>
      <c r="E152" s="498" t="str">
        <f>"(Note "&amp;B$341&amp;")"</f>
        <v>(Note E)</v>
      </c>
      <c r="F152" s="243" t="s">
        <v>67</v>
      </c>
      <c r="G152" s="216"/>
      <c r="H152" s="416">
        <f>+'11B - A&amp;G'!E18</f>
        <v>2200314</v>
      </c>
      <c r="I152" s="228"/>
    </row>
    <row r="153" spans="1:9">
      <c r="A153" s="212">
        <v>71</v>
      </c>
      <c r="B153" s="212"/>
      <c r="C153" s="243" t="s">
        <v>360</v>
      </c>
      <c r="D153" s="228"/>
      <c r="E153" s="1430"/>
      <c r="F153" s="243" t="s">
        <v>361</v>
      </c>
      <c r="G153" s="216"/>
      <c r="H153" s="416">
        <f>+'11B - A&amp;G'!E20</f>
        <v>478062</v>
      </c>
      <c r="I153" s="228"/>
    </row>
    <row r="154" spans="1:9">
      <c r="A154" s="212">
        <v>72</v>
      </c>
      <c r="B154" s="212"/>
      <c r="C154" s="243" t="s">
        <v>362</v>
      </c>
      <c r="D154" s="228"/>
      <c r="E154" s="1430"/>
      <c r="F154" s="243" t="s">
        <v>363</v>
      </c>
      <c r="G154" s="216"/>
      <c r="H154" s="1498">
        <v>6177959</v>
      </c>
      <c r="I154" s="228"/>
    </row>
    <row r="155" spans="1:9">
      <c r="A155" s="212">
        <v>73</v>
      </c>
      <c r="B155" s="212"/>
      <c r="C155" s="243" t="s">
        <v>364</v>
      </c>
      <c r="D155" s="152"/>
      <c r="E155" s="498" t="str">
        <f>"(Note "&amp;B$340&amp;")"</f>
        <v>(Note D)</v>
      </c>
      <c r="F155" s="234" t="s">
        <v>365</v>
      </c>
      <c r="G155" s="239"/>
      <c r="H155" s="416">
        <v>239422</v>
      </c>
      <c r="I155" s="228"/>
    </row>
    <row r="156" spans="1:9">
      <c r="A156" s="212">
        <v>74</v>
      </c>
      <c r="B156" s="212"/>
      <c r="C156" s="241" t="s">
        <v>366</v>
      </c>
      <c r="D156" s="240"/>
      <c r="E156" s="407"/>
      <c r="F156" s="218" t="str">
        <f>"(Lines "&amp;A146&amp;" + "&amp;A147&amp;") -  Sum ("&amp;A149&amp;" to "&amp;A155&amp;")"</f>
        <v>(Lines 67 + 68) -  Sum (68b to 73)</v>
      </c>
      <c r="G156" s="244"/>
      <c r="H156" s="247">
        <f>H146+H147-SUM(H149:H155)</f>
        <v>86263926.643635809</v>
      </c>
      <c r="I156" s="219"/>
    </row>
    <row r="157" spans="1:9">
      <c r="A157" s="212">
        <v>75</v>
      </c>
      <c r="B157" s="212"/>
      <c r="C157" s="213" t="s">
        <v>307</v>
      </c>
      <c r="D157" s="238"/>
      <c r="E157" s="1430"/>
      <c r="F157" s="474" t="s">
        <v>830</v>
      </c>
      <c r="G157" s="451"/>
      <c r="H157" s="456">
        <f>+H16</f>
        <v>0.13016492184368511</v>
      </c>
      <c r="I157" s="958"/>
    </row>
    <row r="158" spans="1:9">
      <c r="A158" s="212">
        <v>76</v>
      </c>
      <c r="B158" s="212"/>
      <c r="C158" s="241" t="s">
        <v>367</v>
      </c>
      <c r="D158" s="240"/>
      <c r="E158" s="407"/>
      <c r="F158" s="218" t="s">
        <v>838</v>
      </c>
      <c r="G158" s="244"/>
      <c r="H158" s="247">
        <f>+H157*H156</f>
        <v>11228537.26949824</v>
      </c>
      <c r="I158" s="219"/>
    </row>
    <row r="159" spans="1:9">
      <c r="A159" s="212"/>
      <c r="B159" s="212"/>
      <c r="C159" s="249"/>
      <c r="D159" s="295"/>
      <c r="E159" s="278"/>
      <c r="F159" s="215"/>
      <c r="G159" s="215"/>
      <c r="H159" s="218"/>
      <c r="I159" s="219"/>
    </row>
    <row r="160" spans="1:9">
      <c r="A160" s="212"/>
      <c r="B160" s="243" t="s">
        <v>64</v>
      </c>
      <c r="C160" s="205"/>
      <c r="D160" s="295"/>
      <c r="E160" s="278"/>
      <c r="F160" s="215"/>
      <c r="G160" s="215"/>
      <c r="H160" s="218"/>
      <c r="I160" s="219"/>
    </row>
    <row r="161" spans="1:9">
      <c r="A161" s="212">
        <v>77</v>
      </c>
      <c r="B161" s="448"/>
      <c r="C161" s="213" t="s">
        <v>65</v>
      </c>
      <c r="D161" s="475"/>
      <c r="E161" s="498" t="str">
        <f>"(Note "&amp;B$343&amp;")"</f>
        <v>(Note G)</v>
      </c>
      <c r="F161" s="213" t="s">
        <v>67</v>
      </c>
      <c r="G161" s="205"/>
      <c r="H161" s="457">
        <f>+'11B - A&amp;G'!J18</f>
        <v>252312</v>
      </c>
      <c r="I161" s="303"/>
    </row>
    <row r="162" spans="1:9">
      <c r="A162" s="220">
        <v>78</v>
      </c>
      <c r="B162" s="448"/>
      <c r="C162" s="453" t="s">
        <v>368</v>
      </c>
      <c r="D162" s="476"/>
      <c r="E162" s="466" t="str">
        <f>"(Note "&amp;B$347&amp;")"</f>
        <v>(Note K)</v>
      </c>
      <c r="F162" s="453" t="s">
        <v>361</v>
      </c>
      <c r="G162" s="205"/>
      <c r="H162" s="477">
        <f>'5 - Cost Support 1'!H58</f>
        <v>0</v>
      </c>
      <c r="I162" s="443"/>
    </row>
    <row r="163" spans="1:9">
      <c r="A163" s="220">
        <v>79</v>
      </c>
      <c r="B163" s="448"/>
      <c r="C163" s="213" t="s">
        <v>369</v>
      </c>
      <c r="D163" s="239"/>
      <c r="E163" s="1440"/>
      <c r="F163" s="218" t="s">
        <v>840</v>
      </c>
      <c r="G163" s="205"/>
      <c r="H163" s="303">
        <f>+H162+H161</f>
        <v>252312</v>
      </c>
      <c r="I163" s="303"/>
    </row>
    <row r="164" spans="1:9">
      <c r="A164" s="212"/>
      <c r="B164" s="448"/>
      <c r="C164" s="213"/>
      <c r="D164" s="239"/>
      <c r="E164" s="1440"/>
      <c r="F164" s="213"/>
      <c r="G164" s="205"/>
      <c r="H164" s="454"/>
      <c r="I164" s="454"/>
    </row>
    <row r="165" spans="1:9">
      <c r="A165" s="220">
        <v>80</v>
      </c>
      <c r="B165" s="448"/>
      <c r="C165" s="213" t="s">
        <v>370</v>
      </c>
      <c r="D165" s="239"/>
      <c r="E165" s="1430"/>
      <c r="F165" s="213" t="s">
        <v>358</v>
      </c>
      <c r="G165" s="205"/>
      <c r="H165" s="457">
        <f>H151</f>
        <v>673516</v>
      </c>
      <c r="I165" s="303"/>
    </row>
    <row r="166" spans="1:9" ht="16" thickBot="1">
      <c r="A166" s="220">
        <v>81</v>
      </c>
      <c r="B166" s="448"/>
      <c r="C166" s="213" t="s">
        <v>368</v>
      </c>
      <c r="D166" s="239"/>
      <c r="E166" s="498" t="str">
        <f>"(Note "&amp;B$342&amp;")"</f>
        <v>(Note F)</v>
      </c>
      <c r="F166" s="453" t="s">
        <v>361</v>
      </c>
      <c r="G166" s="205"/>
      <c r="H166" s="457">
        <f>+'5 - Cost Support 1'!H71</f>
        <v>0</v>
      </c>
      <c r="I166" s="303"/>
    </row>
    <row r="167" spans="1:9">
      <c r="A167" s="212">
        <v>82</v>
      </c>
      <c r="B167" s="448"/>
      <c r="C167" s="440" t="s">
        <v>44</v>
      </c>
      <c r="D167" s="240"/>
      <c r="E167" s="417"/>
      <c r="F167" s="218" t="s">
        <v>841</v>
      </c>
      <c r="G167" s="414"/>
      <c r="H167" s="478">
        <f>+H165+H166</f>
        <v>673516</v>
      </c>
      <c r="I167" s="443"/>
    </row>
    <row r="168" spans="1:9">
      <c r="A168" s="220">
        <v>83</v>
      </c>
      <c r="B168" s="212"/>
      <c r="C168" s="1147" t="s">
        <v>194</v>
      </c>
      <c r="D168" s="238"/>
      <c r="E168" s="1430"/>
      <c r="F168" s="225" t="s">
        <v>832</v>
      </c>
      <c r="G168" s="451"/>
      <c r="H168" s="479">
        <f>+H40</f>
        <v>0.38932001424912871</v>
      </c>
      <c r="I168" s="286"/>
    </row>
    <row r="169" spans="1:9">
      <c r="A169" s="212">
        <v>84</v>
      </c>
      <c r="B169" s="212"/>
      <c r="C169" s="241" t="s">
        <v>371</v>
      </c>
      <c r="D169" s="240"/>
      <c r="E169" s="407"/>
      <c r="F169" s="218" t="s">
        <v>842</v>
      </c>
      <c r="G169" s="244"/>
      <c r="H169" s="441">
        <f>+H168*H167</f>
        <v>262213.2587170162</v>
      </c>
      <c r="I169" s="443"/>
    </row>
    <row r="170" spans="1:9">
      <c r="A170" s="220"/>
      <c r="B170" s="220"/>
      <c r="C170" s="243"/>
      <c r="D170" s="239"/>
      <c r="E170" s="278"/>
      <c r="F170" s="216"/>
      <c r="G170" s="216"/>
      <c r="H170" s="218"/>
      <c r="I170" s="219"/>
    </row>
    <row r="171" spans="1:9" ht="16" thickBot="1">
      <c r="A171" s="220">
        <v>85</v>
      </c>
      <c r="B171" s="220"/>
      <c r="C171" s="408" t="s">
        <v>372</v>
      </c>
      <c r="D171" s="409"/>
      <c r="E171" s="480"/>
      <c r="F171" s="410" t="s">
        <v>843</v>
      </c>
      <c r="G171" s="411"/>
      <c r="H171" s="410">
        <f>+H143+H158+H163+H169</f>
        <v>35370084.528215259</v>
      </c>
      <c r="I171" s="219"/>
    </row>
    <row r="172" spans="1:9" ht="16" thickTop="1">
      <c r="A172" s="220"/>
      <c r="B172" s="220"/>
      <c r="C172" s="249"/>
      <c r="D172" s="295"/>
      <c r="E172" s="278"/>
      <c r="F172" s="218"/>
      <c r="G172" s="215"/>
      <c r="H172" s="218"/>
      <c r="I172" s="219"/>
    </row>
    <row r="173" spans="1:9">
      <c r="A173" s="221"/>
      <c r="B173" s="220"/>
      <c r="C173" s="243"/>
      <c r="D173" s="239"/>
      <c r="E173" s="278"/>
      <c r="F173" s="216"/>
      <c r="G173" s="216"/>
      <c r="H173" s="413"/>
      <c r="I173" s="955"/>
    </row>
    <row r="174" spans="1:9">
      <c r="A174" s="470" t="s">
        <v>373</v>
      </c>
      <c r="B174" s="471"/>
      <c r="C174" s="472"/>
      <c r="D174" s="274"/>
      <c r="E174" s="1438"/>
      <c r="F174" s="209"/>
      <c r="G174" s="209"/>
      <c r="H174" s="276"/>
      <c r="I174" s="402"/>
    </row>
    <row r="175" spans="1:9">
      <c r="A175" s="243"/>
      <c r="B175" s="220"/>
      <c r="C175" s="243"/>
      <c r="D175" s="239"/>
      <c r="E175" s="278"/>
      <c r="F175" s="216"/>
      <c r="G175" s="216"/>
      <c r="H175" s="413"/>
      <c r="I175" s="955"/>
    </row>
    <row r="176" spans="1:9">
      <c r="A176" s="204"/>
      <c r="B176" s="221" t="s">
        <v>59</v>
      </c>
      <c r="C176" s="152"/>
      <c r="E176" s="1430"/>
      <c r="F176" s="255"/>
      <c r="G176" s="255"/>
      <c r="H176" s="481"/>
      <c r="I176" s="960"/>
    </row>
    <row r="177" spans="1:14">
      <c r="A177" s="220">
        <v>86</v>
      </c>
      <c r="B177" s="428"/>
      <c r="C177" s="213" t="s">
        <v>374</v>
      </c>
      <c r="E177" s="1430"/>
      <c r="F177" s="213" t="s">
        <v>900</v>
      </c>
      <c r="H177" s="457">
        <f>+'5 - Cost Support 1'!I235</f>
        <v>49262455.822081022</v>
      </c>
      <c r="I177" s="303"/>
    </row>
    <row r="178" spans="1:14">
      <c r="A178" s="220"/>
      <c r="B178" s="428"/>
      <c r="C178" s="213"/>
      <c r="E178" s="1430"/>
      <c r="F178" s="221"/>
      <c r="H178" s="461"/>
      <c r="I178" s="461"/>
    </row>
    <row r="179" spans="1:14" s="1193" customFormat="1">
      <c r="A179" s="1522" t="s">
        <v>1593</v>
      </c>
      <c r="B179" s="1522"/>
      <c r="C179" s="445" t="s">
        <v>1594</v>
      </c>
      <c r="D179" s="445"/>
      <c r="E179" s="1522"/>
      <c r="F179" s="445" t="s">
        <v>326</v>
      </c>
      <c r="H179" s="457">
        <f>+'5 - Cost Support 1'!E200</f>
        <v>0</v>
      </c>
      <c r="I179" s="461"/>
      <c r="J179" s="1139"/>
      <c r="K179"/>
      <c r="L179"/>
      <c r="M179"/>
      <c r="N179"/>
    </row>
    <row r="180" spans="1:14" s="1193" customFormat="1">
      <c r="A180" s="1173"/>
      <c r="B180" s="428"/>
      <c r="C180" s="213"/>
      <c r="D180" s="1171"/>
      <c r="E180" s="1489"/>
      <c r="F180" s="1174"/>
      <c r="H180" s="461"/>
      <c r="I180" s="461"/>
      <c r="J180" s="1139"/>
      <c r="K180"/>
      <c r="L180"/>
      <c r="M180"/>
      <c r="N180"/>
    </row>
    <row r="181" spans="1:14">
      <c r="A181" s="220">
        <v>87</v>
      </c>
      <c r="B181" s="428"/>
      <c r="C181" s="438" t="s">
        <v>151</v>
      </c>
      <c r="D181" s="215"/>
      <c r="E181" s="1430"/>
      <c r="F181" s="438" t="s">
        <v>901</v>
      </c>
      <c r="H181" s="457">
        <f>+'5 - Cost Support 1'!G236</f>
        <v>16439500.815356994</v>
      </c>
      <c r="I181" s="303"/>
    </row>
    <row r="182" spans="1:14">
      <c r="A182" s="220" t="s">
        <v>816</v>
      </c>
      <c r="B182" s="448"/>
      <c r="C182" s="243" t="s">
        <v>770</v>
      </c>
      <c r="D182" s="239"/>
      <c r="E182" s="1430"/>
      <c r="F182" s="438" t="s">
        <v>899</v>
      </c>
      <c r="H182" s="444">
        <f>+'10 - Merger Costs'!C14</f>
        <v>46449.733435675502</v>
      </c>
      <c r="I182" s="443"/>
    </row>
    <row r="183" spans="1:14">
      <c r="A183" s="220">
        <v>88</v>
      </c>
      <c r="B183" s="428"/>
      <c r="C183" s="438" t="s">
        <v>375</v>
      </c>
      <c r="D183" s="215"/>
      <c r="E183" s="498" t="str">
        <f>"(Note "&amp;B$333&amp;")"</f>
        <v>(Note A)</v>
      </c>
      <c r="F183" s="438" t="s">
        <v>902</v>
      </c>
      <c r="H183" s="444">
        <f>+'5 - Cost Support 1'!G237</f>
        <v>22449984.994029798</v>
      </c>
      <c r="I183" s="443"/>
    </row>
    <row r="184" spans="1:14">
      <c r="A184" s="220" t="s">
        <v>817</v>
      </c>
      <c r="B184" s="448"/>
      <c r="C184" s="522" t="s">
        <v>770</v>
      </c>
      <c r="D184" s="474"/>
      <c r="E184" s="466"/>
      <c r="F184" s="453" t="s">
        <v>1018</v>
      </c>
      <c r="G184" s="465"/>
      <c r="H184" s="477">
        <f>+'10 - Merger Costs'!C15</f>
        <v>186893.74550960038</v>
      </c>
      <c r="I184" s="443"/>
    </row>
    <row r="185" spans="1:14">
      <c r="A185" s="220">
        <v>89</v>
      </c>
      <c r="B185" s="428"/>
      <c r="C185" s="250" t="s">
        <v>44</v>
      </c>
      <c r="D185" s="215"/>
      <c r="E185" s="1430"/>
      <c r="F185" s="219" t="str">
        <f>"(Line "&amp;87&amp;" - "&amp;A182&amp;" + "&amp;88&amp;" - "&amp;A184&amp;")"</f>
        <v>(Line 87 - 87a + 88 - 88a)</v>
      </c>
      <c r="H185" s="441">
        <f>H181-H182+H183-H184</f>
        <v>38656142.330441512</v>
      </c>
      <c r="I185" s="443"/>
    </row>
    <row r="186" spans="1:14">
      <c r="A186" s="220">
        <v>90</v>
      </c>
      <c r="B186" s="428"/>
      <c r="C186" s="1725" t="s">
        <v>307</v>
      </c>
      <c r="D186" s="289"/>
      <c r="E186" s="426"/>
      <c r="F186" s="474" t="str">
        <f>"(Line "&amp;A$16&amp;")"</f>
        <v>(Line 5)</v>
      </c>
      <c r="G186" s="459"/>
      <c r="H186" s="482">
        <f>+H16</f>
        <v>0.13016492184368511</v>
      </c>
      <c r="I186" s="961"/>
    </row>
    <row r="187" spans="1:14">
      <c r="A187" s="220">
        <v>91</v>
      </c>
      <c r="B187" s="428"/>
      <c r="C187" s="221" t="s">
        <v>376</v>
      </c>
      <c r="E187" s="1430"/>
      <c r="F187" s="218" t="str">
        <f>"(Line "&amp;A185&amp;" * "&amp;A186&amp;")"</f>
        <v>(Line 89 * 90)</v>
      </c>
      <c r="G187" s="451"/>
      <c r="H187" s="441">
        <f>+H185*H186</f>
        <v>5031673.7452202868</v>
      </c>
      <c r="I187" s="443"/>
    </row>
    <row r="188" spans="1:14">
      <c r="A188" s="212"/>
      <c r="B188" s="448"/>
      <c r="C188" s="213"/>
      <c r="D188" s="239"/>
      <c r="E188" s="1430"/>
      <c r="F188" s="213"/>
      <c r="G188" s="451"/>
      <c r="H188" s="483"/>
      <c r="I188" s="461"/>
    </row>
    <row r="189" spans="1:14">
      <c r="A189" s="220">
        <v>92</v>
      </c>
      <c r="B189" s="448"/>
      <c r="C189" s="213" t="s">
        <v>377</v>
      </c>
      <c r="D189" s="239"/>
      <c r="E189" s="498" t="str">
        <f>"(Note "&amp;B$333&amp;")"</f>
        <v>(Note A)</v>
      </c>
      <c r="F189" s="213" t="s">
        <v>903</v>
      </c>
      <c r="H189" s="484">
        <f>+'5 - Cost Support 1'!I238</f>
        <v>3903687</v>
      </c>
      <c r="I189" s="461"/>
    </row>
    <row r="190" spans="1:14">
      <c r="A190" s="212">
        <v>93</v>
      </c>
      <c r="B190" s="448"/>
      <c r="C190" s="453" t="s">
        <v>378</v>
      </c>
      <c r="D190" s="474"/>
      <c r="E190" s="466" t="str">
        <f>"(Note "&amp;B$333&amp;")"</f>
        <v>(Note A)</v>
      </c>
      <c r="F190" s="453" t="s">
        <v>904</v>
      </c>
      <c r="G190" s="465"/>
      <c r="H190" s="485">
        <f>+'5 - Cost Support 1'!I239</f>
        <v>6120325</v>
      </c>
      <c r="I190" s="449"/>
    </row>
    <row r="191" spans="1:14">
      <c r="A191" s="212">
        <v>94</v>
      </c>
      <c r="B191" s="448"/>
      <c r="C191" s="213" t="s">
        <v>44</v>
      </c>
      <c r="D191" s="239"/>
      <c r="E191" s="1430"/>
      <c r="F191" s="218" t="str">
        <f>"(Line "&amp;A189&amp;" + "&amp;A190&amp;")"</f>
        <v>(Line 92 + 93)</v>
      </c>
      <c r="H191" s="461">
        <f>+H190+H189</f>
        <v>10024012</v>
      </c>
      <c r="I191" s="461"/>
    </row>
    <row r="192" spans="1:14">
      <c r="A192" s="220">
        <v>95</v>
      </c>
      <c r="B192" s="448"/>
      <c r="C192" s="1725" t="s">
        <v>307</v>
      </c>
      <c r="D192" s="289"/>
      <c r="E192" s="426"/>
      <c r="F192" s="474" t="str">
        <f>"(Line "&amp;A$16&amp;")"</f>
        <v>(Line 5)</v>
      </c>
      <c r="G192" s="459"/>
      <c r="H192" s="482">
        <f>+H16</f>
        <v>0.13016492184368511</v>
      </c>
      <c r="I192" s="961"/>
    </row>
    <row r="193" spans="1:14">
      <c r="A193" s="220">
        <v>96</v>
      </c>
      <c r="B193" s="448"/>
      <c r="C193" s="221" t="s">
        <v>379</v>
      </c>
      <c r="D193" s="239"/>
      <c r="E193" s="1430"/>
      <c r="F193" s="218" t="str">
        <f>"(Line "&amp;A191&amp;" * "&amp;A192&amp;")"</f>
        <v>(Line 94 * 95)</v>
      </c>
      <c r="G193" s="451"/>
      <c r="H193" s="299">
        <f>+H192*H191</f>
        <v>1304774.7385401616</v>
      </c>
      <c r="I193" s="449"/>
    </row>
    <row r="194" spans="1:14">
      <c r="A194" s="212"/>
      <c r="B194" s="448"/>
      <c r="C194" s="152"/>
      <c r="D194" s="239"/>
      <c r="E194" s="1430"/>
      <c r="F194" s="213"/>
      <c r="G194" s="451"/>
      <c r="H194" s="299"/>
      <c r="I194" s="449"/>
    </row>
    <row r="195" spans="1:14">
      <c r="A195" s="486"/>
      <c r="B195" s="487"/>
      <c r="C195" s="213"/>
      <c r="D195" s="239"/>
      <c r="E195" s="1430"/>
      <c r="F195" s="213"/>
      <c r="G195" s="451"/>
      <c r="H195" s="456"/>
      <c r="I195" s="958"/>
    </row>
    <row r="196" spans="1:14" s="296" customFormat="1" ht="16" thickBot="1">
      <c r="A196" s="220">
        <v>97</v>
      </c>
      <c r="B196" s="488" t="s">
        <v>380</v>
      </c>
      <c r="C196" s="489"/>
      <c r="D196" s="411"/>
      <c r="E196" s="419"/>
      <c r="F196" s="410" t="str">
        <f>"(Line "&amp;A177&amp;" + "&amp;A187&amp;" + "&amp;A193&amp;")"</f>
        <v>(Line 86 + 91 + 96)</v>
      </c>
      <c r="G196" s="490"/>
      <c r="H196" s="491">
        <f>+H177+H187+H193</f>
        <v>55598904.305841476</v>
      </c>
      <c r="I196" s="443"/>
      <c r="J196" s="1139"/>
      <c r="K196"/>
      <c r="L196"/>
      <c r="M196"/>
      <c r="N196"/>
    </row>
    <row r="197" spans="1:14" ht="16" thickTop="1">
      <c r="E197" s="1430"/>
    </row>
    <row r="198" spans="1:14">
      <c r="A198" s="470" t="s">
        <v>381</v>
      </c>
      <c r="B198" s="471"/>
      <c r="C198" s="472"/>
      <c r="D198" s="274"/>
      <c r="E198" s="1441"/>
      <c r="F198" s="209"/>
      <c r="G198" s="209"/>
      <c r="H198" s="276"/>
      <c r="I198" s="402"/>
    </row>
    <row r="199" spans="1:14">
      <c r="A199" s="436"/>
      <c r="B199" s="220"/>
      <c r="C199" s="243"/>
      <c r="D199" s="239"/>
      <c r="E199" s="278"/>
      <c r="F199" s="216"/>
      <c r="G199" s="216"/>
      <c r="H199" s="413"/>
      <c r="I199" s="955"/>
    </row>
    <row r="200" spans="1:14">
      <c r="A200" s="212">
        <v>98</v>
      </c>
      <c r="B200" s="213" t="s">
        <v>382</v>
      </c>
      <c r="C200" s="492"/>
      <c r="E200" s="498"/>
      <c r="F200" s="205" t="s">
        <v>383</v>
      </c>
      <c r="G200" s="205"/>
      <c r="H200" s="493">
        <f>+'2 - Other Tax'!G39</f>
        <v>12306282.378725395</v>
      </c>
      <c r="I200" s="493"/>
    </row>
    <row r="201" spans="1:14">
      <c r="A201" s="404"/>
      <c r="B201" s="239"/>
      <c r="E201" s="1430"/>
      <c r="F201" s="221"/>
      <c r="G201" s="205"/>
    </row>
    <row r="202" spans="1:14" ht="16" thickBot="1">
      <c r="A202" s="212">
        <v>99</v>
      </c>
      <c r="B202" s="408" t="s">
        <v>384</v>
      </c>
      <c r="C202" s="408"/>
      <c r="D202" s="411"/>
      <c r="E202" s="419"/>
      <c r="F202" s="410" t="str">
        <f>"(Line "&amp;A200&amp;")"</f>
        <v>(Line 98)</v>
      </c>
      <c r="G202" s="267"/>
      <c r="H202" s="432">
        <f>+H200</f>
        <v>12306282.378725395</v>
      </c>
      <c r="I202" s="521"/>
    </row>
    <row r="203" spans="1:14" ht="16" thickTop="1">
      <c r="A203" s="204"/>
      <c r="E203" s="1430"/>
    </row>
    <row r="204" spans="1:14">
      <c r="A204" s="470" t="s">
        <v>385</v>
      </c>
      <c r="B204" s="471"/>
      <c r="C204" s="472"/>
      <c r="D204" s="274"/>
      <c r="E204" s="1438"/>
      <c r="F204" s="209"/>
      <c r="G204" s="209"/>
      <c r="H204" s="276"/>
      <c r="I204" s="402"/>
    </row>
    <row r="205" spans="1:14">
      <c r="A205" s="221"/>
      <c r="B205" s="220"/>
      <c r="C205" s="243"/>
      <c r="D205" s="239"/>
      <c r="E205" s="278"/>
      <c r="F205" s="216"/>
      <c r="G205" s="216"/>
      <c r="H205" s="413"/>
      <c r="I205" s="955"/>
    </row>
    <row r="206" spans="1:14">
      <c r="A206" s="212"/>
      <c r="B206" s="218" t="s">
        <v>2</v>
      </c>
      <c r="D206" s="215"/>
      <c r="E206" s="278"/>
      <c r="G206" s="218"/>
    </row>
    <row r="207" spans="1:14">
      <c r="A207" s="212">
        <v>100</v>
      </c>
      <c r="B207" s="218"/>
      <c r="C207" s="216" t="s">
        <v>2</v>
      </c>
      <c r="D207" s="215"/>
      <c r="E207" s="278"/>
      <c r="F207" s="218" t="s">
        <v>386</v>
      </c>
      <c r="G207" s="218"/>
      <c r="H207" s="1497">
        <f>60359414+1094358+1036627-486649</f>
        <v>62003750</v>
      </c>
      <c r="I207" s="219"/>
    </row>
    <row r="208" spans="1:14">
      <c r="A208" s="212">
        <v>101</v>
      </c>
      <c r="B208" s="212"/>
      <c r="C208" s="494" t="s">
        <v>387</v>
      </c>
      <c r="D208" s="474"/>
      <c r="E208" s="1442" t="s">
        <v>844</v>
      </c>
      <c r="F208" s="234" t="s">
        <v>388</v>
      </c>
      <c r="G208" s="225"/>
      <c r="H208" s="477">
        <v>0</v>
      </c>
      <c r="I208" s="443"/>
    </row>
    <row r="209" spans="1:9">
      <c r="A209" s="220">
        <v>102</v>
      </c>
      <c r="B209" s="220"/>
      <c r="C209" s="218" t="s">
        <v>2</v>
      </c>
      <c r="D209" s="215"/>
      <c r="E209" s="1430"/>
      <c r="F209" s="219" t="s">
        <v>389</v>
      </c>
      <c r="G209" s="218"/>
      <c r="H209" s="218">
        <f>+H207-H208</f>
        <v>62003750</v>
      </c>
      <c r="I209" s="219"/>
    </row>
    <row r="210" spans="1:9">
      <c r="A210" s="220"/>
      <c r="B210" s="220"/>
      <c r="C210" s="227"/>
      <c r="E210" s="1430"/>
      <c r="F210" s="239"/>
      <c r="G210" s="227"/>
      <c r="H210" s="227"/>
      <c r="I210" s="228"/>
    </row>
    <row r="211" spans="1:9">
      <c r="A211" s="220">
        <v>103</v>
      </c>
      <c r="B211" s="227" t="s">
        <v>390</v>
      </c>
      <c r="E211" s="278" t="s">
        <v>391</v>
      </c>
      <c r="F211" s="228" t="s">
        <v>392</v>
      </c>
      <c r="G211" s="227"/>
      <c r="H211" s="496">
        <v>0</v>
      </c>
      <c r="I211" s="962"/>
    </row>
    <row r="212" spans="1:9">
      <c r="A212" s="220"/>
      <c r="B212" s="220"/>
      <c r="C212" s="231"/>
      <c r="E212" s="278"/>
      <c r="F212" s="228"/>
      <c r="G212" s="227"/>
      <c r="H212" s="227"/>
      <c r="I212" s="228"/>
    </row>
    <row r="213" spans="1:9">
      <c r="A213" s="220"/>
      <c r="B213" s="231" t="s">
        <v>393</v>
      </c>
      <c r="E213" s="278"/>
      <c r="F213" s="228"/>
      <c r="G213" s="227"/>
      <c r="H213" s="227"/>
      <c r="I213" s="228"/>
    </row>
    <row r="214" spans="1:9">
      <c r="A214" s="220">
        <v>104</v>
      </c>
      <c r="B214" s="220"/>
      <c r="C214" s="227" t="s">
        <v>394</v>
      </c>
      <c r="D214" s="227"/>
      <c r="E214" s="498"/>
      <c r="F214" s="228" t="s">
        <v>395</v>
      </c>
      <c r="G214" s="227"/>
      <c r="H214" s="1498">
        <v>1643584092.7907662</v>
      </c>
      <c r="I214" s="954"/>
    </row>
    <row r="215" spans="1:9">
      <c r="A215" s="212">
        <v>105</v>
      </c>
      <c r="B215" s="212"/>
      <c r="C215" s="228" t="s">
        <v>396</v>
      </c>
      <c r="D215" s="228"/>
      <c r="E215" s="278" t="s">
        <v>193</v>
      </c>
      <c r="F215" s="295" t="str">
        <f>"(Line "&amp;A227&amp;")"</f>
        <v>(Line 114)</v>
      </c>
      <c r="G215" s="227"/>
      <c r="H215" s="228">
        <f>-H227</f>
        <v>0</v>
      </c>
      <c r="I215" s="228"/>
    </row>
    <row r="216" spans="1:9">
      <c r="A216" s="220">
        <v>106</v>
      </c>
      <c r="B216" s="212"/>
      <c r="C216" s="219" t="s">
        <v>397</v>
      </c>
      <c r="D216" s="219"/>
      <c r="E216" s="278" t="s">
        <v>193</v>
      </c>
      <c r="F216" s="219" t="s">
        <v>398</v>
      </c>
      <c r="G216" s="218"/>
      <c r="H216" s="427">
        <v>2177779</v>
      </c>
      <c r="I216" s="219"/>
    </row>
    <row r="217" spans="1:9">
      <c r="A217" s="1010" t="s">
        <v>1186</v>
      </c>
      <c r="B217" s="1010"/>
      <c r="C217" s="1061" t="s">
        <v>1187</v>
      </c>
      <c r="D217" s="1061"/>
      <c r="E217" s="1062" t="s">
        <v>193</v>
      </c>
      <c r="F217" s="1061" t="s">
        <v>1188</v>
      </c>
      <c r="G217" s="225"/>
      <c r="H217" s="497">
        <v>0</v>
      </c>
      <c r="I217" s="219"/>
    </row>
    <row r="218" spans="1:9">
      <c r="A218" s="220">
        <v>107</v>
      </c>
      <c r="B218" s="212"/>
      <c r="C218" s="219" t="s">
        <v>393</v>
      </c>
      <c r="D218" s="219"/>
      <c r="E218" s="498" t="s">
        <v>1226</v>
      </c>
      <c r="F218" s="218" t="s">
        <v>1189</v>
      </c>
      <c r="G218" s="237"/>
      <c r="H218" s="227">
        <f>SUM(H214:H217)</f>
        <v>1645761871.7907662</v>
      </c>
      <c r="I218" s="228"/>
    </row>
    <row r="219" spans="1:9">
      <c r="A219" s="220"/>
      <c r="B219" s="220"/>
      <c r="C219" s="231"/>
      <c r="E219" s="278"/>
      <c r="F219" s="227"/>
      <c r="G219" s="216"/>
      <c r="H219" s="227"/>
      <c r="I219" s="228"/>
    </row>
    <row r="220" spans="1:9">
      <c r="A220" s="220"/>
      <c r="B220" s="231" t="s">
        <v>3</v>
      </c>
      <c r="E220" s="278"/>
      <c r="F220" s="227"/>
      <c r="G220" s="216"/>
      <c r="H220" s="227"/>
      <c r="I220" s="228"/>
    </row>
    <row r="221" spans="1:9">
      <c r="A221" s="220">
        <v>108</v>
      </c>
      <c r="B221" s="220"/>
      <c r="C221" s="231" t="s">
        <v>399</v>
      </c>
      <c r="E221" s="498"/>
      <c r="F221" s="231" t="s">
        <v>400</v>
      </c>
      <c r="G221" s="216"/>
      <c r="H221" s="1498">
        <v>1621076153.8461537</v>
      </c>
      <c r="I221" s="228"/>
    </row>
    <row r="222" spans="1:9">
      <c r="A222" s="212">
        <v>109</v>
      </c>
      <c r="B222" s="220"/>
      <c r="C222" s="231" t="s">
        <v>401</v>
      </c>
      <c r="E222" s="278" t="str">
        <f>+E216</f>
        <v>enter negative</v>
      </c>
      <c r="F222" s="243" t="s">
        <v>402</v>
      </c>
      <c r="G222" s="216"/>
      <c r="H222" s="1498">
        <v>-5298449.3823076896</v>
      </c>
      <c r="I222" s="228"/>
    </row>
    <row r="223" spans="1:9">
      <c r="A223" s="212">
        <v>110</v>
      </c>
      <c r="B223" s="220"/>
      <c r="C223" s="231" t="s">
        <v>403</v>
      </c>
      <c r="E223" s="1430" t="s">
        <v>404</v>
      </c>
      <c r="F223" s="249" t="s">
        <v>405</v>
      </c>
      <c r="G223" s="216"/>
      <c r="H223" s="416">
        <v>0</v>
      </c>
      <c r="I223" s="228"/>
    </row>
    <row r="224" spans="1:9">
      <c r="A224" s="212">
        <v>111</v>
      </c>
      <c r="B224" s="212"/>
      <c r="C224" s="243" t="s">
        <v>406</v>
      </c>
      <c r="D224" s="239"/>
      <c r="E224" s="278" t="str">
        <f>IF(H224&gt;0,"enter positive","enter negative")</f>
        <v>enter positive</v>
      </c>
      <c r="F224" s="1172" t="str">
        <f>"Attachment 1B - ADIT EOY, Line "&amp;'1B - ADIT EOY'!B22&amp;""</f>
        <v>Attachment 1B - ADIT EOY, Line 7</v>
      </c>
      <c r="G224" s="239"/>
      <c r="H224" s="1498">
        <f>-'1B - ADIT EOY'!E22</f>
        <v>1468465</v>
      </c>
      <c r="I224" s="228"/>
    </row>
    <row r="225" spans="1:9">
      <c r="A225" s="212">
        <v>112</v>
      </c>
      <c r="B225" s="212"/>
      <c r="C225" s="205" t="s">
        <v>407</v>
      </c>
      <c r="D225" s="495" t="s">
        <v>844</v>
      </c>
      <c r="E225" s="1062" t="s">
        <v>193</v>
      </c>
      <c r="F225" s="234" t="str">
        <f>+F208</f>
        <v>Attachment 8</v>
      </c>
      <c r="G225" s="216"/>
      <c r="H225" s="416">
        <f>-'8 - Securitization'!E18</f>
        <v>0</v>
      </c>
      <c r="I225" s="228"/>
    </row>
    <row r="226" spans="1:9">
      <c r="A226" s="212">
        <v>113</v>
      </c>
      <c r="B226" s="212"/>
      <c r="C226" s="241" t="s">
        <v>408</v>
      </c>
      <c r="D226" s="240"/>
      <c r="E226" s="498" t="s">
        <v>1051</v>
      </c>
      <c r="F226" s="219" t="str">
        <f>"(Sum Lines "&amp;A221&amp;" to "&amp;A225&amp;")"</f>
        <v>(Sum Lines 108 to 112)</v>
      </c>
      <c r="G226" s="240"/>
      <c r="H226" s="242">
        <f>SUM(H221:H225)</f>
        <v>1617246169.463846</v>
      </c>
      <c r="I226" s="219"/>
    </row>
    <row r="227" spans="1:9">
      <c r="A227" s="220">
        <v>114</v>
      </c>
      <c r="B227" s="220"/>
      <c r="C227" s="231" t="s">
        <v>409</v>
      </c>
      <c r="E227" s="498" t="s">
        <v>1184</v>
      </c>
      <c r="F227" s="243" t="s">
        <v>410</v>
      </c>
      <c r="G227" s="216"/>
      <c r="H227" s="416">
        <v>0</v>
      </c>
      <c r="I227" s="228"/>
    </row>
    <row r="228" spans="1:9">
      <c r="A228" s="220">
        <v>115</v>
      </c>
      <c r="B228" s="220"/>
      <c r="C228" s="231" t="s">
        <v>393</v>
      </c>
      <c r="E228" s="1430"/>
      <c r="F228" s="225" t="str">
        <f>"(Line "&amp;A218&amp;")"</f>
        <v>(Line 107)</v>
      </c>
      <c r="G228" s="216"/>
      <c r="H228" s="218">
        <f>H218</f>
        <v>1645761871.7907662</v>
      </c>
      <c r="I228" s="219"/>
    </row>
    <row r="229" spans="1:9">
      <c r="A229" s="220">
        <v>116</v>
      </c>
      <c r="B229" s="220"/>
      <c r="C229" s="241" t="s">
        <v>411</v>
      </c>
      <c r="D229" s="244"/>
      <c r="E229" s="417"/>
      <c r="F229" s="218" t="str">
        <f>"(Sum Lines "&amp;A226&amp;" to "&amp;A228&amp;")"</f>
        <v>(Sum Lines 113 to 115)</v>
      </c>
      <c r="G229" s="247"/>
      <c r="H229" s="247">
        <f>H228+H227+H226</f>
        <v>3263008041.254612</v>
      </c>
      <c r="I229" s="219"/>
    </row>
    <row r="230" spans="1:9">
      <c r="A230" s="220"/>
      <c r="B230" s="220"/>
      <c r="C230" s="231"/>
      <c r="E230" s="1430"/>
      <c r="G230" s="227"/>
      <c r="H230" s="278"/>
      <c r="I230" s="248"/>
    </row>
    <row r="231" spans="1:9">
      <c r="A231" s="212">
        <v>117</v>
      </c>
      <c r="B231" s="220"/>
      <c r="C231" s="250" t="s">
        <v>412</v>
      </c>
      <c r="D231" s="249" t="s">
        <v>408</v>
      </c>
      <c r="E231" s="1063" t="s">
        <v>1190</v>
      </c>
      <c r="F231" s="1183" t="str">
        <f>"(Line "&amp;A226&amp;" / "&amp;A229&amp;")"</f>
        <v>(Line 113 / 116)</v>
      </c>
      <c r="G231" s="227"/>
      <c r="H231" s="1740">
        <f>IF(A23="Atlantic City Electric Company",0.5,IF(H229&gt;0,H226/H229,0))</f>
        <v>0.49563045785263282</v>
      </c>
      <c r="I231" s="963"/>
    </row>
    <row r="232" spans="1:9">
      <c r="A232" s="212">
        <v>118</v>
      </c>
      <c r="B232" s="220"/>
      <c r="C232" s="250" t="s">
        <v>413</v>
      </c>
      <c r="D232" s="231" t="s">
        <v>409</v>
      </c>
      <c r="E232" s="498"/>
      <c r="F232" s="1183" t="str">
        <f>"(Line "&amp;A227&amp;" / "&amp;A229&amp;")"</f>
        <v>(Line 114 / 116)</v>
      </c>
      <c r="G232" s="227"/>
      <c r="H232" s="1740">
        <f>IF(A23="Atlantic City Electric Company",0,IF(H229&gt;0,H227/H229,0))</f>
        <v>0</v>
      </c>
      <c r="I232" s="963"/>
    </row>
    <row r="233" spans="1:9">
      <c r="A233" s="212">
        <v>119</v>
      </c>
      <c r="B233" s="220"/>
      <c r="C233" s="250" t="s">
        <v>414</v>
      </c>
      <c r="D233" s="231" t="s">
        <v>393</v>
      </c>
      <c r="E233" s="1063" t="s">
        <v>1190</v>
      </c>
      <c r="F233" s="1183" t="str">
        <f>"(Line "&amp;A228&amp;" / "&amp;A229&amp;")"</f>
        <v>(Line 115 / 116)</v>
      </c>
      <c r="G233" s="227"/>
      <c r="H233" s="1740">
        <f>IF(A23="Atlantic City Electric Company",0.5,IF(H229&gt;0,H228/H229,0))</f>
        <v>0.50436954214736729</v>
      </c>
      <c r="I233" s="963"/>
    </row>
    <row r="234" spans="1:9">
      <c r="A234" s="212"/>
      <c r="B234" s="220"/>
      <c r="C234" s="230"/>
      <c r="E234" s="1430"/>
      <c r="F234" s="227"/>
      <c r="G234" s="227"/>
      <c r="H234" s="888"/>
      <c r="I234" s="964"/>
    </row>
    <row r="235" spans="1:9">
      <c r="A235" s="212">
        <v>120</v>
      </c>
      <c r="B235" s="220"/>
      <c r="C235" s="230" t="s">
        <v>415</v>
      </c>
      <c r="D235" s="249" t="s">
        <v>408</v>
      </c>
      <c r="E235" s="1192"/>
      <c r="F235" s="218" t="str">
        <f>"(Line "&amp;A209&amp;" / "&amp;A226&amp;")"</f>
        <v>(Line 102 / 113)</v>
      </c>
      <c r="G235" s="227"/>
      <c r="H235" s="254">
        <f>IF(H226&gt;0,H209/H226,0)</f>
        <v>3.8339092199275795E-2</v>
      </c>
      <c r="I235" s="251"/>
    </row>
    <row r="236" spans="1:9">
      <c r="A236" s="212">
        <v>121</v>
      </c>
      <c r="B236" s="220"/>
      <c r="C236" s="230" t="s">
        <v>416</v>
      </c>
      <c r="D236" s="231" t="s">
        <v>409</v>
      </c>
      <c r="E236" s="1430"/>
      <c r="F236" s="218" t="str">
        <f>"(Line "&amp;A211&amp;" / "&amp;A227&amp;")"</f>
        <v>(Line 103 / 114)</v>
      </c>
      <c r="G236" s="227"/>
      <c r="H236" s="254">
        <f>IF(H227&gt;0,H211/H227,0)</f>
        <v>0</v>
      </c>
      <c r="I236" s="251"/>
    </row>
    <row r="237" spans="1:9">
      <c r="A237" s="212">
        <v>122</v>
      </c>
      <c r="B237" s="220"/>
      <c r="C237" s="230" t="s">
        <v>417</v>
      </c>
      <c r="D237" s="231" t="s">
        <v>393</v>
      </c>
      <c r="E237" s="498" t="str">
        <f>"(Note "&amp;B$346&amp;")"</f>
        <v>(Note J)</v>
      </c>
      <c r="F237" s="228" t="s">
        <v>418</v>
      </c>
      <c r="G237" s="227"/>
      <c r="H237" s="499">
        <v>0.105</v>
      </c>
      <c r="I237" s="251"/>
    </row>
    <row r="238" spans="1:9">
      <c r="A238" s="212"/>
      <c r="B238" s="220"/>
      <c r="C238" s="230"/>
      <c r="E238" s="1430"/>
      <c r="F238" s="227"/>
      <c r="G238" s="227"/>
      <c r="H238" s="216"/>
      <c r="I238" s="239"/>
    </row>
    <row r="239" spans="1:9">
      <c r="A239" s="212">
        <v>123</v>
      </c>
      <c r="B239" s="220"/>
      <c r="C239" s="250" t="s">
        <v>419</v>
      </c>
      <c r="D239" s="249" t="s">
        <v>420</v>
      </c>
      <c r="E239" s="1430"/>
      <c r="F239" s="218" t="str">
        <f>"(Line "&amp;A231&amp;" * "&amp;A235&amp;")"</f>
        <v>(Line 117 * 120)</v>
      </c>
      <c r="G239" s="253"/>
      <c r="H239" s="254">
        <f>H235*H231</f>
        <v>1.9002021820381364E-2</v>
      </c>
      <c r="I239" s="251"/>
    </row>
    <row r="240" spans="1:9">
      <c r="A240" s="212">
        <v>124</v>
      </c>
      <c r="B240" s="220"/>
      <c r="C240" s="250" t="s">
        <v>421</v>
      </c>
      <c r="D240" s="231" t="s">
        <v>409</v>
      </c>
      <c r="E240" s="1430"/>
      <c r="F240" s="218" t="str">
        <f>"(Line "&amp;A232&amp;" * "&amp;A236&amp;")"</f>
        <v>(Line 118 * 121)</v>
      </c>
      <c r="G240" s="255"/>
      <c r="H240" s="254">
        <f>H236*H232</f>
        <v>0</v>
      </c>
      <c r="I240" s="251"/>
    </row>
    <row r="241" spans="1:14">
      <c r="A241" s="212">
        <v>125</v>
      </c>
      <c r="B241" s="290"/>
      <c r="C241" s="256" t="s">
        <v>422</v>
      </c>
      <c r="D241" s="257" t="s">
        <v>393</v>
      </c>
      <c r="E241" s="426"/>
      <c r="F241" s="225" t="str">
        <f>"(Line "&amp;A233&amp;" * "&amp;A237&amp;")"</f>
        <v>(Line 119 * 122)</v>
      </c>
      <c r="G241" s="258"/>
      <c r="H241" s="259">
        <f>H237*H233</f>
        <v>5.2958801925473566E-2</v>
      </c>
      <c r="I241" s="965"/>
    </row>
    <row r="242" spans="1:14" s="296" customFormat="1">
      <c r="A242" s="220">
        <v>126</v>
      </c>
      <c r="B242" s="434" t="s">
        <v>423</v>
      </c>
      <c r="C242" s="434"/>
      <c r="D242" s="215"/>
      <c r="E242" s="1430"/>
      <c r="F242" s="218" t="str">
        <f>"(Sum Lines "&amp;A239&amp;" to "&amp;A241&amp;")"</f>
        <v>(Sum Lines 123 to 125)</v>
      </c>
      <c r="G242" s="500"/>
      <c r="H242" s="254">
        <f>SUM(H239:H241)</f>
        <v>7.1960823745854927E-2</v>
      </c>
      <c r="I242" s="251"/>
      <c r="J242" s="1775"/>
      <c r="K242"/>
      <c r="L242"/>
      <c r="M242"/>
      <c r="N242"/>
    </row>
    <row r="243" spans="1:14" s="296" customFormat="1">
      <c r="A243" s="220"/>
      <c r="B243" s="220"/>
      <c r="C243" s="434"/>
      <c r="D243" s="215"/>
      <c r="E243" s="1430"/>
      <c r="F243" s="218"/>
      <c r="G243" s="500"/>
      <c r="H243" s="254"/>
      <c r="I243" s="251"/>
      <c r="J243" s="395"/>
      <c r="K243"/>
      <c r="L243"/>
      <c r="M243"/>
      <c r="N243"/>
    </row>
    <row r="244" spans="1:14" ht="16" thickBot="1">
      <c r="A244" s="220">
        <v>127</v>
      </c>
      <c r="B244" s="501" t="s">
        <v>424</v>
      </c>
      <c r="C244" s="267"/>
      <c r="D244" s="411"/>
      <c r="E244" s="480"/>
      <c r="F244" s="410" t="str">
        <f>"(Line "&amp;A131&amp;" * "&amp;A242&amp;")"</f>
        <v>(Line 59 * 126)</v>
      </c>
      <c r="G244" s="502"/>
      <c r="H244" s="410">
        <f>+H131*H242</f>
        <v>78098119.766749218</v>
      </c>
      <c r="I244" s="219"/>
    </row>
    <row r="245" spans="1:14" ht="16" thickTop="1">
      <c r="A245" s="220"/>
      <c r="B245" s="220"/>
      <c r="C245" s="231"/>
      <c r="E245" s="1430"/>
      <c r="F245" s="227"/>
      <c r="G245" s="227"/>
      <c r="H245" s="254"/>
      <c r="I245" s="251"/>
    </row>
    <row r="246" spans="1:14">
      <c r="A246" s="470" t="s">
        <v>425</v>
      </c>
      <c r="B246" s="471"/>
      <c r="C246" s="472"/>
      <c r="D246" s="274"/>
      <c r="E246" s="1441"/>
      <c r="F246" s="209"/>
      <c r="G246" s="209"/>
      <c r="H246" s="276"/>
      <c r="I246" s="402"/>
    </row>
    <row r="247" spans="1:14">
      <c r="A247" s="213"/>
      <c r="B247" s="220"/>
      <c r="C247" s="243"/>
      <c r="D247" s="239"/>
      <c r="E247" s="278"/>
      <c r="F247" s="216"/>
      <c r="G247" s="216"/>
      <c r="H247" s="413"/>
      <c r="I247" s="955"/>
    </row>
    <row r="248" spans="1:14">
      <c r="A248" s="220" t="s">
        <v>85</v>
      </c>
      <c r="B248" s="503" t="s">
        <v>86</v>
      </c>
      <c r="E248" s="278"/>
      <c r="F248" s="227"/>
      <c r="G248" s="280"/>
      <c r="H248" s="216"/>
      <c r="I248" s="239"/>
    </row>
    <row r="249" spans="1:14">
      <c r="A249" s="220">
        <v>128</v>
      </c>
      <c r="B249" s="220"/>
      <c r="C249" s="216" t="s">
        <v>187</v>
      </c>
      <c r="E249" s="498" t="str">
        <f>"(Note "&amp;B344&amp;")"</f>
        <v>(Note I)</v>
      </c>
      <c r="F249" s="216"/>
      <c r="G249" s="281"/>
      <c r="H249" s="504">
        <v>0.21</v>
      </c>
      <c r="I249" s="282"/>
    </row>
    <row r="250" spans="1:14">
      <c r="A250" s="220">
        <v>129</v>
      </c>
      <c r="B250" s="220"/>
      <c r="C250" s="281" t="s">
        <v>188</v>
      </c>
      <c r="D250" s="283"/>
      <c r="E250" s="498" t="str">
        <f>"(Note "&amp;B$344&amp;")"</f>
        <v>(Note I)</v>
      </c>
      <c r="F250" s="216"/>
      <c r="G250" s="281"/>
      <c r="H250" s="504">
        <f>'5 - Cost Support 1'!F65</f>
        <v>8.5000000000000006E-2</v>
      </c>
      <c r="I250" s="282"/>
    </row>
    <row r="251" spans="1:14">
      <c r="A251" s="220">
        <v>130</v>
      </c>
      <c r="B251" s="220"/>
      <c r="C251" s="1158" t="s">
        <v>485</v>
      </c>
      <c r="D251" s="1158" t="s">
        <v>1900</v>
      </c>
      <c r="E251" s="1430"/>
      <c r="F251" s="216"/>
      <c r="G251" s="281"/>
      <c r="H251" s="504">
        <v>0</v>
      </c>
      <c r="I251" s="282"/>
    </row>
    <row r="252" spans="1:14">
      <c r="A252" s="220">
        <v>131</v>
      </c>
      <c r="B252" s="220"/>
      <c r="C252" s="1158" t="s">
        <v>189</v>
      </c>
      <c r="D252" s="284" t="s">
        <v>1901</v>
      </c>
      <c r="E252" s="1430"/>
      <c r="F252" s="216"/>
      <c r="G252" s="281"/>
      <c r="H252" s="286">
        <f>IF(H249&gt;0,1-(((1-H250)*(1-H249))/(1-H250*H249*H251)),0)</f>
        <v>0.2771499999999999</v>
      </c>
      <c r="I252" s="286"/>
    </row>
    <row r="253" spans="1:14">
      <c r="A253" s="212" t="s">
        <v>1228</v>
      </c>
      <c r="B253" s="220"/>
      <c r="C253" s="281" t="s">
        <v>191</v>
      </c>
      <c r="D253" s="283"/>
      <c r="E253" s="1430"/>
      <c r="F253" s="216"/>
      <c r="G253" s="281"/>
      <c r="H253" s="282">
        <f>+H252/(1-H252)</f>
        <v>0.38341287957390863</v>
      </c>
      <c r="I253" s="282"/>
    </row>
    <row r="254" spans="1:14" s="1155" customFormat="1">
      <c r="A254" s="212" t="s">
        <v>1229</v>
      </c>
      <c r="B254" s="1157"/>
      <c r="C254" s="1160" t="s">
        <v>1230</v>
      </c>
      <c r="D254" s="1161" t="s">
        <v>1231</v>
      </c>
      <c r="E254" s="1430"/>
      <c r="F254" s="1156"/>
      <c r="G254" s="1158"/>
      <c r="H254" s="1162">
        <f>1*1/(1-H252)</f>
        <v>1.3834128795739087</v>
      </c>
      <c r="I254" s="1159"/>
      <c r="J254" s="1139"/>
      <c r="K254"/>
      <c r="L254"/>
      <c r="M254"/>
      <c r="N254"/>
    </row>
    <row r="255" spans="1:14">
      <c r="A255" s="212"/>
      <c r="B255" s="220"/>
      <c r="E255" s="285"/>
      <c r="F255" s="284"/>
      <c r="G255" s="280"/>
      <c r="H255" s="286"/>
      <c r="I255" s="286"/>
    </row>
    <row r="256" spans="1:14">
      <c r="A256" s="212"/>
      <c r="B256" s="503" t="s">
        <v>192</v>
      </c>
      <c r="C256" s="231"/>
      <c r="E256" s="498" t="str">
        <f>"(Note "&amp;B$361&amp;")"</f>
        <v>(Note U)</v>
      </c>
      <c r="F256" s="227"/>
      <c r="G256" s="280"/>
      <c r="H256" s="505"/>
      <c r="I256" s="287"/>
    </row>
    <row r="257" spans="1:14">
      <c r="A257" s="212">
        <v>133</v>
      </c>
      <c r="B257" s="220"/>
      <c r="C257" s="1164" t="s">
        <v>1233</v>
      </c>
      <c r="E257" s="278" t="s">
        <v>193</v>
      </c>
      <c r="F257" s="1163" t="s">
        <v>1232</v>
      </c>
      <c r="G257" s="280"/>
      <c r="H257" s="1188">
        <f>-'1B - ADIT EOY'!E313</f>
        <v>-96442.971718589921</v>
      </c>
      <c r="I257" s="228"/>
    </row>
    <row r="258" spans="1:14">
      <c r="A258" s="212">
        <v>134</v>
      </c>
      <c r="B258" s="220"/>
      <c r="C258" s="1179" t="s">
        <v>1230</v>
      </c>
      <c r="D258" s="1175"/>
      <c r="E258" s="426"/>
      <c r="F258" s="1176" t="str">
        <f>"(Line "&amp;A254&amp;")"</f>
        <v>(Line 132b)</v>
      </c>
      <c r="G258" s="1196"/>
      <c r="H258" s="1197">
        <f>+H254</f>
        <v>1.3834128795739087</v>
      </c>
      <c r="I258" s="287"/>
    </row>
    <row r="259" spans="1:14">
      <c r="A259" s="212">
        <v>135</v>
      </c>
      <c r="B259" s="220"/>
      <c r="C259" s="506" t="s">
        <v>195</v>
      </c>
      <c r="D259" s="240"/>
      <c r="E259" s="498"/>
      <c r="F259" s="1172" t="str">
        <f>"(Line "&amp;A257&amp;" * "&amp;A258&amp;")"</f>
        <v>(Line 133 * 134)</v>
      </c>
      <c r="G259" s="293"/>
      <c r="H259" s="242">
        <f>+H257*H258</f>
        <v>-133420.44921987952</v>
      </c>
      <c r="I259" s="219"/>
    </row>
    <row r="260" spans="1:14">
      <c r="A260" s="212"/>
      <c r="B260" s="220"/>
      <c r="C260" s="250"/>
      <c r="D260" s="295"/>
      <c r="E260" s="498"/>
      <c r="F260" s="1171"/>
      <c r="G260" s="291"/>
      <c r="H260" s="219"/>
      <c r="I260" s="219"/>
    </row>
    <row r="261" spans="1:14" s="1165" customFormat="1">
      <c r="A261" s="212"/>
      <c r="B261" s="1174" t="s">
        <v>1042</v>
      </c>
      <c r="C261" s="1177"/>
      <c r="D261" s="1180"/>
      <c r="E261" s="1440"/>
      <c r="F261" s="1172"/>
      <c r="G261" s="1186"/>
      <c r="H261" s="1187"/>
      <c r="I261" s="1166"/>
      <c r="J261" s="1139"/>
      <c r="K261"/>
      <c r="L261"/>
      <c r="M261"/>
      <c r="N261"/>
    </row>
    <row r="262" spans="1:14" s="1165" customFormat="1">
      <c r="A262" s="212" t="s">
        <v>1043</v>
      </c>
      <c r="B262" s="1174"/>
      <c r="C262" s="1177" t="s">
        <v>1234</v>
      </c>
      <c r="D262" s="1180"/>
      <c r="E262" s="498" t="s">
        <v>1044</v>
      </c>
      <c r="F262" s="1172" t="str">
        <f>"Attachment 5, Line "&amp;'5 - Cost Support 1'!A270&amp;""</f>
        <v>Attachment 5, Line 136a</v>
      </c>
      <c r="G262" s="1186"/>
      <c r="H262" s="1188">
        <f>+'5 - Cost Support 1'!L270</f>
        <v>138971.07133869504</v>
      </c>
      <c r="I262" s="1166"/>
      <c r="J262" s="1139"/>
      <c r="K262"/>
      <c r="L262"/>
      <c r="M262"/>
      <c r="N262"/>
    </row>
    <row r="263" spans="1:14" s="1165" customFormat="1">
      <c r="A263" s="212" t="s">
        <v>1045</v>
      </c>
      <c r="B263" s="1174"/>
      <c r="C263" s="1177" t="s">
        <v>1235</v>
      </c>
      <c r="D263" s="1180"/>
      <c r="E263" s="498" t="s">
        <v>1044</v>
      </c>
      <c r="F263" s="1172" t="str">
        <f>"Attachment 5, Line "&amp;'5 - Cost Support 1'!A272&amp;""</f>
        <v>Attachment 5, Line 136b</v>
      </c>
      <c r="G263" s="1186"/>
      <c r="H263" s="1188">
        <f>+'5 - Cost Support 1'!L272</f>
        <v>-12065834.2608165</v>
      </c>
      <c r="I263" s="1166"/>
      <c r="J263" s="1139"/>
      <c r="K263"/>
      <c r="L263"/>
      <c r="M263"/>
      <c r="N263"/>
    </row>
    <row r="264" spans="1:14" s="1165" customFormat="1">
      <c r="A264" s="212" t="s">
        <v>1046</v>
      </c>
      <c r="B264" s="1174"/>
      <c r="C264" s="1177" t="s">
        <v>1237</v>
      </c>
      <c r="D264" s="1180"/>
      <c r="E264" s="498" t="s">
        <v>1044</v>
      </c>
      <c r="F264" s="1172" t="str">
        <f>"Attachment 5, Line "&amp;'5 - Cost Support 1'!A273&amp;""</f>
        <v>Attachment 5, Line 136c</v>
      </c>
      <c r="G264" s="1186"/>
      <c r="H264" s="1188">
        <f>+'5 - Cost Support 1'!L273</f>
        <v>0</v>
      </c>
      <c r="I264" s="1166"/>
      <c r="J264" s="1139"/>
      <c r="K264"/>
      <c r="L264"/>
      <c r="M264"/>
      <c r="N264"/>
    </row>
    <row r="265" spans="1:14" s="1165" customFormat="1">
      <c r="A265" s="212" t="s">
        <v>1236</v>
      </c>
      <c r="B265" s="1174"/>
      <c r="C265" s="1178" t="s">
        <v>1239</v>
      </c>
      <c r="D265" s="1185"/>
      <c r="E265" s="466" t="s">
        <v>1044</v>
      </c>
      <c r="F265" s="1176" t="str">
        <f>"Attachment 5, Line "&amp;'5 - Cost Support 1'!A274&amp;""</f>
        <v>Attachment 5, Line 136d</v>
      </c>
      <c r="G265" s="1189"/>
      <c r="H265" s="1190">
        <f>+'5 - Cost Support 1'!L274</f>
        <v>0</v>
      </c>
      <c r="I265" s="1166"/>
      <c r="J265" s="1139"/>
      <c r="K265"/>
      <c r="L265"/>
      <c r="M265"/>
      <c r="N265"/>
    </row>
    <row r="266" spans="1:14" s="1165" customFormat="1">
      <c r="A266" s="212" t="s">
        <v>1238</v>
      </c>
      <c r="B266" s="1174"/>
      <c r="C266" s="1177" t="s">
        <v>1241</v>
      </c>
      <c r="D266" s="1180"/>
      <c r="E266" s="498"/>
      <c r="F266" s="1172" t="str">
        <f>"(Line "&amp;A262&amp;" + "&amp;A263&amp;" + "&amp;A264&amp;" + "&amp;A265&amp;")"</f>
        <v>(Line 136a + 136b + 136c + 136d)</v>
      </c>
      <c r="G266" s="1186"/>
      <c r="H266" s="1183">
        <f>H262+H263+H264+H265</f>
        <v>-11926863.189477805</v>
      </c>
      <c r="I266" s="1166"/>
      <c r="J266" s="1139"/>
      <c r="K266"/>
      <c r="L266"/>
      <c r="M266"/>
      <c r="N266"/>
    </row>
    <row r="267" spans="1:14" s="1165" customFormat="1">
      <c r="A267" s="212" t="s">
        <v>1240</v>
      </c>
      <c r="B267" s="1173"/>
      <c r="C267" s="1179" t="s">
        <v>1230</v>
      </c>
      <c r="D267" s="1185"/>
      <c r="E267" s="1443"/>
      <c r="F267" s="1176" t="str">
        <f>"(Line "&amp;A254&amp;")"</f>
        <v>(Line 132b)</v>
      </c>
      <c r="G267" s="1189"/>
      <c r="H267" s="1191">
        <f>+H254</f>
        <v>1.3834128795739087</v>
      </c>
      <c r="I267" s="1166"/>
      <c r="J267" s="1139"/>
      <c r="K267"/>
      <c r="L267"/>
      <c r="M267"/>
      <c r="N267"/>
    </row>
    <row r="268" spans="1:14" s="1165" customFormat="1">
      <c r="A268" s="212" t="s">
        <v>1242</v>
      </c>
      <c r="B268" s="1173"/>
      <c r="C268" s="1177" t="s">
        <v>1042</v>
      </c>
      <c r="D268" s="1180"/>
      <c r="E268" s="1440" t="s">
        <v>85</v>
      </c>
      <c r="F268" s="1172" t="str">
        <f>"(Line "&amp;A266&amp;" * "&amp;A267&amp;")"</f>
        <v>(Line 136e * 136f)</v>
      </c>
      <c r="G268" s="1186"/>
      <c r="H268" s="1184">
        <f>H266*H267</f>
        <v>-16499776.149239544</v>
      </c>
      <c r="I268" s="1166"/>
      <c r="J268" s="1139"/>
      <c r="K268"/>
      <c r="L268"/>
      <c r="M268"/>
      <c r="N268"/>
    </row>
    <row r="269" spans="1:14" s="1165" customFormat="1">
      <c r="A269" s="212"/>
      <c r="B269" s="1167"/>
      <c r="C269" s="1168"/>
      <c r="D269" s="1170"/>
      <c r="E269" s="498"/>
      <c r="F269" s="1172"/>
      <c r="G269" s="1169"/>
      <c r="H269" s="1166"/>
      <c r="I269" s="1166"/>
      <c r="J269" s="1139"/>
      <c r="K269"/>
      <c r="L269"/>
      <c r="M269"/>
      <c r="N269"/>
    </row>
    <row r="270" spans="1:14">
      <c r="A270" s="220">
        <v>137</v>
      </c>
      <c r="B270" s="152" t="s">
        <v>196</v>
      </c>
      <c r="C270" s="152"/>
      <c r="D270" s="216" t="s">
        <v>197</v>
      </c>
      <c r="E270" s="278"/>
      <c r="F270" s="1172" t="str">
        <f>"(Line "&amp;A253&amp;" * "&amp;A244&amp;" * (1-("&amp;A239&amp;" / "&amp;A242&amp;")))"</f>
        <v>(Line 132a * 127 * (1-(123 / 126)))</v>
      </c>
      <c r="G270" s="216"/>
      <c r="H270" s="297">
        <f>+H253*(1-H239/H242)*H244</f>
        <v>22036839.129137058</v>
      </c>
      <c r="I270" s="297"/>
      <c r="J270" s="493"/>
    </row>
    <row r="271" spans="1:14">
      <c r="A271" s="220"/>
      <c r="B271" s="220"/>
      <c r="C271" s="250"/>
      <c r="D271" s="295"/>
      <c r="E271" s="1430"/>
      <c r="F271" s="1169"/>
      <c r="G271" s="291"/>
      <c r="H271" s="299"/>
      <c r="I271" s="449"/>
    </row>
    <row r="272" spans="1:14" ht="16" thickBot="1">
      <c r="A272" s="220">
        <v>138</v>
      </c>
      <c r="B272" s="501" t="s">
        <v>198</v>
      </c>
      <c r="C272" s="501"/>
      <c r="D272" s="411"/>
      <c r="E272" s="419"/>
      <c r="F272" s="432" t="str">
        <f>"(Line "&amp;A259&amp;" + "&amp;A268&amp;" +"&amp;A270&amp;")"</f>
        <v>(Line 135 + 136g +137)</v>
      </c>
      <c r="G272" s="507"/>
      <c r="H272" s="1417">
        <f>+H270+H268+H259</f>
        <v>5403642.5306776343</v>
      </c>
      <c r="I272" s="951"/>
    </row>
    <row r="273" spans="1:10" ht="16" thickTop="1">
      <c r="A273" s="220"/>
      <c r="B273" s="220"/>
      <c r="C273" s="284"/>
      <c r="E273" s="1430"/>
      <c r="F273" s="303"/>
      <c r="G273" s="304"/>
      <c r="H273" s="305"/>
      <c r="I273" s="305"/>
    </row>
    <row r="274" spans="1:10">
      <c r="A274" s="470" t="s">
        <v>426</v>
      </c>
      <c r="B274" s="471"/>
      <c r="C274" s="472"/>
      <c r="D274" s="274"/>
      <c r="E274" s="1438"/>
      <c r="F274" s="209"/>
      <c r="G274" s="209"/>
      <c r="H274" s="276"/>
      <c r="I274" s="402"/>
    </row>
    <row r="275" spans="1:10">
      <c r="A275" s="204"/>
      <c r="B275" s="152"/>
      <c r="C275" s="152"/>
      <c r="D275" s="152"/>
      <c r="E275" s="1430"/>
    </row>
    <row r="276" spans="1:10">
      <c r="A276" s="204"/>
      <c r="B276" s="152" t="s">
        <v>427</v>
      </c>
      <c r="C276" s="442"/>
      <c r="D276" s="442"/>
      <c r="E276" s="1430"/>
    </row>
    <row r="277" spans="1:10">
      <c r="A277" s="204">
        <v>139</v>
      </c>
      <c r="B277" s="152"/>
      <c r="C277" s="442" t="s">
        <v>428</v>
      </c>
      <c r="D277" s="442"/>
      <c r="E277" s="1430"/>
      <c r="F277" s="218" t="str">
        <f>"(Line "&amp;A81&amp;")"</f>
        <v>(Line 39)</v>
      </c>
      <c r="H277" s="418">
        <f>+H81</f>
        <v>1419684070.1615183</v>
      </c>
      <c r="I277" s="420"/>
    </row>
    <row r="278" spans="1:10">
      <c r="A278" s="220">
        <v>140</v>
      </c>
      <c r="B278" s="152"/>
      <c r="C278" s="442" t="s">
        <v>429</v>
      </c>
      <c r="D278" s="442"/>
      <c r="E278" s="1430"/>
      <c r="F278" s="225" t="str">
        <f>"(Line "&amp;A129&amp;")"</f>
        <v>(Line 58)</v>
      </c>
      <c r="H278" s="418">
        <f>+H129</f>
        <v>-334397441.94601238</v>
      </c>
      <c r="I278" s="420"/>
    </row>
    <row r="279" spans="1:10">
      <c r="A279" s="220">
        <v>141</v>
      </c>
      <c r="B279" s="220"/>
      <c r="C279" s="415" t="s">
        <v>343</v>
      </c>
      <c r="D279" s="240"/>
      <c r="E279" s="407"/>
      <c r="F279" s="218" t="str">
        <f>"(Line "&amp;A131&amp;")"</f>
        <v>(Line 59)</v>
      </c>
      <c r="G279" s="244"/>
      <c r="H279" s="460">
        <f>+H131</f>
        <v>1085286628.2155061</v>
      </c>
      <c r="I279" s="521"/>
    </row>
    <row r="280" spans="1:10">
      <c r="A280" s="220"/>
      <c r="B280" s="220"/>
      <c r="C280" s="249"/>
      <c r="D280" s="295"/>
      <c r="E280" s="278"/>
      <c r="F280" s="216"/>
      <c r="G280" s="216"/>
      <c r="H280" s="418"/>
      <c r="I280" s="420"/>
    </row>
    <row r="281" spans="1:10">
      <c r="A281" s="220">
        <v>142</v>
      </c>
      <c r="C281" s="249" t="s">
        <v>344</v>
      </c>
      <c r="D281" s="215"/>
      <c r="E281" s="1430"/>
      <c r="F281" s="218" t="str">
        <f>"(Line "&amp;A171&amp;")"</f>
        <v>(Line 85)</v>
      </c>
      <c r="H281" s="418">
        <f>+H171</f>
        <v>35370084.528215259</v>
      </c>
      <c r="I281" s="420"/>
    </row>
    <row r="282" spans="1:10">
      <c r="A282" s="220">
        <v>143</v>
      </c>
      <c r="C282" s="250" t="s">
        <v>430</v>
      </c>
      <c r="D282" s="215"/>
      <c r="E282" s="1430"/>
      <c r="F282" s="218" t="str">
        <f>"(Line "&amp;A196&amp;")"</f>
        <v>(Line 97)</v>
      </c>
      <c r="H282" s="418">
        <f>+H196</f>
        <v>55598904.305841476</v>
      </c>
      <c r="I282" s="420"/>
    </row>
    <row r="283" spans="1:10">
      <c r="A283" s="220">
        <v>144</v>
      </c>
      <c r="B283" s="220"/>
      <c r="C283" s="249" t="s">
        <v>382</v>
      </c>
      <c r="D283" s="295"/>
      <c r="E283" s="278"/>
      <c r="F283" s="218" t="str">
        <f>"(Line "&amp;A202&amp;")"</f>
        <v>(Line 99)</v>
      </c>
      <c r="G283" s="216"/>
      <c r="H283" s="418">
        <f>+H202</f>
        <v>12306282.378725395</v>
      </c>
      <c r="I283" s="420"/>
    </row>
    <row r="284" spans="1:10">
      <c r="A284" s="220">
        <v>145</v>
      </c>
      <c r="B284" s="220"/>
      <c r="C284" s="503" t="s">
        <v>431</v>
      </c>
      <c r="D284" s="295"/>
      <c r="E284" s="278"/>
      <c r="F284" s="218" t="str">
        <f>"(Line "&amp;A244&amp;")"</f>
        <v>(Line 127)</v>
      </c>
      <c r="G284" s="216"/>
      <c r="H284" s="418">
        <f>+H244</f>
        <v>78098119.766749218</v>
      </c>
      <c r="I284" s="420"/>
    </row>
    <row r="285" spans="1:10">
      <c r="A285" s="220">
        <v>146</v>
      </c>
      <c r="B285" s="220"/>
      <c r="C285" s="503" t="s">
        <v>432</v>
      </c>
      <c r="D285" s="295"/>
      <c r="E285" s="278"/>
      <c r="F285" s="218" t="str">
        <f>"(Line "&amp;A272&amp;")"</f>
        <v>(Line 138)</v>
      </c>
      <c r="G285" s="216"/>
      <c r="H285" s="418">
        <f>+H272</f>
        <v>5403642.5306776343</v>
      </c>
      <c r="I285" s="420"/>
    </row>
    <row r="286" spans="1:10" ht="16" thickBot="1">
      <c r="A286" s="220"/>
      <c r="B286" s="220"/>
      <c r="C286" s="503"/>
      <c r="D286" s="295"/>
      <c r="E286" s="278"/>
      <c r="F286" s="216"/>
      <c r="G286" s="216"/>
      <c r="H286" s="418"/>
      <c r="I286" s="420"/>
    </row>
    <row r="287" spans="1:10" ht="18" thickBot="1">
      <c r="A287" s="508">
        <v>147</v>
      </c>
      <c r="B287" s="509"/>
      <c r="C287" s="510" t="s">
        <v>433</v>
      </c>
      <c r="D287" s="511"/>
      <c r="E287" s="512"/>
      <c r="F287" s="513" t="str">
        <f>"(Sum Lines "&amp;A281&amp;" to "&amp;A285&amp;")"</f>
        <v>(Sum Lines 142 to 146)</v>
      </c>
      <c r="G287" s="514"/>
      <c r="H287" s="515">
        <f>SUM(H285,H284,H283,H282,H281)</f>
        <v>186777033.51020899</v>
      </c>
      <c r="I287" s="521"/>
      <c r="J287" s="535"/>
    </row>
    <row r="288" spans="1:10" ht="17.5">
      <c r="A288" s="516"/>
      <c r="B288" s="516"/>
      <c r="C288" s="517"/>
      <c r="D288" s="518"/>
      <c r="E288" s="1444"/>
      <c r="F288" s="218"/>
      <c r="G288" s="519"/>
      <c r="H288" s="520"/>
      <c r="I288" s="521"/>
    </row>
    <row r="289" spans="1:14" ht="17.5">
      <c r="A289" s="516"/>
      <c r="B289" s="250" t="s">
        <v>93</v>
      </c>
      <c r="C289" s="517"/>
      <c r="D289" s="518"/>
      <c r="E289" s="1444"/>
      <c r="F289" s="218"/>
      <c r="G289" s="519"/>
      <c r="H289" s="520"/>
      <c r="I289" s="521"/>
    </row>
    <row r="290" spans="1:14" ht="17.5">
      <c r="A290" s="298">
        <v>148</v>
      </c>
      <c r="B290" s="298"/>
      <c r="C290" s="249" t="s">
        <v>302</v>
      </c>
      <c r="D290" s="518"/>
      <c r="E290" s="1444"/>
      <c r="F290" s="218" t="str">
        <f>"(Line "&amp;A46&amp;")"</f>
        <v>(Line 19)</v>
      </c>
      <c r="G290" s="519"/>
      <c r="H290" s="521">
        <f>+H46</f>
        <v>1829026357.6987534</v>
      </c>
      <c r="I290" s="521"/>
    </row>
    <row r="291" spans="1:14" ht="17.5">
      <c r="A291" s="298">
        <v>149</v>
      </c>
      <c r="B291" s="298"/>
      <c r="C291" s="522" t="s">
        <v>434</v>
      </c>
      <c r="D291" s="523"/>
      <c r="E291" s="466" t="str">
        <f>"(Note "&amp;B$349&amp;")"</f>
        <v>(Note M)</v>
      </c>
      <c r="F291" s="234" t="s">
        <v>326</v>
      </c>
      <c r="G291" s="519"/>
      <c r="H291" s="524">
        <f>+'5 - Cost Support 1'!G80</f>
        <v>0</v>
      </c>
      <c r="I291" s="521"/>
    </row>
    <row r="292" spans="1:14" ht="17.5">
      <c r="A292" s="298">
        <v>150</v>
      </c>
      <c r="B292" s="298"/>
      <c r="C292" s="249" t="s">
        <v>435</v>
      </c>
      <c r="D292" s="518"/>
      <c r="E292" s="1444"/>
      <c r="F292" s="219" t="str">
        <f>"(Line "&amp;A290&amp;" - "&amp;A291&amp;")"</f>
        <v>(Line 148 - 149)</v>
      </c>
      <c r="G292" s="519"/>
      <c r="H292" s="521">
        <f>+H290-H291</f>
        <v>1829026357.6987534</v>
      </c>
      <c r="I292" s="521"/>
    </row>
    <row r="293" spans="1:14" ht="17.5">
      <c r="A293" s="298">
        <v>151</v>
      </c>
      <c r="B293" s="298"/>
      <c r="C293" s="249" t="s">
        <v>436</v>
      </c>
      <c r="D293" s="518"/>
      <c r="E293" s="1444"/>
      <c r="F293" s="219" t="str">
        <f>"(Line "&amp;A292&amp;" / "&amp;A290&amp;")"</f>
        <v>(Line 150 / 148)</v>
      </c>
      <c r="G293" s="519"/>
      <c r="H293" s="525">
        <f>+H292/H290</f>
        <v>1</v>
      </c>
      <c r="I293" s="525"/>
    </row>
    <row r="294" spans="1:14" ht="17.5">
      <c r="A294" s="298">
        <v>152</v>
      </c>
      <c r="B294" s="298"/>
      <c r="C294" s="522" t="s">
        <v>433</v>
      </c>
      <c r="D294" s="523"/>
      <c r="E294" s="526"/>
      <c r="F294" s="234" t="str">
        <f>"(Line "&amp;A287&amp;")"</f>
        <v>(Line 147)</v>
      </c>
      <c r="G294" s="519"/>
      <c r="H294" s="524">
        <f>+H287</f>
        <v>186777033.51020899</v>
      </c>
      <c r="I294" s="521"/>
    </row>
    <row r="295" spans="1:14" ht="17.5">
      <c r="A295" s="298">
        <v>153</v>
      </c>
      <c r="B295" s="298"/>
      <c r="C295" s="249" t="s">
        <v>437</v>
      </c>
      <c r="D295" s="518"/>
      <c r="E295" s="1444"/>
      <c r="F295" s="219" t="str">
        <f>"(Line "&amp;A293&amp;" * "&amp;A294&amp;")"</f>
        <v>(Line 151 * 152)</v>
      </c>
      <c r="G295" s="519"/>
      <c r="H295" s="521">
        <f>+H294*H293</f>
        <v>186777033.51020899</v>
      </c>
      <c r="I295" s="521"/>
    </row>
    <row r="296" spans="1:14">
      <c r="A296" s="436"/>
      <c r="B296" s="220"/>
      <c r="C296" s="249"/>
      <c r="D296" s="295"/>
      <c r="E296" s="278"/>
      <c r="F296" s="216"/>
      <c r="G296" s="216"/>
      <c r="H296" s="413"/>
      <c r="I296" s="955"/>
    </row>
    <row r="297" spans="1:14">
      <c r="A297" s="436"/>
      <c r="B297" s="221" t="s">
        <v>438</v>
      </c>
      <c r="C297" s="249"/>
      <c r="D297" s="295"/>
      <c r="E297" s="278"/>
      <c r="F297" s="216"/>
      <c r="G297" s="216"/>
      <c r="H297" s="413"/>
      <c r="I297" s="955"/>
    </row>
    <row r="298" spans="1:14">
      <c r="A298" s="212">
        <v>154</v>
      </c>
      <c r="B298" s="152"/>
      <c r="C298" s="221" t="s">
        <v>439</v>
      </c>
      <c r="D298" s="295"/>
      <c r="E298" s="278"/>
      <c r="F298" s="216" t="s">
        <v>440</v>
      </c>
      <c r="G298" s="216"/>
      <c r="H298" s="297">
        <f>+'3 - Revenue Credits'!G25</f>
        <v>9577806.4785691369</v>
      </c>
      <c r="I298" s="297"/>
    </row>
    <row r="299" spans="1:14">
      <c r="A299" s="212">
        <v>155</v>
      </c>
      <c r="B299" s="152"/>
      <c r="C299" s="221" t="s">
        <v>441</v>
      </c>
      <c r="D299" s="295"/>
      <c r="E299" s="498" t="str">
        <f>"(Note "&amp;B$350&amp;")"</f>
        <v>(Note N)</v>
      </c>
      <c r="F299" s="216" t="s">
        <v>350</v>
      </c>
      <c r="G299" s="216"/>
      <c r="H299" s="527">
        <f>+'5 - Cost Support 1'!G166</f>
        <v>0</v>
      </c>
      <c r="I299" s="297"/>
    </row>
    <row r="300" spans="1:14" ht="16" thickBot="1">
      <c r="A300" s="220"/>
      <c r="B300" s="220"/>
      <c r="C300" s="401"/>
      <c r="D300" s="401"/>
      <c r="E300" s="1430"/>
      <c r="F300" s="216"/>
      <c r="G300" s="216"/>
      <c r="H300" s="413"/>
      <c r="I300" s="955"/>
    </row>
    <row r="301" spans="1:14" s="296" customFormat="1" ht="18" thickBot="1">
      <c r="A301" s="508">
        <v>156</v>
      </c>
      <c r="B301" s="528"/>
      <c r="C301" s="529" t="s">
        <v>442</v>
      </c>
      <c r="D301" s="530"/>
      <c r="E301" s="531"/>
      <c r="F301" s="513" t="str">
        <f>"(Line "&amp;A295&amp;" - "&amp;A298&amp;" + "&amp;A299&amp;")"</f>
        <v>(Line 153 - 154 + 155)</v>
      </c>
      <c r="G301" s="514"/>
      <c r="H301" s="515">
        <f>+H295-H298+H299</f>
        <v>177199227.03163984</v>
      </c>
      <c r="I301" s="521"/>
      <c r="J301" s="395"/>
      <c r="K301"/>
      <c r="L301"/>
      <c r="M301"/>
      <c r="N301"/>
    </row>
    <row r="302" spans="1:14">
      <c r="A302" s="436"/>
      <c r="B302" s="220"/>
      <c r="C302" s="401"/>
      <c r="D302" s="401"/>
      <c r="E302" s="1430"/>
      <c r="F302" s="216"/>
      <c r="G302" s="216"/>
      <c r="H302" s="413"/>
      <c r="I302" s="955"/>
    </row>
    <row r="303" spans="1:14">
      <c r="A303" s="212"/>
      <c r="B303" s="401" t="s">
        <v>443</v>
      </c>
      <c r="C303" s="205"/>
      <c r="D303" s="401"/>
      <c r="E303" s="1430"/>
      <c r="F303" s="216"/>
      <c r="G303" s="216"/>
      <c r="H303" s="413"/>
      <c r="I303" s="955"/>
    </row>
    <row r="304" spans="1:14">
      <c r="A304" s="212">
        <v>157</v>
      </c>
      <c r="B304" s="212"/>
      <c r="C304" s="401" t="s">
        <v>442</v>
      </c>
      <c r="D304" s="401"/>
      <c r="E304" s="1430"/>
      <c r="F304" s="216" t="str">
        <f>"(Line "&amp;A301&amp;")"</f>
        <v>(Line 156)</v>
      </c>
      <c r="G304" s="216"/>
      <c r="H304" s="532">
        <f>+H301</f>
        <v>177199227.03163984</v>
      </c>
      <c r="I304" s="297"/>
    </row>
    <row r="305" spans="1:10">
      <c r="A305" s="212">
        <v>158</v>
      </c>
      <c r="B305" s="212"/>
      <c r="C305" s="401" t="s">
        <v>444</v>
      </c>
      <c r="D305" s="401"/>
      <c r="E305" s="1430"/>
      <c r="F305" s="216" t="str">
        <f>"(Line "&amp;A46&amp;" - "&amp;A66&amp;")"</f>
        <v>(Line 19 - 30)</v>
      </c>
      <c r="G305" s="216"/>
      <c r="H305" s="532">
        <f>+H46-H66</f>
        <v>1382840869.2930655</v>
      </c>
      <c r="I305" s="297"/>
    </row>
    <row r="306" spans="1:10">
      <c r="A306" s="212">
        <v>159</v>
      </c>
      <c r="B306" s="212"/>
      <c r="C306" s="401" t="s">
        <v>445</v>
      </c>
      <c r="D306" s="401"/>
      <c r="E306" s="1430"/>
      <c r="F306" s="216" t="str">
        <f>"(Line "&amp;A304&amp;" / "&amp;A305&amp;")"</f>
        <v>(Line 157 / 158)</v>
      </c>
      <c r="G306" s="216"/>
      <c r="H306" s="413">
        <f>+H304/H305</f>
        <v>0.1281414448809482</v>
      </c>
      <c r="I306" s="955"/>
    </row>
    <row r="307" spans="1:10">
      <c r="A307" s="212">
        <v>160</v>
      </c>
      <c r="B307" s="212"/>
      <c r="C307" s="401" t="s">
        <v>446</v>
      </c>
      <c r="D307" s="401"/>
      <c r="E307" s="1430"/>
      <c r="F307" s="216" t="str">
        <f>"(Line "&amp;A304&amp;" - "&amp;A177&amp;") / "&amp;A305</f>
        <v>(Line 157 - 86) / 158</v>
      </c>
      <c r="G307" s="216"/>
      <c r="H307" s="413">
        <f>(H304-H177)/H305</f>
        <v>9.2517348923135692E-2</v>
      </c>
      <c r="I307" s="955"/>
    </row>
    <row r="308" spans="1:10">
      <c r="A308" s="212">
        <v>161</v>
      </c>
      <c r="B308" s="212"/>
      <c r="C308" s="401" t="s">
        <v>447</v>
      </c>
      <c r="D308" s="401"/>
      <c r="E308" s="1430"/>
      <c r="F308" s="239" t="str">
        <f>"(Line "&amp;A304&amp;" - "&amp;A177&amp;" - "&amp;A244&amp;" - "&amp;A272&amp;") / "&amp;A305</f>
        <v>(Line 157 - 86 - 127 - 138) / 158</v>
      </c>
      <c r="G308" s="216"/>
      <c r="H308" s="413">
        <f>(H304-H177-H244-H272)/H305</f>
        <v>3.2133132523663392E-2</v>
      </c>
      <c r="I308" s="955"/>
    </row>
    <row r="309" spans="1:10">
      <c r="A309" s="212"/>
      <c r="B309" s="212"/>
      <c r="C309" s="401"/>
      <c r="D309" s="401"/>
      <c r="E309" s="1430"/>
      <c r="F309" s="216"/>
      <c r="G309" s="216"/>
      <c r="H309" s="413"/>
      <c r="I309" s="955"/>
    </row>
    <row r="310" spans="1:10">
      <c r="A310" s="212"/>
      <c r="B310" s="212"/>
      <c r="C310" s="401"/>
      <c r="D310" s="401"/>
      <c r="E310" s="1430"/>
      <c r="F310" s="216"/>
      <c r="G310" s="216"/>
      <c r="H310" s="533"/>
      <c r="I310" s="966"/>
    </row>
    <row r="311" spans="1:10">
      <c r="A311" s="212"/>
      <c r="B311" s="401" t="s">
        <v>448</v>
      </c>
      <c r="C311" s="401"/>
      <c r="D311" s="401"/>
      <c r="E311" s="1430"/>
      <c r="F311" s="216"/>
      <c r="G311" s="216"/>
      <c r="H311" s="413"/>
      <c r="I311" s="955"/>
    </row>
    <row r="312" spans="1:10">
      <c r="A312" s="212">
        <v>162</v>
      </c>
      <c r="B312" s="212"/>
      <c r="C312" s="401" t="s">
        <v>449</v>
      </c>
      <c r="D312" s="401"/>
      <c r="E312" s="1430"/>
      <c r="F312" s="239" t="str">
        <f>"(Line "&amp;A301&amp;" - "&amp;A284&amp;" - "&amp;A285&amp;")"</f>
        <v>(Line 156 - 145 - 146)</v>
      </c>
      <c r="G312" s="216"/>
      <c r="H312" s="532">
        <f>+H301-H284-H285</f>
        <v>93697464.734212995</v>
      </c>
      <c r="I312" s="297"/>
    </row>
    <row r="313" spans="1:10">
      <c r="A313" s="212">
        <v>163</v>
      </c>
      <c r="B313" s="212"/>
      <c r="C313" s="401" t="s">
        <v>450</v>
      </c>
      <c r="D313" s="401"/>
      <c r="E313" s="1430"/>
      <c r="F313" s="239" t="s">
        <v>451</v>
      </c>
      <c r="G313" s="216"/>
      <c r="H313" s="297">
        <f>+'4 - 100 Basis Pt ROE'!I9</f>
        <v>91074364.07887134</v>
      </c>
      <c r="I313" s="297"/>
    </row>
    <row r="314" spans="1:10">
      <c r="A314" s="212">
        <v>164</v>
      </c>
      <c r="B314" s="212"/>
      <c r="C314" s="401" t="s">
        <v>452</v>
      </c>
      <c r="D314" s="401"/>
      <c r="E314" s="1430"/>
      <c r="F314" s="239" t="str">
        <f>"(Line "&amp;A312&amp;" + "&amp;A313&amp;")"</f>
        <v>(Line 162 + 163)</v>
      </c>
      <c r="G314" s="216"/>
      <c r="H314" s="532">
        <f>+H313+H312</f>
        <v>184771828.81308433</v>
      </c>
      <c r="I314" s="297"/>
    </row>
    <row r="315" spans="1:10">
      <c r="A315" s="212">
        <v>165</v>
      </c>
      <c r="B315" s="212"/>
      <c r="C315" s="401" t="s">
        <v>444</v>
      </c>
      <c r="D315" s="401"/>
      <c r="E315" s="1430"/>
      <c r="F315" s="216" t="str">
        <f>"(Line "&amp;A46&amp;" - "&amp;A66&amp;")"</f>
        <v>(Line 19 - 30)</v>
      </c>
      <c r="G315" s="216"/>
      <c r="H315" s="532">
        <f>+H305</f>
        <v>1382840869.2930655</v>
      </c>
      <c r="I315" s="297"/>
    </row>
    <row r="316" spans="1:10">
      <c r="A316" s="212">
        <v>166</v>
      </c>
      <c r="B316" s="212"/>
      <c r="C316" s="401" t="s">
        <v>453</v>
      </c>
      <c r="D316" s="401"/>
      <c r="E316" s="1430"/>
      <c r="F316" s="216" t="str">
        <f>"(Line "&amp;A314&amp;" / "&amp;A315&amp;")"</f>
        <v>(Line 164 / 165)</v>
      </c>
      <c r="G316" s="216"/>
      <c r="H316" s="413">
        <f>+H314/H315</f>
        <v>0.13361756433156563</v>
      </c>
      <c r="I316" s="955"/>
    </row>
    <row r="317" spans="1:10">
      <c r="A317" s="212">
        <v>167</v>
      </c>
      <c r="B317" s="212"/>
      <c r="C317" s="401" t="s">
        <v>454</v>
      </c>
      <c r="D317" s="401"/>
      <c r="E317" s="1430"/>
      <c r="F317" s="216" t="str">
        <f>"(Line "&amp;A313&amp;" - "&amp;A177&amp;") / "&amp;A315</f>
        <v>(Line 163 - 86) / 165</v>
      </c>
      <c r="G317" s="216"/>
      <c r="H317" s="413">
        <f>(H314-H177)/H315</f>
        <v>9.7993468373753126E-2</v>
      </c>
      <c r="I317" s="955"/>
    </row>
    <row r="318" spans="1:10">
      <c r="A318" s="212"/>
      <c r="B318" s="212"/>
      <c r="C318" s="401"/>
      <c r="D318" s="401"/>
      <c r="E318" s="534"/>
      <c r="F318" s="216"/>
      <c r="G318" s="216"/>
      <c r="H318" s="413"/>
      <c r="I318" s="955"/>
    </row>
    <row r="319" spans="1:10">
      <c r="A319" s="212">
        <v>168</v>
      </c>
      <c r="B319" s="212"/>
      <c r="C319" s="401" t="s">
        <v>442</v>
      </c>
      <c r="D319" s="401"/>
      <c r="E319" s="1430"/>
      <c r="F319" s="216" t="str">
        <f>"(Line "&amp;A301&amp;")"</f>
        <v>(Line 156)</v>
      </c>
      <c r="G319" s="216"/>
      <c r="H319" s="532">
        <f>+H301</f>
        <v>177199227.03163984</v>
      </c>
      <c r="I319" s="297"/>
      <c r="J319" s="535"/>
    </row>
    <row r="320" spans="1:10">
      <c r="A320" s="212">
        <v>169</v>
      </c>
      <c r="B320" s="212"/>
      <c r="C320" s="401" t="s">
        <v>455</v>
      </c>
      <c r="D320" s="401"/>
      <c r="E320" s="278"/>
      <c r="F320" s="238" t="s">
        <v>801</v>
      </c>
      <c r="G320" s="1171"/>
      <c r="H320" s="297">
        <f>+'6A-Project True-up'!K46</f>
        <v>5446173.1084781345</v>
      </c>
      <c r="I320" s="297"/>
      <c r="J320" s="535"/>
    </row>
    <row r="321" spans="1:180">
      <c r="A321" s="212">
        <v>170</v>
      </c>
      <c r="B321" s="212"/>
      <c r="C321" s="401" t="s">
        <v>456</v>
      </c>
      <c r="D321" s="401"/>
      <c r="E321" s="278"/>
      <c r="F321" s="238" t="s">
        <v>918</v>
      </c>
      <c r="G321" s="1171"/>
      <c r="H321" s="297">
        <f>+'7 - Cap Add WS'!BF63-'7 - Cap Add WS'!BG62</f>
        <v>408710.21032222547</v>
      </c>
      <c r="I321" s="297"/>
    </row>
    <row r="322" spans="1:180">
      <c r="A322" s="212">
        <v>171</v>
      </c>
      <c r="B322" s="212"/>
      <c r="C322" s="295" t="s">
        <v>457</v>
      </c>
      <c r="D322" s="536"/>
      <c r="E322" s="498"/>
      <c r="F322" s="1180" t="s">
        <v>458</v>
      </c>
      <c r="G322" s="1171"/>
      <c r="H322" s="537">
        <f>+'5 - Cost Support 1'!G175</f>
        <v>0</v>
      </c>
      <c r="I322" s="537"/>
      <c r="FX322" s="152">
        <v>171</v>
      </c>
    </row>
    <row r="323" spans="1:180">
      <c r="A323" s="212" t="s">
        <v>142</v>
      </c>
      <c r="B323" s="212"/>
      <c r="C323" s="295" t="s">
        <v>140</v>
      </c>
      <c r="D323" s="536"/>
      <c r="E323" s="498"/>
      <c r="F323" s="1180" t="s">
        <v>458</v>
      </c>
      <c r="G323" s="1171"/>
      <c r="H323" s="537">
        <v>0</v>
      </c>
      <c r="I323" s="537"/>
    </row>
    <row r="324" spans="1:180">
      <c r="A324" s="212">
        <v>172</v>
      </c>
      <c r="B324" s="212"/>
      <c r="C324" s="401" t="s">
        <v>459</v>
      </c>
      <c r="D324" s="536"/>
      <c r="E324" s="1430"/>
      <c r="F324" s="1171" t="str">
        <f>"(Line "&amp;A319&amp;" + "&amp;A320&amp;" + "&amp;170&amp;" + "&amp;A322&amp;" + "&amp;A323&amp;")"</f>
        <v>(Line 168 + 169 + 170 + 171 + 171a)</v>
      </c>
      <c r="G324" s="1171"/>
      <c r="H324" s="532">
        <f>SUM(H319:H323)</f>
        <v>183054110.3504402</v>
      </c>
      <c r="I324" s="297"/>
      <c r="J324" s="535"/>
    </row>
    <row r="325" spans="1:180">
      <c r="A325" s="212"/>
      <c r="B325" s="220"/>
      <c r="C325" s="401"/>
      <c r="D325" s="401"/>
      <c r="E325" s="1430"/>
      <c r="F325" s="1171"/>
      <c r="G325" s="1171"/>
      <c r="H325" s="538"/>
      <c r="I325" s="823"/>
    </row>
    <row r="326" spans="1:180">
      <c r="A326" s="212"/>
      <c r="B326" s="221" t="s">
        <v>128</v>
      </c>
      <c r="C326" s="401"/>
      <c r="D326" s="401"/>
      <c r="E326" s="1430"/>
      <c r="F326" s="1171"/>
      <c r="G326" s="1171"/>
      <c r="H326" s="413"/>
      <c r="I326" s="955"/>
    </row>
    <row r="327" spans="1:180">
      <c r="A327" s="212">
        <v>173</v>
      </c>
      <c r="B327" s="220"/>
      <c r="C327" s="216" t="s">
        <v>460</v>
      </c>
      <c r="D327" s="539"/>
      <c r="E327" s="498" t="str">
        <f>"(Note "&amp;B$348&amp;")"</f>
        <v>(Note L)</v>
      </c>
      <c r="F327" s="1145" t="s">
        <v>350</v>
      </c>
      <c r="G327" s="1145"/>
      <c r="H327" s="1418">
        <f>+'5 - Cost Support 1'!G183</f>
        <v>4085.6</v>
      </c>
      <c r="I327" s="967"/>
    </row>
    <row r="328" spans="1:180">
      <c r="A328" s="212">
        <v>174</v>
      </c>
      <c r="B328" s="220"/>
      <c r="C328" s="216" t="s">
        <v>461</v>
      </c>
      <c r="D328" s="540"/>
      <c r="E328" s="541"/>
      <c r="F328" s="1172" t="str">
        <f>"(Line "&amp;A324&amp;" / "&amp;A327&amp;")"</f>
        <v>(Line 172 / 173)</v>
      </c>
      <c r="G328" s="1409"/>
      <c r="H328" s="1419">
        <f>+H324/H327</f>
        <v>44804.706860789163</v>
      </c>
      <c r="I328" s="968"/>
    </row>
    <row r="329" spans="1:180" ht="16" thickBot="1">
      <c r="A329" s="220"/>
      <c r="B329" s="220"/>
      <c r="C329" s="539"/>
      <c r="D329" s="539"/>
      <c r="E329" s="544"/>
      <c r="F329" s="542"/>
      <c r="G329" s="542"/>
      <c r="H329" s="543"/>
      <c r="I329" s="968"/>
    </row>
    <row r="330" spans="1:180" s="442" customFormat="1" ht="18" thickBot="1">
      <c r="A330" s="508">
        <v>175</v>
      </c>
      <c r="B330" s="509"/>
      <c r="C330" s="529" t="s">
        <v>462</v>
      </c>
      <c r="D330" s="509"/>
      <c r="E330" s="509"/>
      <c r="F330" s="509" t="s">
        <v>860</v>
      </c>
      <c r="G330" s="509"/>
      <c r="H330" s="545">
        <f>+H328</f>
        <v>44804.706860789163</v>
      </c>
      <c r="I330" s="969"/>
      <c r="J330" s="1145"/>
      <c r="K330"/>
      <c r="L330"/>
      <c r="M330"/>
      <c r="N330"/>
    </row>
    <row r="331" spans="1:180" s="442" customFormat="1">
      <c r="A331" s="546"/>
      <c r="B331" s="288"/>
      <c r="C331" s="547"/>
      <c r="D331" s="547"/>
      <c r="E331" s="548"/>
      <c r="F331" s="542"/>
      <c r="G331" s="542"/>
      <c r="H331" s="549"/>
      <c r="I331" s="970"/>
      <c r="J331" s="1145"/>
      <c r="K331"/>
      <c r="L331"/>
      <c r="M331"/>
      <c r="N331"/>
    </row>
    <row r="332" spans="1:180" s="442" customFormat="1" ht="18">
      <c r="A332" s="550"/>
      <c r="B332" s="294" t="s">
        <v>280</v>
      </c>
      <c r="C332" s="547"/>
      <c r="D332" s="547"/>
      <c r="E332" s="548"/>
      <c r="F332" s="542"/>
      <c r="G332" s="542"/>
      <c r="H332" s="549"/>
      <c r="I332" s="970"/>
      <c r="J332" s="1145"/>
      <c r="K332"/>
      <c r="L332"/>
      <c r="M332"/>
      <c r="N332"/>
    </row>
    <row r="333" spans="1:180" s="442" customFormat="1">
      <c r="A333" s="551"/>
      <c r="B333" s="1489" t="s">
        <v>9</v>
      </c>
      <c r="C333" s="1193" t="s">
        <v>463</v>
      </c>
      <c r="D333" s="1193"/>
      <c r="E333" s="1432"/>
      <c r="F333" s="1433"/>
      <c r="G333" s="1409"/>
      <c r="H333" s="1410"/>
      <c r="I333" s="970"/>
      <c r="J333" s="1145"/>
      <c r="K333"/>
      <c r="L333"/>
      <c r="M333"/>
      <c r="N333"/>
    </row>
    <row r="334" spans="1:180" s="442" customFormat="1">
      <c r="A334" s="552"/>
      <c r="B334" s="1489" t="s">
        <v>10</v>
      </c>
      <c r="C334" s="211" t="s">
        <v>464</v>
      </c>
      <c r="D334" s="1193"/>
      <c r="E334" s="1432"/>
      <c r="F334" s="1433"/>
      <c r="G334" s="1409"/>
      <c r="H334" s="1410"/>
      <c r="I334" s="970"/>
      <c r="J334" s="1145"/>
      <c r="K334"/>
      <c r="L334"/>
      <c r="M334"/>
      <c r="N334"/>
    </row>
    <row r="335" spans="1:180" s="442" customFormat="1">
      <c r="A335" s="552"/>
      <c r="B335" s="1489"/>
      <c r="C335" s="211" t="s">
        <v>465</v>
      </c>
      <c r="D335" s="1193"/>
      <c r="E335" s="1432"/>
      <c r="F335" s="1433"/>
      <c r="G335" s="1409"/>
      <c r="H335" s="553"/>
      <c r="I335" s="953"/>
      <c r="J335" s="1145"/>
      <c r="K335"/>
      <c r="L335"/>
      <c r="M335"/>
      <c r="N335"/>
    </row>
    <row r="336" spans="1:180" s="442" customFormat="1">
      <c r="A336" s="552"/>
      <c r="B336" s="1489"/>
      <c r="C336" s="211" t="s">
        <v>915</v>
      </c>
      <c r="D336" s="1193"/>
      <c r="E336" s="1432"/>
      <c r="F336" s="1433"/>
      <c r="G336" s="1409"/>
      <c r="H336" s="1410"/>
      <c r="I336" s="970"/>
      <c r="J336" s="1145"/>
      <c r="K336"/>
      <c r="L336"/>
      <c r="M336"/>
      <c r="N336"/>
    </row>
    <row r="337" spans="1:14" s="442" customFormat="1">
      <c r="A337" s="552"/>
      <c r="B337" s="1489"/>
      <c r="C337" s="211" t="s">
        <v>466</v>
      </c>
      <c r="D337" s="1193"/>
      <c r="E337" s="1432"/>
      <c r="F337" s="1433"/>
      <c r="G337" s="1409"/>
      <c r="H337" s="1410"/>
      <c r="I337" s="970"/>
      <c r="J337" s="1145"/>
      <c r="K337"/>
      <c r="L337"/>
      <c r="M337"/>
      <c r="N337"/>
    </row>
    <row r="338" spans="1:14" s="442" customFormat="1">
      <c r="A338" s="552"/>
      <c r="B338" s="1489"/>
      <c r="C338" s="211" t="s">
        <v>467</v>
      </c>
      <c r="D338" s="1193"/>
      <c r="E338" s="1432"/>
      <c r="F338" s="1433"/>
      <c r="G338" s="1409"/>
      <c r="H338" s="1410"/>
      <c r="I338" s="970"/>
      <c r="J338" s="1145"/>
      <c r="K338"/>
      <c r="L338"/>
      <c r="M338"/>
      <c r="N338"/>
    </row>
    <row r="339" spans="1:14" s="442" customFormat="1">
      <c r="A339" s="552"/>
      <c r="B339" s="1489" t="s">
        <v>11</v>
      </c>
      <c r="C339" s="211" t="s">
        <v>468</v>
      </c>
      <c r="D339" s="1193"/>
      <c r="E339" s="1432"/>
      <c r="F339" s="1433"/>
      <c r="G339" s="1409"/>
      <c r="H339" s="1410"/>
      <c r="I339" s="970"/>
      <c r="J339" s="1145"/>
      <c r="K339"/>
      <c r="L339"/>
      <c r="M339"/>
      <c r="N339"/>
    </row>
    <row r="340" spans="1:14" s="442" customFormat="1">
      <c r="A340" s="552"/>
      <c r="B340" s="1489" t="s">
        <v>14</v>
      </c>
      <c r="C340" s="1193" t="s">
        <v>469</v>
      </c>
      <c r="D340" s="1193"/>
      <c r="E340" s="1432"/>
      <c r="F340" s="1433"/>
      <c r="G340" s="1409"/>
      <c r="H340" s="1410"/>
      <c r="I340" s="970"/>
      <c r="J340" s="1145"/>
      <c r="K340"/>
      <c r="L340"/>
      <c r="M340"/>
      <c r="N340"/>
    </row>
    <row r="341" spans="1:14" s="442" customFormat="1">
      <c r="A341" s="552"/>
      <c r="B341" s="1489" t="s">
        <v>137</v>
      </c>
      <c r="C341" s="1193" t="s">
        <v>470</v>
      </c>
      <c r="D341" s="1193"/>
      <c r="E341" s="1432"/>
      <c r="F341" s="1433"/>
      <c r="G341" s="1409"/>
      <c r="H341" s="1410"/>
      <c r="I341" s="970"/>
      <c r="J341" s="1145"/>
      <c r="K341"/>
      <c r="L341"/>
      <c r="M341"/>
      <c r="N341"/>
    </row>
    <row r="342" spans="1:14" s="442" customFormat="1">
      <c r="A342" s="552"/>
      <c r="B342" s="1489" t="s">
        <v>138</v>
      </c>
      <c r="C342" s="1193" t="s">
        <v>471</v>
      </c>
      <c r="D342" s="1193"/>
      <c r="E342" s="1432"/>
      <c r="F342" s="1433"/>
      <c r="G342" s="1409"/>
      <c r="H342" s="1410"/>
      <c r="I342" s="970"/>
      <c r="J342" s="1145"/>
      <c r="K342"/>
      <c r="L342"/>
      <c r="M342"/>
      <c r="N342"/>
    </row>
    <row r="343" spans="1:14" s="442" customFormat="1">
      <c r="A343" s="552"/>
      <c r="B343" s="1489" t="s">
        <v>139</v>
      </c>
      <c r="C343" s="1193" t="s">
        <v>472</v>
      </c>
      <c r="D343" s="1193"/>
      <c r="E343" s="1432"/>
      <c r="F343" s="1433"/>
      <c r="G343" s="1409"/>
      <c r="H343" s="1410"/>
      <c r="I343" s="970"/>
      <c r="J343" s="1145"/>
      <c r="K343"/>
      <c r="L343"/>
      <c r="M343"/>
      <c r="N343"/>
    </row>
    <row r="344" spans="1:14" s="442" customFormat="1" ht="15.75" customHeight="1">
      <c r="A344" s="552"/>
      <c r="B344" s="1489" t="s">
        <v>473</v>
      </c>
      <c r="C344" s="1821" t="s">
        <v>1519</v>
      </c>
      <c r="D344" s="1821"/>
      <c r="E344" s="1821"/>
      <c r="F344" s="1821"/>
      <c r="G344" s="1409"/>
      <c r="H344" s="1410"/>
      <c r="I344" s="970"/>
      <c r="J344" s="1145"/>
      <c r="K344"/>
      <c r="L344"/>
      <c r="M344"/>
      <c r="N344"/>
    </row>
    <row r="345" spans="1:14" s="442" customFormat="1">
      <c r="A345" s="552"/>
      <c r="B345" s="1489"/>
      <c r="C345" s="1821"/>
      <c r="D345" s="1821"/>
      <c r="E345" s="1821"/>
      <c r="F345" s="1821"/>
      <c r="G345" s="1409"/>
      <c r="H345" s="1410"/>
      <c r="I345" s="970"/>
      <c r="J345" s="1145"/>
      <c r="K345"/>
      <c r="L345"/>
      <c r="M345"/>
      <c r="N345"/>
    </row>
    <row r="346" spans="1:14" s="442" customFormat="1" ht="15.75" customHeight="1">
      <c r="A346" s="552"/>
      <c r="B346" s="1431" t="s">
        <v>474</v>
      </c>
      <c r="C346" s="1823" t="s">
        <v>17</v>
      </c>
      <c r="D346" s="1824"/>
      <c r="E346" s="1824"/>
      <c r="F346" s="1824"/>
      <c r="G346" s="1409"/>
      <c r="H346" s="1410"/>
      <c r="I346" s="970"/>
      <c r="J346" s="1145"/>
      <c r="K346"/>
      <c r="L346"/>
      <c r="M346"/>
      <c r="N346"/>
    </row>
    <row r="347" spans="1:14" s="442" customFormat="1">
      <c r="A347" s="552"/>
      <c r="B347" s="1489" t="s">
        <v>475</v>
      </c>
      <c r="C347" s="1193" t="s">
        <v>476</v>
      </c>
      <c r="D347" s="1193"/>
      <c r="E347" s="1432"/>
      <c r="F347" s="1433"/>
      <c r="G347" s="1409"/>
      <c r="H347" s="1410"/>
      <c r="I347" s="970"/>
      <c r="J347" s="1145"/>
      <c r="K347"/>
      <c r="L347"/>
      <c r="M347"/>
      <c r="N347"/>
    </row>
    <row r="348" spans="1:14">
      <c r="A348" s="554"/>
      <c r="B348" s="1489" t="s">
        <v>477</v>
      </c>
      <c r="C348" s="1193" t="s">
        <v>478</v>
      </c>
      <c r="D348" s="1193"/>
      <c r="E348" s="1432"/>
      <c r="F348" s="1433"/>
      <c r="G348" s="1409"/>
      <c r="H348" s="1410"/>
      <c r="I348" s="970"/>
    </row>
    <row r="349" spans="1:14">
      <c r="A349" s="554"/>
      <c r="B349" s="1489" t="s">
        <v>479</v>
      </c>
      <c r="C349" s="1193" t="s">
        <v>480</v>
      </c>
      <c r="D349" s="1193"/>
      <c r="E349" s="1432"/>
      <c r="F349" s="1433"/>
      <c r="G349" s="1409"/>
      <c r="H349" s="1410"/>
      <c r="I349" s="970"/>
    </row>
    <row r="350" spans="1:14">
      <c r="A350" s="554"/>
      <c r="B350" s="1489" t="s">
        <v>481</v>
      </c>
      <c r="C350" s="1434" t="s">
        <v>482</v>
      </c>
      <c r="D350" s="1193"/>
      <c r="E350" s="1432"/>
      <c r="F350" s="1433"/>
      <c r="G350" s="1409"/>
      <c r="H350" s="1410"/>
      <c r="I350" s="970"/>
    </row>
    <row r="351" spans="1:14">
      <c r="A351" s="554"/>
      <c r="B351" s="1489"/>
      <c r="C351" s="1434" t="s">
        <v>483</v>
      </c>
      <c r="D351" s="1193"/>
      <c r="E351" s="1432"/>
      <c r="F351" s="1433"/>
      <c r="G351" s="1409"/>
      <c r="H351" s="1410"/>
      <c r="I351" s="970"/>
    </row>
    <row r="352" spans="1:14">
      <c r="A352" s="554"/>
      <c r="B352" s="1489"/>
      <c r="C352" s="1434" t="str">
        <f>"  Interest on the Network Credits as booked each year is added to the revenue requirement to make the Transmisision Owner whole on Line "&amp;A299&amp;"."</f>
        <v xml:space="preserve">  Interest on the Network Credits as booked each year is added to the revenue requirement to make the Transmisision Owner whole on Line 155.</v>
      </c>
      <c r="D352" s="1193"/>
      <c r="E352" s="1432"/>
      <c r="F352" s="1433"/>
      <c r="G352" s="1409"/>
      <c r="H352" s="1410"/>
      <c r="I352" s="970"/>
    </row>
    <row r="353" spans="1:14">
      <c r="A353" s="554"/>
      <c r="B353" s="1489" t="s">
        <v>484</v>
      </c>
      <c r="C353" s="1434"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53" s="1193"/>
      <c r="E353" s="1432"/>
      <c r="F353" s="1433"/>
      <c r="G353" s="1409"/>
      <c r="H353" s="1410"/>
      <c r="I353" s="970"/>
    </row>
    <row r="354" spans="1:14" s="442" customFormat="1">
      <c r="A354" s="555"/>
      <c r="B354" s="1489"/>
      <c r="C354" s="1434" t="str">
        <f>"  If they are booked to Acct 565, they are included in on line "&amp;A141&amp;""</f>
        <v xml:space="preserve">  If they are booked to Acct 565, they are included in on line 64</v>
      </c>
      <c r="D354" s="1193"/>
      <c r="E354" s="1432"/>
      <c r="F354" s="1433"/>
      <c r="G354" s="556"/>
      <c r="H354" s="556"/>
      <c r="I354" s="971"/>
      <c r="J354" s="1145"/>
      <c r="K354"/>
      <c r="L354"/>
      <c r="M354"/>
      <c r="N354"/>
    </row>
    <row r="355" spans="1:14" ht="17.5">
      <c r="A355" s="73"/>
      <c r="B355" s="1489" t="s">
        <v>485</v>
      </c>
      <c r="C355" s="1434" t="s">
        <v>486</v>
      </c>
      <c r="D355" s="1435"/>
      <c r="E355" s="1435"/>
      <c r="F355" s="1435"/>
      <c r="G355" s="1409"/>
      <c r="H355" s="1410"/>
      <c r="I355" s="970"/>
    </row>
    <row r="356" spans="1:14">
      <c r="A356" s="298"/>
      <c r="B356" s="1489" t="s">
        <v>487</v>
      </c>
      <c r="C356" s="1193" t="s">
        <v>1874</v>
      </c>
      <c r="D356" s="1193"/>
      <c r="E356" s="1432"/>
      <c r="F356" s="1433"/>
      <c r="G356" s="1409"/>
      <c r="H356" s="1410"/>
      <c r="I356" s="970"/>
    </row>
    <row r="357" spans="1:14">
      <c r="A357" s="298"/>
      <c r="B357" s="1489" t="s">
        <v>488</v>
      </c>
      <c r="C357" s="1193" t="s">
        <v>489</v>
      </c>
      <c r="D357" s="1193"/>
      <c r="E357" s="1432"/>
      <c r="F357" s="1433"/>
      <c r="G357" s="1409"/>
      <c r="H357" s="1410"/>
      <c r="I357" s="970"/>
    </row>
    <row r="358" spans="1:14">
      <c r="A358" s="298"/>
      <c r="B358" s="1436"/>
      <c r="C358" s="1193" t="s">
        <v>490</v>
      </c>
      <c r="D358" s="1193"/>
      <c r="E358" s="1432"/>
      <c r="F358" s="1433"/>
      <c r="G358" s="1409"/>
      <c r="H358" s="1410"/>
      <c r="I358" s="970"/>
    </row>
    <row r="359" spans="1:14" s="1193" customFormat="1">
      <c r="A359" s="1194"/>
      <c r="B359" s="1489" t="s">
        <v>491</v>
      </c>
      <c r="C359" s="1193" t="s">
        <v>492</v>
      </c>
      <c r="E359" s="1432"/>
      <c r="F359" s="1433"/>
      <c r="G359" s="1409"/>
      <c r="H359" s="1410"/>
      <c r="I359" s="970"/>
      <c r="J359" s="1139"/>
      <c r="K359"/>
      <c r="L359"/>
      <c r="M359"/>
      <c r="N359"/>
    </row>
    <row r="360" spans="1:14">
      <c r="A360" s="298"/>
      <c r="B360" s="1431" t="s">
        <v>189</v>
      </c>
      <c r="C360" s="1739" t="s">
        <v>1243</v>
      </c>
      <c r="D360" s="1193"/>
      <c r="E360" s="1432"/>
      <c r="F360" s="1433"/>
      <c r="G360" s="1409"/>
      <c r="H360" s="1410"/>
      <c r="I360" s="970"/>
    </row>
    <row r="361" spans="1:14" s="1193" customFormat="1" ht="15.75" customHeight="1">
      <c r="A361" s="1194"/>
      <c r="B361" s="1489" t="s">
        <v>914</v>
      </c>
      <c r="C361" s="1821" t="s">
        <v>1859</v>
      </c>
      <c r="D361" s="1821"/>
      <c r="E361" s="1821"/>
      <c r="F361" s="1821"/>
      <c r="G361" s="1409"/>
      <c r="H361" s="1410"/>
      <c r="I361" s="970"/>
      <c r="J361" s="1139"/>
      <c r="K361"/>
      <c r="L361"/>
      <c r="M361"/>
      <c r="N361"/>
    </row>
    <row r="362" spans="1:14" s="1193" customFormat="1" ht="15.75" customHeight="1">
      <c r="A362" s="1194"/>
      <c r="B362" s="1681"/>
      <c r="C362" s="1821"/>
      <c r="D362" s="1821"/>
      <c r="E362" s="1821"/>
      <c r="F362" s="1821"/>
      <c r="G362" s="1409"/>
      <c r="H362" s="1410"/>
      <c r="I362" s="970"/>
      <c r="J362" s="1139"/>
      <c r="K362"/>
      <c r="L362"/>
      <c r="M362"/>
      <c r="N362"/>
    </row>
    <row r="363" spans="1:14" ht="15.75" customHeight="1">
      <c r="A363" s="298"/>
      <c r="B363" s="1489"/>
      <c r="C363" s="1821"/>
      <c r="D363" s="1821"/>
      <c r="E363" s="1821"/>
      <c r="F363" s="1821"/>
      <c r="G363" s="1409"/>
      <c r="H363" s="1410"/>
      <c r="I363" s="970"/>
    </row>
    <row r="364" spans="1:14" s="1193" customFormat="1" ht="15.75" customHeight="1">
      <c r="A364" s="1194"/>
      <c r="B364" s="1431" t="s">
        <v>1052</v>
      </c>
      <c r="C364" s="1820" t="s">
        <v>1244</v>
      </c>
      <c r="D364" s="1820"/>
      <c r="E364" s="1820"/>
      <c r="F364" s="1820"/>
      <c r="G364" s="1409"/>
      <c r="H364" s="1410"/>
      <c r="I364" s="970"/>
      <c r="J364" s="1139"/>
      <c r="K364"/>
      <c r="L364"/>
      <c r="M364"/>
      <c r="N364"/>
    </row>
    <row r="365" spans="1:14" s="1193" customFormat="1">
      <c r="A365" s="1194"/>
      <c r="B365" s="1431"/>
      <c r="C365" s="1820"/>
      <c r="D365" s="1820"/>
      <c r="E365" s="1820"/>
      <c r="F365" s="1820"/>
      <c r="G365" s="1409"/>
      <c r="H365" s="1410"/>
      <c r="I365" s="970"/>
      <c r="J365" s="1139"/>
      <c r="K365"/>
      <c r="L365"/>
      <c r="M365"/>
      <c r="N365"/>
    </row>
    <row r="366" spans="1:14" s="1193" customFormat="1">
      <c r="A366" s="1194"/>
      <c r="B366" s="1431"/>
      <c r="C366" s="1820"/>
      <c r="D366" s="1820"/>
      <c r="E366" s="1820"/>
      <c r="F366" s="1820"/>
      <c r="G366" s="1409"/>
      <c r="H366" s="1410"/>
      <c r="I366" s="970"/>
      <c r="J366" s="1139"/>
      <c r="K366"/>
      <c r="L366"/>
      <c r="M366"/>
      <c r="N366"/>
    </row>
    <row r="367" spans="1:14" s="1193" customFormat="1">
      <c r="A367" s="1194"/>
      <c r="B367" s="1431"/>
      <c r="C367" s="1820"/>
      <c r="D367" s="1820"/>
      <c r="E367" s="1820"/>
      <c r="F367" s="1820"/>
      <c r="G367" s="1409"/>
      <c r="H367" s="1410"/>
      <c r="I367" s="970"/>
      <c r="J367" s="1139"/>
      <c r="K367"/>
      <c r="L367"/>
      <c r="M367"/>
      <c r="N367"/>
    </row>
    <row r="368" spans="1:14" s="1193" customFormat="1">
      <c r="A368" s="1194"/>
      <c r="B368" s="1431"/>
      <c r="C368" s="1820"/>
      <c r="D368" s="1820"/>
      <c r="E368" s="1820"/>
      <c r="F368" s="1820"/>
      <c r="G368" s="1409"/>
      <c r="H368" s="1410"/>
      <c r="I368" s="970"/>
      <c r="J368" s="1139"/>
      <c r="K368"/>
      <c r="L368"/>
      <c r="M368"/>
      <c r="N368"/>
    </row>
    <row r="369" spans="1:14" s="1193" customFormat="1">
      <c r="A369" s="1194"/>
      <c r="B369" s="1431"/>
      <c r="C369" s="1820"/>
      <c r="D369" s="1820"/>
      <c r="E369" s="1820"/>
      <c r="F369" s="1820"/>
      <c r="G369" s="1409"/>
      <c r="H369" s="1410"/>
      <c r="I369" s="970"/>
      <c r="J369" s="1139"/>
      <c r="K369"/>
      <c r="L369"/>
      <c r="M369"/>
      <c r="N369"/>
    </row>
    <row r="370" spans="1:14" s="1193" customFormat="1">
      <c r="A370" s="1194"/>
      <c r="B370" s="1431"/>
      <c r="C370" s="1820"/>
      <c r="D370" s="1820"/>
      <c r="E370" s="1820"/>
      <c r="F370" s="1820"/>
      <c r="G370" s="1409"/>
      <c r="H370" s="1410"/>
      <c r="I370" s="970"/>
      <c r="J370" s="1139"/>
      <c r="K370"/>
      <c r="L370"/>
      <c r="M370"/>
      <c r="N370"/>
    </row>
    <row r="371" spans="1:14" s="1193" customFormat="1">
      <c r="A371" s="1194"/>
      <c r="B371" s="1431"/>
      <c r="C371" s="1820"/>
      <c r="D371" s="1820"/>
      <c r="E371" s="1820"/>
      <c r="F371" s="1820"/>
      <c r="G371" s="1409"/>
      <c r="H371" s="1410"/>
      <c r="I371" s="970"/>
      <c r="J371" s="1139"/>
      <c r="K371"/>
      <c r="L371"/>
      <c r="M371"/>
      <c r="N371"/>
    </row>
    <row r="372" spans="1:14" s="1193" customFormat="1">
      <c r="A372" s="1194"/>
      <c r="B372" s="1431"/>
      <c r="C372" s="1820"/>
      <c r="D372" s="1820"/>
      <c r="E372" s="1820"/>
      <c r="F372" s="1820"/>
      <c r="G372" s="1409"/>
      <c r="H372" s="1410"/>
      <c r="I372" s="970"/>
      <c r="J372" s="1139"/>
      <c r="K372"/>
      <c r="L372"/>
      <c r="M372"/>
      <c r="N372"/>
    </row>
    <row r="373" spans="1:14" ht="15.75" customHeight="1">
      <c r="A373" s="298"/>
      <c r="B373" s="1431"/>
      <c r="C373" s="1820"/>
      <c r="D373" s="1820"/>
      <c r="E373" s="1820"/>
      <c r="F373" s="1820"/>
      <c r="G373" s="1409"/>
      <c r="H373" s="1410"/>
      <c r="I373" s="970"/>
    </row>
    <row r="374" spans="1:14" s="1193" customFormat="1" ht="15.75" customHeight="1">
      <c r="A374" s="1194"/>
      <c r="B374" s="1431" t="s">
        <v>1053</v>
      </c>
      <c r="C374" s="1821" t="s">
        <v>1245</v>
      </c>
      <c r="D374" s="1821"/>
      <c r="E374" s="1821"/>
      <c r="F374" s="1821"/>
      <c r="G374" s="1409"/>
      <c r="H374" s="1410"/>
      <c r="I374" s="970"/>
      <c r="J374" s="1139"/>
      <c r="K374"/>
      <c r="L374"/>
      <c r="M374"/>
      <c r="N374"/>
    </row>
    <row r="375" spans="1:14" s="1193" customFormat="1">
      <c r="A375" s="1194"/>
      <c r="B375" s="1431"/>
      <c r="C375" s="1821"/>
      <c r="D375" s="1821"/>
      <c r="E375" s="1821"/>
      <c r="F375" s="1821"/>
      <c r="G375" s="1409"/>
      <c r="H375" s="1410"/>
      <c r="I375" s="970"/>
      <c r="J375" s="1139"/>
      <c r="K375"/>
      <c r="L375"/>
      <c r="M375"/>
      <c r="N375"/>
    </row>
    <row r="376" spans="1:14" s="1193" customFormat="1">
      <c r="A376" s="1194"/>
      <c r="B376" s="1431"/>
      <c r="C376" s="1821"/>
      <c r="D376" s="1821"/>
      <c r="E376" s="1821"/>
      <c r="F376" s="1821"/>
      <c r="G376" s="1409"/>
      <c r="H376" s="1410"/>
      <c r="I376" s="970"/>
      <c r="J376" s="1139"/>
      <c r="K376"/>
      <c r="L376"/>
      <c r="M376"/>
      <c r="N376"/>
    </row>
    <row r="377" spans="1:14">
      <c r="A377" s="298"/>
      <c r="B377" s="1431"/>
      <c r="C377" s="1821"/>
      <c r="D377" s="1821"/>
      <c r="E377" s="1821"/>
      <c r="F377" s="1821"/>
      <c r="G377" s="1409"/>
      <c r="H377" s="1410"/>
      <c r="I377" s="970"/>
    </row>
    <row r="378" spans="1:14" ht="34.5" customHeight="1">
      <c r="A378" s="298"/>
      <c r="B378" s="1431" t="s">
        <v>1054</v>
      </c>
      <c r="C378" s="1822" t="s">
        <v>1595</v>
      </c>
      <c r="D378" s="1822"/>
      <c r="E378" s="1822"/>
      <c r="F378" s="1822"/>
      <c r="G378" s="1409"/>
      <c r="H378" s="1410"/>
      <c r="I378" s="970"/>
    </row>
    <row r="379" spans="1:14" ht="33" customHeight="1">
      <c r="A379" s="298"/>
      <c r="B379" s="1431" t="s">
        <v>1191</v>
      </c>
      <c r="C379" s="1822" t="s">
        <v>1596</v>
      </c>
      <c r="D379" s="1822"/>
      <c r="E379" s="1822"/>
      <c r="F379" s="1822"/>
      <c r="G379" s="1409"/>
      <c r="H379" s="1410"/>
      <c r="I379" s="970"/>
    </row>
    <row r="380" spans="1:14" ht="33.75" customHeight="1">
      <c r="A380" s="298"/>
      <c r="B380" s="1431" t="s">
        <v>1246</v>
      </c>
      <c r="C380" s="1822" t="s">
        <v>1597</v>
      </c>
      <c r="D380" s="1822"/>
      <c r="E380" s="1822"/>
      <c r="F380" s="1822"/>
      <c r="G380" s="1409"/>
      <c r="H380" s="1410"/>
      <c r="I380" s="970"/>
    </row>
    <row r="381" spans="1:14" ht="15.75" customHeight="1">
      <c r="A381" s="221"/>
      <c r="B381" s="1431" t="s">
        <v>1247</v>
      </c>
      <c r="C381" s="1820" t="s">
        <v>1598</v>
      </c>
      <c r="D381" s="1820"/>
      <c r="E381" s="1820"/>
      <c r="F381" s="1820"/>
      <c r="G381" s="1171"/>
      <c r="H381" s="279"/>
      <c r="I381" s="972"/>
    </row>
    <row r="382" spans="1:14" s="1193" customFormat="1" ht="15.75" customHeight="1">
      <c r="A382" s="1174"/>
      <c r="B382" s="1431"/>
      <c r="C382" s="1724"/>
      <c r="D382" s="1724"/>
      <c r="E382" s="1724"/>
      <c r="F382" s="1724"/>
      <c r="G382" s="1171"/>
      <c r="H382" s="279"/>
      <c r="I382" s="972"/>
      <c r="J382" s="1139"/>
      <c r="K382"/>
      <c r="L382"/>
      <c r="M382"/>
      <c r="N382"/>
    </row>
    <row r="383" spans="1:14">
      <c r="A383" s="557" t="s">
        <v>493</v>
      </c>
      <c r="B383" s="558"/>
      <c r="C383" s="209"/>
      <c r="D383" s="274"/>
      <c r="E383" s="559"/>
      <c r="F383" s="274"/>
      <c r="G383" s="274"/>
      <c r="H383" s="209"/>
    </row>
    <row r="384" spans="1:14">
      <c r="A384" s="221"/>
      <c r="B384" s="1173"/>
      <c r="C384" s="1193"/>
      <c r="D384" s="1193"/>
      <c r="E384" s="1237"/>
      <c r="F384" s="1193"/>
      <c r="G384" s="1193"/>
      <c r="H384" s="1193"/>
    </row>
    <row r="385" spans="2:9">
      <c r="B385" s="1171"/>
      <c r="C385" s="1171"/>
      <c r="D385" s="1171"/>
      <c r="E385" s="1237"/>
      <c r="F385" s="1193"/>
      <c r="G385" s="1193"/>
      <c r="H385" s="560"/>
      <c r="I385" s="925"/>
    </row>
    <row r="386" spans="2:9">
      <c r="B386" s="1171"/>
      <c r="C386" s="1171"/>
      <c r="D386" s="1171"/>
      <c r="E386" s="1237"/>
      <c r="F386" s="1193"/>
      <c r="G386" s="1193"/>
      <c r="H386" s="561"/>
      <c r="I386" s="973"/>
    </row>
    <row r="387" spans="2:9">
      <c r="H387" s="562"/>
      <c r="I387" s="974"/>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1:F381"/>
    <mergeCell ref="C344:F345"/>
    <mergeCell ref="C378:F378"/>
    <mergeCell ref="C380:F380"/>
    <mergeCell ref="C379:F379"/>
    <mergeCell ref="C346:F346"/>
    <mergeCell ref="C361:F363"/>
    <mergeCell ref="C364:F373"/>
    <mergeCell ref="C374:F377"/>
  </mergeCells>
  <pageMargins left="0.5" right="0.5" top="0.5" bottom="0.5" header="0.5" footer="0.5"/>
  <pageSetup scale="37" fitToHeight="3" orientation="portrait" r:id="rId2"/>
  <rowBreaks count="3" manualBreakCount="3">
    <brk id="122" max="7" man="1"/>
    <brk id="244" max="7" man="1"/>
    <brk id="33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3"/>
  <sheetViews>
    <sheetView zoomScale="75" zoomScaleNormal="75" workbookViewId="0">
      <selection activeCell="G87" sqref="G87"/>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873" t="s">
        <v>1574</v>
      </c>
      <c r="B1" s="1873"/>
      <c r="C1" s="1873"/>
      <c r="D1" s="1873"/>
      <c r="E1" s="1873"/>
      <c r="F1" s="1873"/>
      <c r="G1" s="1873"/>
      <c r="H1" s="1872"/>
      <c r="I1" s="1872"/>
    </row>
    <row r="2" spans="1:9" ht="18">
      <c r="A2" s="1"/>
      <c r="B2" s="9"/>
      <c r="C2" s="9"/>
      <c r="D2" s="9"/>
      <c r="E2" s="9"/>
      <c r="F2" s="9"/>
      <c r="G2" s="9"/>
    </row>
    <row r="3" spans="1:9" ht="18">
      <c r="A3" s="1874" t="s">
        <v>179</v>
      </c>
      <c r="B3" s="1874"/>
      <c r="C3" s="1874"/>
      <c r="D3" s="1874"/>
      <c r="E3" s="1874"/>
      <c r="F3" s="1874"/>
      <c r="G3" s="1874"/>
      <c r="H3" s="1872"/>
      <c r="I3" s="1872"/>
    </row>
    <row r="5" spans="1:9" s="152" customFormat="1" ht="15.5">
      <c r="B5" s="1"/>
    </row>
    <row r="6" spans="1:9" s="152" customFormat="1" ht="15.5"/>
    <row r="7" spans="1:9" s="152" customFormat="1" ht="15.5"/>
    <row r="8" spans="1:9" s="152" customFormat="1" ht="15.5">
      <c r="C8" s="152" t="s">
        <v>180</v>
      </c>
    </row>
    <row r="9" spans="1:9" s="152" customFormat="1" ht="15.5">
      <c r="A9" s="204" t="s">
        <v>9</v>
      </c>
      <c r="B9" s="204"/>
      <c r="D9" s="152" t="s">
        <v>181</v>
      </c>
      <c r="G9" s="205" t="s">
        <v>182</v>
      </c>
      <c r="I9" s="206">
        <f>+I56+I84</f>
        <v>91074364.07887134</v>
      </c>
    </row>
    <row r="10" spans="1:9" s="152" customFormat="1" ht="15.5">
      <c r="A10" s="204"/>
      <c r="B10" s="204"/>
    </row>
    <row r="11" spans="1:9" s="152" customFormat="1" ht="15.5">
      <c r="A11" s="204" t="s">
        <v>10</v>
      </c>
      <c r="B11" s="204"/>
      <c r="D11" s="152" t="s">
        <v>861</v>
      </c>
      <c r="I11" s="207">
        <v>0.01</v>
      </c>
    </row>
    <row r="12" spans="1:9" s="152" customFormat="1" ht="15.5">
      <c r="A12" s="204"/>
      <c r="B12" s="204"/>
      <c r="I12" s="207"/>
    </row>
    <row r="13" spans="1:9" s="205" customFormat="1" ht="15.5">
      <c r="A13" s="204"/>
      <c r="B13" s="204"/>
      <c r="C13" s="152"/>
      <c r="D13" s="152"/>
      <c r="E13" s="152"/>
      <c r="F13" s="152"/>
      <c r="G13" s="152"/>
      <c r="H13" s="152"/>
    </row>
    <row r="14" spans="1:9" s="205" customFormat="1" ht="15.5">
      <c r="A14" s="208" t="s">
        <v>183</v>
      </c>
      <c r="B14" s="209"/>
      <c r="C14" s="209"/>
      <c r="D14" s="209"/>
      <c r="E14" s="209"/>
      <c r="F14" s="209"/>
      <c r="G14" s="209"/>
      <c r="H14" s="209"/>
      <c r="I14" s="209"/>
    </row>
    <row r="15" spans="1:9" s="152" customFormat="1" ht="15.5">
      <c r="I15" s="210"/>
    </row>
    <row r="16" spans="1:9" s="152" customFormat="1" ht="15.5">
      <c r="A16" s="204">
        <v>59</v>
      </c>
      <c r="C16" s="211" t="s">
        <v>343</v>
      </c>
      <c r="D16" s="211"/>
      <c r="F16" s="211"/>
      <c r="G16" s="230" t="s">
        <v>835</v>
      </c>
      <c r="H16" s="211"/>
      <c r="I16" s="206">
        <f>+'ATT H-3D'!H131</f>
        <v>1085286628.2155061</v>
      </c>
    </row>
    <row r="17" spans="1:9" s="152" customFormat="1" ht="15.5">
      <c r="G17" s="211"/>
      <c r="I17" s="210"/>
    </row>
    <row r="18" spans="1:9" s="152" customFormat="1" ht="15.5">
      <c r="G18" s="211"/>
    </row>
    <row r="19" spans="1:9" s="152" customFormat="1" ht="15.5">
      <c r="A19" s="212"/>
      <c r="B19" s="211"/>
      <c r="C19" s="233" t="s">
        <v>2</v>
      </c>
      <c r="D19" s="214"/>
      <c r="E19" s="215"/>
      <c r="F19" s="216"/>
      <c r="G19" s="217"/>
      <c r="H19" s="218"/>
    </row>
    <row r="20" spans="1:9" s="152" customFormat="1" ht="15.5">
      <c r="A20" s="212">
        <v>100</v>
      </c>
      <c r="B20" s="211"/>
      <c r="C20" s="211"/>
      <c r="D20" s="1172" t="s">
        <v>2</v>
      </c>
      <c r="E20" s="215"/>
      <c r="F20" s="216"/>
      <c r="G20" s="217" t="s">
        <v>386</v>
      </c>
      <c r="H20" s="218"/>
      <c r="I20" s="219">
        <f>+'ATT H-3D'!H207</f>
        <v>62003750</v>
      </c>
    </row>
    <row r="21" spans="1:9" s="152" customFormat="1" ht="15.5">
      <c r="A21" s="220">
        <v>101</v>
      </c>
      <c r="B21" s="211"/>
      <c r="C21" s="211"/>
      <c r="D21" s="221" t="s">
        <v>387</v>
      </c>
      <c r="E21" s="225" t="s">
        <v>844</v>
      </c>
      <c r="F21" s="223"/>
      <c r="G21" s="224" t="s">
        <v>388</v>
      </c>
      <c r="H21" s="225"/>
      <c r="I21" s="1142">
        <f>+'ATT H-3D'!H208</f>
        <v>0</v>
      </c>
    </row>
    <row r="22" spans="1:9" s="152" customFormat="1" ht="15.5">
      <c r="A22" s="220">
        <v>102</v>
      </c>
      <c r="B22" s="211"/>
      <c r="C22" s="211"/>
      <c r="D22" s="230" t="s">
        <v>2</v>
      </c>
      <c r="E22" s="215"/>
      <c r="F22" s="214"/>
      <c r="G22" s="217" t="s">
        <v>389</v>
      </c>
      <c r="H22" s="218"/>
      <c r="I22" s="219">
        <f>+I20-I21</f>
        <v>62003750</v>
      </c>
    </row>
    <row r="23" spans="1:9" s="152" customFormat="1" ht="15.5">
      <c r="A23" s="220"/>
      <c r="B23" s="211"/>
      <c r="C23" s="221"/>
      <c r="D23" s="221"/>
      <c r="E23" s="216"/>
      <c r="F23" s="227"/>
      <c r="G23" s="211"/>
      <c r="H23" s="227"/>
      <c r="I23" s="228"/>
    </row>
    <row r="24" spans="1:9" s="152" customFormat="1" ht="15.5">
      <c r="A24" s="220">
        <v>103</v>
      </c>
      <c r="B24" s="211"/>
      <c r="C24" s="230" t="s">
        <v>390</v>
      </c>
      <c r="D24" s="229"/>
      <c r="F24" s="227" t="s">
        <v>391</v>
      </c>
      <c r="G24" s="230" t="s">
        <v>392</v>
      </c>
      <c r="H24" s="227"/>
      <c r="I24" s="219">
        <f>+'ATT H-3D'!H211</f>
        <v>0</v>
      </c>
    </row>
    <row r="25" spans="1:9" s="152" customFormat="1" ht="15.5">
      <c r="A25" s="220"/>
      <c r="B25" s="211"/>
      <c r="C25" s="221"/>
      <c r="D25" s="221"/>
      <c r="E25" s="216"/>
      <c r="F25" s="231"/>
      <c r="G25" s="230"/>
      <c r="H25" s="227"/>
      <c r="I25" s="228"/>
    </row>
    <row r="26" spans="1:9" s="152" customFormat="1" ht="15.5">
      <c r="A26" s="220"/>
      <c r="B26" s="211"/>
      <c r="C26" s="221" t="s">
        <v>393</v>
      </c>
      <c r="D26" s="232"/>
      <c r="E26" s="216"/>
      <c r="F26" s="216"/>
      <c r="G26" s="230"/>
      <c r="H26" s="227"/>
      <c r="I26" s="228"/>
    </row>
    <row r="27" spans="1:9" s="152" customFormat="1" ht="15.5">
      <c r="A27" s="220">
        <v>104</v>
      </c>
      <c r="B27" s="211"/>
      <c r="C27" s="211"/>
      <c r="D27" s="230" t="s">
        <v>394</v>
      </c>
      <c r="E27" s="227"/>
      <c r="F27" s="227"/>
      <c r="G27" s="230" t="s">
        <v>395</v>
      </c>
      <c r="H27" s="227"/>
      <c r="I27" s="219">
        <f>+'ATT H-3D'!H214</f>
        <v>1643584092.7907662</v>
      </c>
    </row>
    <row r="28" spans="1:9" s="152" customFormat="1" ht="15.5">
      <c r="A28" s="212">
        <v>105</v>
      </c>
      <c r="B28" s="211"/>
      <c r="C28" s="211"/>
      <c r="D28" s="233" t="s">
        <v>396</v>
      </c>
      <c r="F28" s="228" t="s">
        <v>193</v>
      </c>
      <c r="G28" s="233" t="s">
        <v>845</v>
      </c>
      <c r="H28" s="227"/>
      <c r="I28" s="228">
        <f>-I39</f>
        <v>0</v>
      </c>
    </row>
    <row r="29" spans="1:9" s="152" customFormat="1" ht="15.5">
      <c r="A29" s="220">
        <v>106</v>
      </c>
      <c r="B29" s="211"/>
      <c r="C29" s="211"/>
      <c r="D29" s="233" t="s">
        <v>397</v>
      </c>
      <c r="F29" s="234" t="s">
        <v>193</v>
      </c>
      <c r="G29" s="235" t="s">
        <v>398</v>
      </c>
      <c r="H29" s="225"/>
      <c r="I29" s="234">
        <f>+'ATT H-3D'!H216</f>
        <v>2177779</v>
      </c>
    </row>
    <row r="30" spans="1:9" s="152" customFormat="1" ht="15.5">
      <c r="A30" s="220">
        <v>107</v>
      </c>
      <c r="B30" s="211"/>
      <c r="C30" s="211"/>
      <c r="D30" s="233" t="s">
        <v>393</v>
      </c>
      <c r="F30" s="219"/>
      <c r="G30" s="567" t="s">
        <v>846</v>
      </c>
      <c r="H30" s="237"/>
      <c r="I30" s="228">
        <f>SUM(I27:I29)</f>
        <v>1645761871.7907662</v>
      </c>
    </row>
    <row r="31" spans="1:9" s="152" customFormat="1" ht="15.5">
      <c r="A31" s="220"/>
      <c r="B31" s="211"/>
      <c r="C31" s="221"/>
      <c r="D31" s="221"/>
      <c r="F31" s="216"/>
      <c r="G31" s="230"/>
      <c r="H31" s="216"/>
      <c r="I31" s="228"/>
    </row>
    <row r="32" spans="1:9" s="152" customFormat="1" ht="15.5">
      <c r="A32" s="220"/>
      <c r="B32" s="211"/>
      <c r="C32" s="221" t="s">
        <v>3</v>
      </c>
      <c r="D32" s="232"/>
      <c r="F32" s="216"/>
      <c r="G32" s="230"/>
      <c r="H32" s="216"/>
      <c r="I32" s="228"/>
    </row>
    <row r="33" spans="1:9" s="152" customFormat="1" ht="15.5">
      <c r="A33" s="220">
        <v>108</v>
      </c>
      <c r="B33" s="211"/>
      <c r="C33" s="211"/>
      <c r="D33" s="221" t="s">
        <v>399</v>
      </c>
      <c r="F33" s="216"/>
      <c r="G33" s="221" t="s">
        <v>400</v>
      </c>
      <c r="H33" s="216"/>
      <c r="I33" s="219">
        <f>+'ATT H-3D'!H221</f>
        <v>1621076153.8461537</v>
      </c>
    </row>
    <row r="34" spans="1:9" s="152" customFormat="1" ht="15.5">
      <c r="A34" s="212">
        <v>109</v>
      </c>
      <c r="B34" s="211"/>
      <c r="C34" s="211"/>
      <c r="D34" s="221" t="s">
        <v>401</v>
      </c>
      <c r="F34" s="227" t="s">
        <v>193</v>
      </c>
      <c r="G34" s="230" t="s">
        <v>402</v>
      </c>
      <c r="H34" s="216"/>
      <c r="I34" s="219">
        <f>+'ATT H-3D'!H222</f>
        <v>-5298449.3823076896</v>
      </c>
    </row>
    <row r="35" spans="1:9" s="152" customFormat="1" ht="15.5">
      <c r="A35" s="212">
        <v>110</v>
      </c>
      <c r="B35" s="238"/>
      <c r="C35" s="238"/>
      <c r="D35" s="213" t="s">
        <v>403</v>
      </c>
      <c r="F35" s="239" t="s">
        <v>404</v>
      </c>
      <c r="G35" s="213" t="s">
        <v>405</v>
      </c>
      <c r="H35" s="239"/>
      <c r="I35" s="219">
        <f>+'ATT H-3D'!H223</f>
        <v>0</v>
      </c>
    </row>
    <row r="36" spans="1:9" s="152" customFormat="1" ht="15.5">
      <c r="A36" s="212">
        <v>111</v>
      </c>
      <c r="B36" s="238"/>
      <c r="C36" s="238"/>
      <c r="D36" s="213" t="s">
        <v>406</v>
      </c>
      <c r="F36" s="228" t="s">
        <v>193</v>
      </c>
      <c r="G36" s="211" t="s">
        <v>1227</v>
      </c>
      <c r="H36" s="239"/>
      <c r="I36" s="219">
        <f>+'ATT H-3D'!H224</f>
        <v>1468465</v>
      </c>
    </row>
    <row r="37" spans="1:9" s="152" customFormat="1" ht="15.5">
      <c r="A37" s="212">
        <v>112</v>
      </c>
      <c r="B37" s="238"/>
      <c r="C37" s="238"/>
      <c r="D37" s="213" t="s">
        <v>407</v>
      </c>
      <c r="F37" s="228" t="s">
        <v>193</v>
      </c>
      <c r="G37" s="233" t="s">
        <v>388</v>
      </c>
      <c r="H37" s="239"/>
      <c r="I37" s="219">
        <f>+'ATT H-3D'!H225</f>
        <v>0</v>
      </c>
    </row>
    <row r="38" spans="1:9" s="152" customFormat="1" ht="15.5">
      <c r="A38" s="212">
        <v>113</v>
      </c>
      <c r="B38" s="238"/>
      <c r="C38" s="238"/>
      <c r="D38" s="213" t="s">
        <v>408</v>
      </c>
      <c r="E38" s="240"/>
      <c r="F38" s="241"/>
      <c r="G38" s="568" t="s">
        <v>847</v>
      </c>
      <c r="H38" s="240"/>
      <c r="I38" s="242">
        <f>SUM(I33:I37)</f>
        <v>1617246169.463846</v>
      </c>
    </row>
    <row r="39" spans="1:9" s="152" customFormat="1" ht="15.5">
      <c r="A39" s="212">
        <v>114</v>
      </c>
      <c r="B39" s="238"/>
      <c r="C39" s="238"/>
      <c r="D39" s="213" t="s">
        <v>409</v>
      </c>
      <c r="E39" s="239"/>
      <c r="F39" s="243"/>
      <c r="G39" s="213" t="s">
        <v>410</v>
      </c>
      <c r="H39" s="239"/>
      <c r="I39" s="219">
        <f>+'ATT H-3D'!H227</f>
        <v>0</v>
      </c>
    </row>
    <row r="40" spans="1:9" s="152" customFormat="1" ht="15.5">
      <c r="A40" s="220">
        <v>115</v>
      </c>
      <c r="B40" s="211"/>
      <c r="C40" s="211"/>
      <c r="D40" s="221" t="s">
        <v>393</v>
      </c>
      <c r="E40" s="216"/>
      <c r="F40" s="231"/>
      <c r="G40" s="230" t="s">
        <v>848</v>
      </c>
      <c r="H40" s="216"/>
      <c r="I40" s="219">
        <f>I30</f>
        <v>1645761871.7907662</v>
      </c>
    </row>
    <row r="41" spans="1:9" s="152" customFormat="1" ht="15.5">
      <c r="A41" s="220">
        <v>116</v>
      </c>
      <c r="B41" s="211"/>
      <c r="C41" s="211"/>
      <c r="D41" s="221" t="s">
        <v>411</v>
      </c>
      <c r="E41" s="244"/>
      <c r="F41" s="245"/>
      <c r="G41" s="569" t="s">
        <v>849</v>
      </c>
      <c r="H41" s="247"/>
      <c r="I41" s="242">
        <f>I40+I39+I38</f>
        <v>3263008041.254612</v>
      </c>
    </row>
    <row r="42" spans="1:9" s="152" customFormat="1" ht="15.5">
      <c r="A42" s="220"/>
      <c r="B42" s="211"/>
      <c r="C42" s="211"/>
      <c r="D42" s="221"/>
      <c r="E42" s="216"/>
      <c r="F42" s="231"/>
      <c r="G42" s="211"/>
      <c r="H42" s="227"/>
      <c r="I42" s="248"/>
    </row>
    <row r="43" spans="1:9" s="152" customFormat="1" ht="15.5">
      <c r="A43" s="212">
        <v>117</v>
      </c>
      <c r="B43" s="211"/>
      <c r="C43" s="211"/>
      <c r="D43" s="221" t="s">
        <v>412</v>
      </c>
      <c r="E43" s="249"/>
      <c r="F43" s="250" t="s">
        <v>408</v>
      </c>
      <c r="G43" s="1183" t="s">
        <v>1571</v>
      </c>
      <c r="H43" s="227"/>
      <c r="I43" s="1740">
        <f>IF(I41&gt;0,I38/I41,0)</f>
        <v>0.49563045785263282</v>
      </c>
    </row>
    <row r="44" spans="1:9" s="152" customFormat="1" ht="15.5">
      <c r="A44" s="212">
        <v>118</v>
      </c>
      <c r="B44" s="211"/>
      <c r="C44" s="211"/>
      <c r="D44" s="221" t="s">
        <v>413</v>
      </c>
      <c r="E44" s="231"/>
      <c r="F44" s="250" t="s">
        <v>409</v>
      </c>
      <c r="G44" s="1183" t="s">
        <v>1572</v>
      </c>
      <c r="H44" s="227"/>
      <c r="I44" s="1740">
        <f>IF(I41&gt;0,I39/I41,0)</f>
        <v>0</v>
      </c>
    </row>
    <row r="45" spans="1:9" s="152" customFormat="1" ht="15.5">
      <c r="A45" s="212">
        <v>119</v>
      </c>
      <c r="B45" s="211"/>
      <c r="C45" s="211"/>
      <c r="D45" s="221" t="s">
        <v>414</v>
      </c>
      <c r="E45" s="231"/>
      <c r="F45" s="250" t="s">
        <v>393</v>
      </c>
      <c r="G45" s="1183" t="s">
        <v>1573</v>
      </c>
      <c r="H45" s="227"/>
      <c r="I45" s="1740">
        <f>IF(I41&gt;0,I40/I41,0)</f>
        <v>0.50436954214736729</v>
      </c>
    </row>
    <row r="46" spans="1:9" s="152" customFormat="1" ht="15.5">
      <c r="A46" s="212"/>
      <c r="B46" s="211"/>
      <c r="C46" s="211"/>
      <c r="D46" s="221"/>
      <c r="E46" s="216"/>
      <c r="F46" s="230"/>
      <c r="G46" s="211"/>
      <c r="H46" s="227"/>
      <c r="I46" s="248"/>
    </row>
    <row r="47" spans="1:9" s="152" customFormat="1" ht="15.5">
      <c r="A47" s="212">
        <v>120</v>
      </c>
      <c r="B47" s="211"/>
      <c r="C47" s="211"/>
      <c r="D47" s="230" t="s">
        <v>415</v>
      </c>
      <c r="E47" s="249"/>
      <c r="F47" s="230" t="s">
        <v>408</v>
      </c>
      <c r="G47" s="230" t="s">
        <v>850</v>
      </c>
      <c r="H47" s="227"/>
      <c r="I47" s="251">
        <f>IF(I38&gt;0,I22/I38,0)</f>
        <v>3.8339092199275795E-2</v>
      </c>
    </row>
    <row r="48" spans="1:9" s="152" customFormat="1" ht="15.5">
      <c r="A48" s="212">
        <v>121</v>
      </c>
      <c r="B48" s="211"/>
      <c r="C48" s="211"/>
      <c r="D48" s="230" t="s">
        <v>416</v>
      </c>
      <c r="E48" s="231"/>
      <c r="F48" s="230" t="s">
        <v>409</v>
      </c>
      <c r="G48" s="230" t="s">
        <v>851</v>
      </c>
      <c r="H48" s="227"/>
      <c r="I48" s="251">
        <f>IF(I39&gt;0,I24/I39,0)</f>
        <v>0</v>
      </c>
    </row>
    <row r="49" spans="1:9" s="152" customFormat="1" ht="15.5">
      <c r="A49" s="212">
        <v>122</v>
      </c>
      <c r="B49" s="211"/>
      <c r="C49" s="211"/>
      <c r="D49" s="230" t="s">
        <v>417</v>
      </c>
      <c r="E49" s="231" t="s">
        <v>184</v>
      </c>
      <c r="F49" s="230" t="s">
        <v>393</v>
      </c>
      <c r="G49" s="211" t="s">
        <v>185</v>
      </c>
      <c r="H49" s="227"/>
      <c r="I49" s="252">
        <f>+'ATT H-3D'!H237+0.01</f>
        <v>0.11499999999999999</v>
      </c>
    </row>
    <row r="50" spans="1:9" s="152" customFormat="1" ht="15.5">
      <c r="A50" s="212"/>
      <c r="B50" s="211"/>
      <c r="C50" s="211"/>
      <c r="D50" s="221"/>
      <c r="E50" s="216"/>
      <c r="F50" s="230"/>
      <c r="G50" s="211"/>
      <c r="H50" s="227"/>
      <c r="I50" s="216"/>
    </row>
    <row r="51" spans="1:9" s="152" customFormat="1" ht="15.5">
      <c r="A51" s="212">
        <v>123</v>
      </c>
      <c r="B51" s="211"/>
      <c r="C51" s="211"/>
      <c r="D51" s="221" t="s">
        <v>419</v>
      </c>
      <c r="E51" s="249"/>
      <c r="F51" s="250" t="s">
        <v>420</v>
      </c>
      <c r="G51" s="230" t="s">
        <v>852</v>
      </c>
      <c r="H51" s="253"/>
      <c r="I51" s="254">
        <f>I47*I43</f>
        <v>1.9002021820381364E-2</v>
      </c>
    </row>
    <row r="52" spans="1:9" s="152" customFormat="1" ht="15.5">
      <c r="A52" s="212">
        <v>124</v>
      </c>
      <c r="B52" s="211"/>
      <c r="C52" s="211"/>
      <c r="D52" s="221" t="s">
        <v>421</v>
      </c>
      <c r="E52" s="231"/>
      <c r="F52" s="250" t="s">
        <v>409</v>
      </c>
      <c r="G52" s="230" t="s">
        <v>853</v>
      </c>
      <c r="H52" s="255"/>
      <c r="I52" s="254">
        <f>I48*I44</f>
        <v>0</v>
      </c>
    </row>
    <row r="53" spans="1:9" s="152" customFormat="1" ht="15.5">
      <c r="A53" s="212">
        <v>125</v>
      </c>
      <c r="B53" s="211"/>
      <c r="C53" s="211"/>
      <c r="D53" s="256" t="s">
        <v>422</v>
      </c>
      <c r="E53" s="257"/>
      <c r="F53" s="256" t="s">
        <v>393</v>
      </c>
      <c r="G53" s="224" t="s">
        <v>854</v>
      </c>
      <c r="H53" s="258"/>
      <c r="I53" s="259">
        <f>I49*I45</f>
        <v>5.8002497346947235E-2</v>
      </c>
    </row>
    <row r="54" spans="1:9" s="152" customFormat="1" ht="15.5">
      <c r="A54" s="220">
        <v>126</v>
      </c>
      <c r="B54" s="211"/>
      <c r="C54" s="211" t="s">
        <v>423</v>
      </c>
      <c r="D54" s="211"/>
      <c r="E54" s="260"/>
      <c r="F54" s="261"/>
      <c r="G54" s="570" t="s">
        <v>855</v>
      </c>
      <c r="H54" s="263"/>
      <c r="I54" s="264">
        <f>SUM(I51:I53)</f>
        <v>7.7004519167328603E-2</v>
      </c>
    </row>
    <row r="55" spans="1:9" s="152" customFormat="1" ht="15.5">
      <c r="A55" s="265"/>
      <c r="B55" s="211"/>
      <c r="C55" s="211"/>
      <c r="D55" s="211"/>
      <c r="E55" s="260"/>
      <c r="F55" s="261"/>
      <c r="G55" s="262"/>
      <c r="H55" s="263"/>
      <c r="I55" s="264"/>
    </row>
    <row r="56" spans="1:9" s="152" customFormat="1" ht="16" thickBot="1">
      <c r="A56" s="220">
        <v>127</v>
      </c>
      <c r="B56" s="211"/>
      <c r="C56" s="211" t="s">
        <v>424</v>
      </c>
      <c r="D56" s="211"/>
      <c r="E56" s="266"/>
      <c r="F56" s="267"/>
      <c r="G56" s="268" t="s">
        <v>856</v>
      </c>
      <c r="H56" s="269"/>
      <c r="I56" s="270">
        <f>+I54*I16</f>
        <v>83571974.964466363</v>
      </c>
    </row>
    <row r="57" spans="1:9" s="152" customFormat="1" ht="16" thickTop="1">
      <c r="A57" s="220"/>
      <c r="B57" s="220"/>
      <c r="C57" s="220"/>
      <c r="D57" s="231"/>
      <c r="E57" s="216"/>
      <c r="F57" s="204"/>
      <c r="G57" s="227"/>
      <c r="H57" s="227"/>
      <c r="I57" s="254"/>
    </row>
    <row r="58" spans="1:9" s="152" customFormat="1" ht="15.5">
      <c r="A58" s="271" t="s">
        <v>186</v>
      </c>
      <c r="B58" s="271"/>
      <c r="C58" s="272"/>
      <c r="D58" s="273"/>
      <c r="E58" s="274"/>
      <c r="F58" s="275"/>
      <c r="G58" s="209"/>
      <c r="H58" s="209"/>
      <c r="I58" s="276"/>
    </row>
    <row r="59" spans="1:9" s="152" customFormat="1" ht="15.5">
      <c r="A59" s="213"/>
      <c r="B59" s="213"/>
      <c r="C59" s="220"/>
      <c r="D59" s="277"/>
      <c r="E59" s="239"/>
      <c r="F59" s="278"/>
      <c r="G59" s="216"/>
      <c r="H59" s="216"/>
      <c r="I59" s="279"/>
    </row>
    <row r="60" spans="1:9" s="152" customFormat="1" ht="15.5">
      <c r="A60" s="1173" t="s">
        <v>85</v>
      </c>
      <c r="B60" s="1173"/>
      <c r="C60" s="503" t="s">
        <v>86</v>
      </c>
      <c r="D60" s="1171"/>
      <c r="E60" s="1171"/>
      <c r="F60" s="278"/>
      <c r="G60" s="1141"/>
      <c r="H60" s="280"/>
      <c r="I60" s="1171"/>
    </row>
    <row r="61" spans="1:9" s="152" customFormat="1" ht="15.5">
      <c r="A61" s="212">
        <f>'ATT H-3D'!A249</f>
        <v>128</v>
      </c>
      <c r="B61" s="1237"/>
      <c r="C61" s="1173"/>
      <c r="D61" s="1171" t="s">
        <v>187</v>
      </c>
      <c r="E61" s="1171"/>
      <c r="F61" s="498" t="s">
        <v>1869</v>
      </c>
      <c r="G61" s="1183"/>
      <c r="H61" s="1160"/>
      <c r="I61" s="1413">
        <f>+'ATT H-3D'!H249</f>
        <v>0.21</v>
      </c>
    </row>
    <row r="62" spans="1:9" s="152" customFormat="1" ht="15.5">
      <c r="A62" s="212">
        <f>'ATT H-3D'!A250</f>
        <v>129</v>
      </c>
      <c r="B62" s="1237"/>
      <c r="C62" s="1173"/>
      <c r="D62" s="1160" t="s">
        <v>188</v>
      </c>
      <c r="E62" s="1161"/>
      <c r="F62" s="498" t="s">
        <v>1869</v>
      </c>
      <c r="G62" s="1183"/>
      <c r="H62" s="1160"/>
      <c r="I62" s="1413">
        <f>+'ATT H-3D'!H250</f>
        <v>8.5000000000000006E-2</v>
      </c>
    </row>
    <row r="63" spans="1:9" s="152" customFormat="1" ht="15.5">
      <c r="A63" s="212">
        <f>'ATT H-3D'!A251</f>
        <v>130</v>
      </c>
      <c r="B63" s="1237"/>
      <c r="C63" s="1173"/>
      <c r="D63" s="1160" t="s">
        <v>485</v>
      </c>
      <c r="E63" s="1158" t="s">
        <v>1900</v>
      </c>
      <c r="F63" s="1237"/>
      <c r="G63" s="1183"/>
      <c r="H63" s="1160"/>
      <c r="I63" s="1413">
        <f>+'ATT H-3D'!H251</f>
        <v>0</v>
      </c>
    </row>
    <row r="64" spans="1:9" s="152" customFormat="1" ht="15.5">
      <c r="A64" s="212">
        <f>'ATT H-3D'!A252</f>
        <v>131</v>
      </c>
      <c r="B64" s="1237"/>
      <c r="C64" s="1173"/>
      <c r="D64" s="1160" t="s">
        <v>189</v>
      </c>
      <c r="E64" s="284" t="s">
        <v>190</v>
      </c>
      <c r="F64" s="1237"/>
      <c r="G64" s="1193"/>
      <c r="H64" s="1160"/>
      <c r="I64" s="1413">
        <f>+'ATT H-3D'!H252</f>
        <v>0.2771499999999999</v>
      </c>
    </row>
    <row r="65" spans="1:9" s="152" customFormat="1" ht="15.5">
      <c r="A65" s="212" t="str">
        <f>'ATT H-3D'!A253</f>
        <v>132a</v>
      </c>
      <c r="B65" s="1237"/>
      <c r="C65" s="1173"/>
      <c r="D65" s="1160" t="s">
        <v>191</v>
      </c>
      <c r="E65" s="1161"/>
      <c r="F65" s="1237"/>
      <c r="G65" s="1171"/>
      <c r="H65" s="1160"/>
      <c r="I65" s="1413">
        <f>+'ATT H-3D'!H253</f>
        <v>0.38341287957390863</v>
      </c>
    </row>
    <row r="66" spans="1:9" s="1193" customFormat="1" ht="15.5">
      <c r="A66" s="212" t="str">
        <f>'ATT H-3D'!A254</f>
        <v>132b</v>
      </c>
      <c r="B66" s="1237"/>
      <c r="D66" s="1193" t="s">
        <v>1230</v>
      </c>
      <c r="E66" s="1195" t="s">
        <v>1231</v>
      </c>
      <c r="F66" s="1237"/>
      <c r="I66" s="1162">
        <f>1*1/(1-I64)</f>
        <v>1.3834128795739087</v>
      </c>
    </row>
    <row r="67" spans="1:9" s="152" customFormat="1" ht="15.5">
      <c r="A67" s="212"/>
      <c r="B67" s="1173"/>
      <c r="C67" s="1173"/>
      <c r="D67" s="1171"/>
      <c r="E67" s="1171"/>
      <c r="F67" s="285"/>
      <c r="G67" s="284"/>
      <c r="H67" s="280"/>
      <c r="I67" s="286"/>
    </row>
    <row r="68" spans="1:9" s="152" customFormat="1" ht="15.5">
      <c r="A68" s="212"/>
      <c r="B68" s="1173"/>
      <c r="C68" s="503" t="s">
        <v>192</v>
      </c>
      <c r="D68" s="231"/>
      <c r="E68" s="1171"/>
      <c r="F68" s="498" t="s">
        <v>1870</v>
      </c>
      <c r="G68" s="1141"/>
      <c r="H68" s="280"/>
      <c r="I68" s="287"/>
    </row>
    <row r="69" spans="1:9" s="152" customFormat="1" ht="15.5">
      <c r="A69" s="212">
        <f>'ATT H-3D'!A257</f>
        <v>133</v>
      </c>
      <c r="B69" s="1237"/>
      <c r="C69" s="1173"/>
      <c r="D69" s="1193" t="s">
        <v>1253</v>
      </c>
      <c r="E69" s="1171"/>
      <c r="F69" s="248" t="s">
        <v>193</v>
      </c>
      <c r="G69" s="211" t="s">
        <v>1248</v>
      </c>
      <c r="H69" s="280"/>
      <c r="I69" s="420">
        <f>+'ATT H-3D'!H257</f>
        <v>-96442.971718589921</v>
      </c>
    </row>
    <row r="70" spans="1:9" s="152" customFormat="1" ht="15.5">
      <c r="A70" s="212">
        <f>'ATT H-3D'!A258</f>
        <v>134</v>
      </c>
      <c r="B70" s="1237"/>
      <c r="C70" s="1173"/>
      <c r="D70" s="1193" t="s">
        <v>1254</v>
      </c>
      <c r="E70" s="1175"/>
      <c r="F70" s="290"/>
      <c r="G70" s="1176" t="str">
        <f>"(Line "&amp;A66&amp;")"</f>
        <v>(Line 132b)</v>
      </c>
      <c r="H70" s="1196"/>
      <c r="I70" s="1162">
        <f>+I66</f>
        <v>1.3834128795739087</v>
      </c>
    </row>
    <row r="71" spans="1:9" s="152" customFormat="1" ht="15.5">
      <c r="A71" s="212">
        <f>'ATT H-3D'!A259</f>
        <v>135</v>
      </c>
      <c r="B71" s="1237"/>
      <c r="C71" s="1173"/>
      <c r="D71" s="506" t="s">
        <v>195</v>
      </c>
      <c r="E71" s="240"/>
      <c r="F71" s="292"/>
      <c r="G71" s="1172" t="str">
        <f>"(Line "&amp;A69&amp;" * "&amp;A70&amp;")"</f>
        <v>(Line 133 * 134)</v>
      </c>
      <c r="H71" s="1414"/>
      <c r="I71" s="1184">
        <f>+I69*I70</f>
        <v>-133420.44921987952</v>
      </c>
    </row>
    <row r="72" spans="1:9" s="152" customFormat="1" ht="15.5">
      <c r="A72" s="212"/>
      <c r="B72" s="1173"/>
      <c r="C72" s="1173"/>
      <c r="D72" s="294"/>
      <c r="E72" s="1180"/>
      <c r="F72" s="1181"/>
      <c r="G72" s="1182"/>
      <c r="H72" s="1186"/>
      <c r="I72" s="1187"/>
    </row>
    <row r="73" spans="1:9" s="152" customFormat="1" ht="15.5">
      <c r="A73" s="1139"/>
      <c r="B73" s="232"/>
      <c r="C73" s="211" t="s">
        <v>1042</v>
      </c>
      <c r="D73" s="294"/>
      <c r="E73" s="1180"/>
      <c r="F73" s="1181"/>
      <c r="G73" s="1182"/>
      <c r="H73" s="1186"/>
      <c r="I73" s="1187"/>
    </row>
    <row r="74" spans="1:9" s="1193" customFormat="1" ht="15.5">
      <c r="A74" s="212" t="str">
        <f>'ATT H-3D'!A262</f>
        <v>136a</v>
      </c>
      <c r="C74" s="211"/>
      <c r="D74" s="1177" t="s">
        <v>1234</v>
      </c>
      <c r="F74" s="498" t="s">
        <v>1871</v>
      </c>
      <c r="G74" s="1183" t="str">
        <f>'ATT H-3D'!F262</f>
        <v>Attachment 5, Line 136a</v>
      </c>
      <c r="H74" s="1186"/>
      <c r="I74" s="1151">
        <f>'ATT H-3D'!H262</f>
        <v>138971.07133869504</v>
      </c>
    </row>
    <row r="75" spans="1:9" s="1193" customFormat="1" ht="15.5">
      <c r="A75" s="212" t="str">
        <f>'ATT H-3D'!A263</f>
        <v>136b</v>
      </c>
      <c r="C75" s="211"/>
      <c r="D75" s="1177" t="s">
        <v>1235</v>
      </c>
      <c r="F75" s="498" t="s">
        <v>1871</v>
      </c>
      <c r="G75" s="1183" t="str">
        <f>'ATT H-3D'!F263</f>
        <v>Attachment 5, Line 136b</v>
      </c>
      <c r="H75" s="1186"/>
      <c r="I75" s="1151">
        <f>'ATT H-3D'!H263</f>
        <v>-12065834.2608165</v>
      </c>
    </row>
    <row r="76" spans="1:9" s="1193" customFormat="1" ht="15.5">
      <c r="A76" s="212" t="str">
        <f>'ATT H-3D'!A264</f>
        <v>136c</v>
      </c>
      <c r="C76" s="211"/>
      <c r="D76" s="1177" t="s">
        <v>1237</v>
      </c>
      <c r="F76" s="498" t="s">
        <v>1871</v>
      </c>
      <c r="G76" s="1183" t="str">
        <f>'ATT H-3D'!F264</f>
        <v>Attachment 5, Line 136c</v>
      </c>
      <c r="H76" s="1186"/>
      <c r="I76" s="1151">
        <f>'ATT H-3D'!H264</f>
        <v>0</v>
      </c>
    </row>
    <row r="77" spans="1:9" s="152" customFormat="1" ht="15.5">
      <c r="A77" s="212" t="str">
        <f>'ATT H-3D'!A265</f>
        <v>136d</v>
      </c>
      <c r="B77" s="1193"/>
      <c r="C77" s="211"/>
      <c r="D77" s="1178" t="s">
        <v>1239</v>
      </c>
      <c r="E77" s="465"/>
      <c r="F77" s="466" t="s">
        <v>1871</v>
      </c>
      <c r="G77" s="1061" t="str">
        <f>'ATT H-3D'!F265</f>
        <v>Attachment 5, Line 136d</v>
      </c>
      <c r="H77" s="1189"/>
      <c r="I77" s="1416">
        <f>'ATT H-3D'!H265</f>
        <v>0</v>
      </c>
    </row>
    <row r="78" spans="1:9" s="1193" customFormat="1" ht="15.5">
      <c r="A78" s="212" t="str">
        <f>'ATT H-3D'!A266</f>
        <v>136e</v>
      </c>
      <c r="C78" s="211"/>
      <c r="D78" s="1177" t="s">
        <v>1241</v>
      </c>
      <c r="F78" s="498"/>
      <c r="G78" s="1172" t="str">
        <f>"(Line "&amp;A74&amp;" + "&amp;A75&amp;" + "&amp;A76&amp;" + "&amp;A77&amp;")"</f>
        <v>(Line 136a + 136b + 136c + 136d)</v>
      </c>
      <c r="H78" s="1186"/>
      <c r="I78" s="228">
        <f>SUM(I74:I77)</f>
        <v>-11926863.189477805</v>
      </c>
    </row>
    <row r="79" spans="1:9" s="152" customFormat="1" ht="15.5">
      <c r="A79" s="212" t="str">
        <f>'ATT H-3D'!A267</f>
        <v>136f</v>
      </c>
      <c r="B79" s="1173"/>
      <c r="C79" s="1193"/>
      <c r="D79" s="1179" t="s">
        <v>1254</v>
      </c>
      <c r="E79" s="1185"/>
      <c r="F79" s="458"/>
      <c r="G79" s="1176" t="str">
        <f>"(Line "&amp;A66&amp;")"</f>
        <v>(Line 132b)</v>
      </c>
      <c r="H79" s="1189"/>
      <c r="I79" s="1162">
        <f>I66</f>
        <v>1.3834128795739087</v>
      </c>
    </row>
    <row r="80" spans="1:9" s="152" customFormat="1" ht="15.5">
      <c r="A80" s="212" t="str">
        <f>'ATT H-3D'!A268</f>
        <v>136g</v>
      </c>
      <c r="B80" s="1173"/>
      <c r="C80" s="1193"/>
      <c r="D80" s="1177" t="s">
        <v>1042</v>
      </c>
      <c r="E80" s="1180" t="s">
        <v>85</v>
      </c>
      <c r="F80" s="1193"/>
      <c r="G80" s="1172" t="str">
        <f>"(Line "&amp;A78&amp;" * "&amp;A79&amp;")"</f>
        <v>(Line 136e * 136f)</v>
      </c>
      <c r="H80" s="1186"/>
      <c r="I80" s="1184">
        <f>+I78*I79</f>
        <v>-16499776.149239544</v>
      </c>
    </row>
    <row r="81" spans="1:9" s="152" customFormat="1" ht="15.5">
      <c r="A81" s="1173"/>
      <c r="B81" s="1173"/>
      <c r="C81" s="1173"/>
      <c r="D81" s="1171"/>
      <c r="E81" s="1171"/>
      <c r="F81" s="285"/>
      <c r="G81" s="284"/>
      <c r="H81" s="280"/>
      <c r="I81" s="1411"/>
    </row>
    <row r="82" spans="1:9" s="152" customFormat="1" ht="15.5">
      <c r="A82" s="212">
        <f>'ATT H-3D'!A270</f>
        <v>137</v>
      </c>
      <c r="B82" s="1237"/>
      <c r="C82" s="1193" t="s">
        <v>196</v>
      </c>
      <c r="D82" s="1193"/>
      <c r="E82" s="1171" t="s">
        <v>197</v>
      </c>
      <c r="F82" s="278"/>
      <c r="G82" s="1172" t="str">
        <f>"(Line "&amp;A65&amp;" * "&amp;A56&amp;" * (1-("&amp;A51&amp;" / "&amp;A54&amp;")))"</f>
        <v>(Line 132a * 127 * (1-(123 / 126)))</v>
      </c>
      <c r="H82" s="1171"/>
      <c r="I82" s="1412">
        <f>+I65*(1-I51/I54)*I56</f>
        <v>24135585.712864395</v>
      </c>
    </row>
    <row r="83" spans="1:9" s="152" customFormat="1" ht="15.5">
      <c r="A83" s="1173"/>
      <c r="B83" s="1173"/>
      <c r="C83" s="1173"/>
      <c r="D83" s="1177"/>
      <c r="E83" s="1180"/>
      <c r="F83" s="1194"/>
      <c r="G83" s="1183"/>
      <c r="H83" s="1186"/>
      <c r="I83" s="1415"/>
    </row>
    <row r="84" spans="1:9" s="152" customFormat="1" ht="16" thickBot="1">
      <c r="A84" s="212">
        <f>'ATT H-3D'!A272</f>
        <v>138</v>
      </c>
      <c r="B84" s="1237"/>
      <c r="C84" s="501" t="s">
        <v>198</v>
      </c>
      <c r="D84" s="300"/>
      <c r="E84" s="266"/>
      <c r="F84" s="301"/>
      <c r="G84" s="432" t="str">
        <f>"(Line "&amp;A71&amp;" + "&amp;A80&amp;" +"&amp;A82&amp;")"</f>
        <v>(Line 135 + 136g +137)</v>
      </c>
      <c r="H84" s="302"/>
      <c r="I84" s="1417">
        <f>+I82+I71+I80</f>
        <v>7502389.1144049726</v>
      </c>
    </row>
    <row r="85" spans="1:9" s="152" customFormat="1" ht="16" thickTop="1">
      <c r="A85" s="220"/>
      <c r="B85" s="220"/>
      <c r="C85" s="220"/>
      <c r="D85" s="284"/>
      <c r="E85" s="216"/>
      <c r="F85" s="204"/>
      <c r="G85" s="303"/>
      <c r="H85" s="304"/>
      <c r="I85" s="305"/>
    </row>
    <row r="86" spans="1:9" s="152" customFormat="1" ht="15.5"/>
    <row r="313" spans="1:6" ht="15.5">
      <c r="C313" s="8"/>
    </row>
    <row r="315" spans="1:6">
      <c r="A315" s="37"/>
      <c r="B315" s="37"/>
      <c r="C315" s="37"/>
      <c r="D315" s="37"/>
      <c r="E315" s="37"/>
      <c r="F315" s="37"/>
    </row>
    <row r="316" spans="1:6">
      <c r="A316" s="37"/>
      <c r="B316" s="37"/>
      <c r="C316" s="37"/>
      <c r="D316" s="37"/>
      <c r="E316" s="37"/>
      <c r="F316" s="37"/>
    </row>
    <row r="317" spans="1:6">
      <c r="A317" s="37"/>
      <c r="B317" s="37"/>
      <c r="C317" s="37"/>
      <c r="D317" s="37"/>
      <c r="E317" s="37"/>
      <c r="F317" s="37"/>
    </row>
    <row r="318" spans="1:6">
      <c r="A318" s="37"/>
      <c r="B318" s="37"/>
      <c r="C318" s="37"/>
      <c r="D318" s="37"/>
      <c r="E318" s="37"/>
      <c r="F318" s="37"/>
    </row>
    <row r="319" spans="1:6">
      <c r="A319" s="37"/>
      <c r="B319" s="37"/>
      <c r="C319" s="37"/>
      <c r="D319" s="37"/>
      <c r="E319" s="37"/>
      <c r="F319" s="37"/>
    </row>
    <row r="320" spans="1:6">
      <c r="A320" s="37"/>
      <c r="B320" s="37"/>
      <c r="C320" s="37"/>
      <c r="D320" s="37"/>
      <c r="E320" s="37"/>
      <c r="F320" s="37"/>
    </row>
    <row r="321" spans="1:6">
      <c r="A321" s="37"/>
      <c r="B321" s="37"/>
      <c r="C321" s="37"/>
      <c r="D321" s="37"/>
      <c r="E321" s="37"/>
      <c r="F321" s="37"/>
    </row>
    <row r="322" spans="1:6">
      <c r="A322" s="37"/>
      <c r="B322" s="37"/>
      <c r="C322" s="37"/>
      <c r="D322" s="37"/>
      <c r="E322" s="37"/>
      <c r="F322" s="37"/>
    </row>
    <row r="323" spans="1:6">
      <c r="A323" s="37"/>
      <c r="B323" s="37"/>
      <c r="C323" s="37"/>
      <c r="D323" s="37"/>
      <c r="E323" s="37"/>
      <c r="F323" s="37"/>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7"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310"/>
  <sheetViews>
    <sheetView topLeftCell="B1" zoomScale="82" zoomScaleNormal="82" zoomScaleSheetLayoutView="35" workbookViewId="0">
      <selection activeCell="Q222" sqref="Q222"/>
    </sheetView>
  </sheetViews>
  <sheetFormatPr defaultRowHeight="14.5"/>
  <cols>
    <col min="1" max="1" width="6.453125" customWidth="1"/>
    <col min="2" max="2" width="4.26953125" customWidth="1"/>
    <col min="3" max="3" width="60.54296875" customWidth="1"/>
    <col min="4" max="4" width="22.54296875" customWidth="1"/>
    <col min="5" max="5" width="14.1796875" customWidth="1"/>
    <col min="6" max="6" width="44.1796875" customWidth="1"/>
    <col min="7" max="7" width="19" customWidth="1"/>
    <col min="8" max="8" width="15.7265625" customWidth="1"/>
    <col min="9" max="9" width="18.26953125" customWidth="1"/>
    <col min="10" max="10" width="17.54296875" customWidth="1"/>
    <col min="11" max="11" width="14.54296875" customWidth="1"/>
    <col min="12" max="12" width="16.81640625" customWidth="1"/>
    <col min="13" max="19" width="14.54296875" customWidth="1"/>
    <col min="20" max="20" width="16" customWidth="1"/>
    <col min="21" max="21" width="14.7265625" customWidth="1"/>
    <col min="22" max="22" width="11.7265625" customWidth="1"/>
    <col min="23" max="23" width="13.81640625" customWidth="1"/>
    <col min="24" max="24" width="14.54296875" customWidth="1"/>
    <col min="25" max="25" width="22.1796875" customWidth="1"/>
    <col min="26" max="26" width="12.81640625" customWidth="1"/>
    <col min="27" max="27" width="14.81640625" customWidth="1"/>
    <col min="28" max="28" width="12.81640625" customWidth="1"/>
    <col min="29" max="29" width="16.1796875" customWidth="1"/>
  </cols>
  <sheetData>
    <row r="1" spans="1:20" ht="21" customHeight="1">
      <c r="A1" s="38"/>
      <c r="B1" s="39"/>
      <c r="D1" s="40"/>
      <c r="E1" s="41"/>
      <c r="F1" s="42"/>
      <c r="G1" s="1476" t="str">
        <f>'ATT H-3D'!$A$4</f>
        <v>Delmarva Power &amp; Light Company</v>
      </c>
      <c r="H1" s="34"/>
      <c r="I1" s="34"/>
      <c r="J1" s="34"/>
      <c r="K1" s="34"/>
      <c r="L1" s="34"/>
      <c r="M1" s="34"/>
      <c r="N1" s="34"/>
      <c r="O1" s="34"/>
      <c r="P1" s="34"/>
      <c r="Q1" s="34"/>
    </row>
    <row r="2" spans="1:20" ht="21" customHeight="1">
      <c r="A2" s="43"/>
      <c r="B2" s="39"/>
      <c r="D2" s="40"/>
      <c r="E2" s="41"/>
      <c r="F2" s="42"/>
      <c r="H2" s="34"/>
      <c r="I2" s="34"/>
      <c r="J2" s="34"/>
      <c r="K2" s="34"/>
      <c r="L2" s="34"/>
      <c r="M2" s="34"/>
      <c r="N2" s="34"/>
      <c r="O2" s="34"/>
      <c r="P2" s="34"/>
      <c r="Q2" s="44"/>
    </row>
    <row r="3" spans="1:20" ht="21" customHeight="1">
      <c r="A3" s="43"/>
      <c r="B3" s="39"/>
      <c r="D3" s="40"/>
      <c r="E3" s="41"/>
      <c r="F3" s="42"/>
      <c r="G3" s="45" t="s">
        <v>48</v>
      </c>
      <c r="H3" s="34"/>
      <c r="I3" s="34"/>
      <c r="J3" s="34"/>
      <c r="K3" s="34"/>
      <c r="L3" s="34"/>
      <c r="M3" s="34"/>
      <c r="N3" s="34"/>
      <c r="O3" s="34"/>
      <c r="P3" s="34"/>
      <c r="Q3" s="44"/>
    </row>
    <row r="4" spans="1:20" ht="20.5" thickBot="1">
      <c r="A4" s="46" t="s">
        <v>49</v>
      </c>
      <c r="B4" s="39"/>
      <c r="D4" s="40"/>
      <c r="E4" s="41"/>
      <c r="F4" s="42"/>
      <c r="G4" s="34"/>
      <c r="H4" s="34"/>
      <c r="I4" s="34"/>
      <c r="J4" s="34"/>
      <c r="K4" s="34"/>
      <c r="L4" s="34"/>
      <c r="M4" s="34"/>
      <c r="N4" s="34"/>
      <c r="O4" s="34"/>
      <c r="P4" s="34"/>
      <c r="Q4" s="34"/>
    </row>
    <row r="5" spans="1:20" ht="39" customHeight="1">
      <c r="A5" s="1882" t="s">
        <v>50</v>
      </c>
      <c r="B5" s="1883"/>
      <c r="C5" s="1883"/>
      <c r="D5" s="1883"/>
      <c r="E5" s="1883"/>
      <c r="F5" s="1884"/>
      <c r="G5" s="1468" t="s">
        <v>51</v>
      </c>
      <c r="H5" s="1468" t="s">
        <v>52</v>
      </c>
      <c r="I5" s="1468" t="s">
        <v>53</v>
      </c>
      <c r="J5" s="1885" t="s">
        <v>18</v>
      </c>
      <c r="K5" s="1913"/>
      <c r="L5" s="1913"/>
      <c r="M5" s="1913"/>
      <c r="N5" s="1913"/>
      <c r="O5" s="1913"/>
      <c r="P5" s="1913"/>
      <c r="Q5" s="1913"/>
      <c r="R5" s="1503"/>
      <c r="S5" s="1504"/>
    </row>
    <row r="6" spans="1:20" ht="15.5">
      <c r="A6" s="49"/>
      <c r="B6" s="50" t="s">
        <v>54</v>
      </c>
      <c r="C6" s="40"/>
      <c r="D6" s="51"/>
      <c r="E6" s="52"/>
      <c r="F6" s="53"/>
      <c r="G6" s="19"/>
      <c r="H6" s="19"/>
      <c r="I6" s="19"/>
      <c r="J6" s="1940"/>
      <c r="K6" s="1926"/>
      <c r="L6" s="1926"/>
      <c r="M6" s="1926"/>
      <c r="N6" s="1926"/>
      <c r="O6" s="1926"/>
      <c r="P6" s="1926"/>
      <c r="Q6" s="1926"/>
      <c r="R6" s="137"/>
      <c r="S6" s="1099"/>
      <c r="T6" s="1192"/>
    </row>
    <row r="7" spans="1:20" ht="15.75" customHeight="1">
      <c r="A7" s="54">
        <v>10</v>
      </c>
      <c r="B7" s="51"/>
      <c r="C7" s="55" t="s">
        <v>147</v>
      </c>
      <c r="D7" s="40"/>
      <c r="E7" s="56" t="s">
        <v>823</v>
      </c>
      <c r="F7" s="59" t="s">
        <v>994</v>
      </c>
      <c r="G7" s="57">
        <v>54650913</v>
      </c>
      <c r="H7" s="1499">
        <v>21189623</v>
      </c>
      <c r="I7" s="1499">
        <f>G7-H7</f>
        <v>33461290</v>
      </c>
      <c r="J7" s="1941" t="s">
        <v>71</v>
      </c>
      <c r="K7" s="1942"/>
      <c r="L7" s="1942"/>
      <c r="M7" s="1942"/>
      <c r="N7" s="1942"/>
      <c r="O7" s="1942"/>
      <c r="P7" s="1942"/>
      <c r="Q7" s="1942"/>
      <c r="R7" s="137"/>
      <c r="S7" s="1099"/>
    </row>
    <row r="8" spans="1:20" ht="15.5">
      <c r="A8" s="54">
        <v>11</v>
      </c>
      <c r="B8" s="51"/>
      <c r="C8" s="55" t="s">
        <v>293</v>
      </c>
      <c r="D8" s="40"/>
      <c r="E8" s="56" t="s">
        <v>823</v>
      </c>
      <c r="F8" s="59" t="s">
        <v>995</v>
      </c>
      <c r="G8" s="57">
        <v>32029511</v>
      </c>
      <c r="H8" s="1499">
        <v>26610118</v>
      </c>
      <c r="I8" s="1499">
        <f>G8-H8</f>
        <v>5419393</v>
      </c>
      <c r="J8" s="1941" t="s">
        <v>71</v>
      </c>
      <c r="K8" s="1942"/>
      <c r="L8" s="1942"/>
      <c r="M8" s="1942"/>
      <c r="N8" s="1942"/>
      <c r="O8" s="1942"/>
      <c r="P8" s="1942"/>
      <c r="Q8" s="1942"/>
      <c r="R8" s="137"/>
      <c r="S8" s="1099"/>
    </row>
    <row r="9" spans="1:20" ht="15.5">
      <c r="A9" s="54">
        <v>12</v>
      </c>
      <c r="B9" s="40"/>
      <c r="C9" s="55" t="s">
        <v>295</v>
      </c>
      <c r="D9" s="40"/>
      <c r="E9" s="56" t="s">
        <v>823</v>
      </c>
      <c r="F9" s="59" t="s">
        <v>996</v>
      </c>
      <c r="G9" s="57">
        <v>73932970</v>
      </c>
      <c r="H9" s="1499">
        <v>61423513</v>
      </c>
      <c r="I9" s="1499">
        <f>G9-H9</f>
        <v>12509457</v>
      </c>
      <c r="J9" s="1941" t="s">
        <v>71</v>
      </c>
      <c r="K9" s="1942"/>
      <c r="L9" s="1942"/>
      <c r="M9" s="1942"/>
      <c r="N9" s="1942"/>
      <c r="O9" s="1942"/>
      <c r="P9" s="1942"/>
      <c r="Q9" s="1942"/>
      <c r="R9" s="137"/>
      <c r="S9" s="1099"/>
    </row>
    <row r="10" spans="1:20" ht="15.5">
      <c r="A10" s="49"/>
      <c r="B10" s="50" t="s">
        <v>55</v>
      </c>
      <c r="C10" s="40"/>
      <c r="D10" s="40"/>
      <c r="E10" s="58"/>
      <c r="F10" s="59"/>
      <c r="G10" s="20"/>
      <c r="H10" s="34"/>
      <c r="I10" s="34"/>
      <c r="J10" s="1466"/>
      <c r="K10" s="1469"/>
      <c r="L10" s="1469"/>
      <c r="M10" s="1469"/>
      <c r="N10" s="1469"/>
      <c r="O10" s="1469"/>
      <c r="P10" s="1469"/>
      <c r="Q10" s="1469"/>
      <c r="R10" s="137"/>
      <c r="S10" s="1099"/>
    </row>
    <row r="11" spans="1:20" ht="15.5">
      <c r="A11" s="54">
        <v>24</v>
      </c>
      <c r="B11" s="39"/>
      <c r="C11" s="55" t="s">
        <v>305</v>
      </c>
      <c r="D11" s="40"/>
      <c r="E11" s="56" t="s">
        <v>829</v>
      </c>
      <c r="F11" s="59" t="s">
        <v>997</v>
      </c>
      <c r="G11" s="57">
        <v>180037225</v>
      </c>
      <c r="H11" s="1499">
        <v>149574926</v>
      </c>
      <c r="I11" s="1499">
        <f>G11-H11</f>
        <v>30462299</v>
      </c>
      <c r="J11" s="1941" t="s">
        <v>71</v>
      </c>
      <c r="K11" s="1942"/>
      <c r="L11" s="1942"/>
      <c r="M11" s="1942"/>
      <c r="N11" s="1942"/>
      <c r="O11" s="1942"/>
      <c r="P11" s="1942"/>
      <c r="Q11" s="1942"/>
      <c r="R11" s="137"/>
      <c r="S11" s="1099"/>
    </row>
    <row r="12" spans="1:20" ht="15.5">
      <c r="A12" s="61"/>
      <c r="B12" s="62" t="s">
        <v>56</v>
      </c>
      <c r="C12" s="63"/>
      <c r="D12" s="64"/>
      <c r="E12" s="65"/>
      <c r="F12" s="66"/>
      <c r="G12" s="20"/>
      <c r="H12" s="34"/>
      <c r="I12" s="34"/>
      <c r="J12" s="1466"/>
      <c r="K12" s="1469"/>
      <c r="L12" s="1469"/>
      <c r="M12" s="1469"/>
      <c r="N12" s="1469"/>
      <c r="O12" s="1469"/>
      <c r="P12" s="1469"/>
      <c r="Q12" s="1469"/>
      <c r="R12" s="137"/>
      <c r="S12" s="1099"/>
    </row>
    <row r="13" spans="1:20" ht="15.75" customHeight="1">
      <c r="A13" s="54">
        <v>41</v>
      </c>
      <c r="B13" s="64"/>
      <c r="C13" s="55" t="s">
        <v>318</v>
      </c>
      <c r="D13" s="67"/>
      <c r="E13" s="56" t="s">
        <v>831</v>
      </c>
      <c r="F13" s="59" t="s">
        <v>992</v>
      </c>
      <c r="G13" s="57">
        <v>1691783</v>
      </c>
      <c r="H13" s="1499">
        <v>1542724</v>
      </c>
      <c r="I13" s="1499">
        <f>G13-H13</f>
        <v>149059</v>
      </c>
      <c r="J13" s="1941" t="s">
        <v>71</v>
      </c>
      <c r="K13" s="1942"/>
      <c r="L13" s="1942"/>
      <c r="M13" s="1942"/>
      <c r="N13" s="1942"/>
      <c r="O13" s="1942"/>
      <c r="P13" s="1942"/>
      <c r="Q13" s="1942"/>
      <c r="R13" s="137"/>
      <c r="S13" s="1099"/>
    </row>
    <row r="14" spans="1:20" ht="15.5">
      <c r="A14" s="54"/>
      <c r="B14" s="62" t="s">
        <v>57</v>
      </c>
      <c r="C14" s="68"/>
      <c r="D14" s="64"/>
      <c r="E14" s="69"/>
      <c r="F14" s="70"/>
      <c r="G14" s="20"/>
      <c r="H14" s="34"/>
      <c r="I14" s="34"/>
      <c r="J14" s="1466"/>
      <c r="K14" s="1469"/>
      <c r="L14" s="1469"/>
      <c r="M14" s="1469"/>
      <c r="N14" s="1469"/>
      <c r="O14" s="1469"/>
      <c r="P14" s="1469"/>
      <c r="Q14" s="1469"/>
      <c r="R14" s="137"/>
      <c r="S14" s="1099"/>
    </row>
    <row r="15" spans="1:20" ht="15.75" customHeight="1">
      <c r="A15" s="61">
        <v>47</v>
      </c>
      <c r="B15" s="64"/>
      <c r="C15" s="68" t="s">
        <v>329</v>
      </c>
      <c r="D15" s="71"/>
      <c r="E15" s="69" t="s">
        <v>823</v>
      </c>
      <c r="F15" s="72" t="s">
        <v>998</v>
      </c>
      <c r="G15" s="57">
        <v>0</v>
      </c>
      <c r="H15" s="1499">
        <v>0</v>
      </c>
      <c r="I15" s="1499">
        <f>G15-H15</f>
        <v>0</v>
      </c>
      <c r="J15" s="1941"/>
      <c r="K15" s="1942"/>
      <c r="L15" s="1942"/>
      <c r="M15" s="1942"/>
      <c r="N15" s="1942"/>
      <c r="O15" s="1942"/>
      <c r="P15" s="1942"/>
      <c r="Q15" s="1942"/>
      <c r="R15" s="137"/>
      <c r="S15" s="1099"/>
    </row>
    <row r="16" spans="1:20" ht="15.5">
      <c r="A16" s="54"/>
      <c r="B16" s="50" t="s">
        <v>58</v>
      </c>
      <c r="C16" s="68"/>
      <c r="D16" s="71"/>
      <c r="E16" s="58"/>
      <c r="F16" s="72"/>
      <c r="G16" s="20"/>
      <c r="H16" s="34"/>
      <c r="I16" s="34"/>
      <c r="J16" s="1466"/>
      <c r="K16" s="1469"/>
      <c r="L16" s="1469"/>
      <c r="M16" s="1469"/>
      <c r="N16" s="1469"/>
      <c r="O16" s="1469"/>
      <c r="P16" s="1469"/>
      <c r="Q16" s="1469"/>
      <c r="R16" s="137"/>
      <c r="S16" s="1099"/>
    </row>
    <row r="17" spans="1:19" ht="15.5">
      <c r="A17" s="54">
        <v>65</v>
      </c>
      <c r="B17" s="50"/>
      <c r="C17" s="55" t="s">
        <v>351</v>
      </c>
      <c r="D17" s="71"/>
      <c r="E17" s="56" t="s">
        <v>823</v>
      </c>
      <c r="F17" s="59" t="s">
        <v>352</v>
      </c>
      <c r="G17" s="57">
        <v>0</v>
      </c>
      <c r="H17" s="1499">
        <v>0</v>
      </c>
      <c r="I17" s="1499">
        <f>G17-H17</f>
        <v>0</v>
      </c>
      <c r="J17" s="1466"/>
      <c r="K17" s="1469"/>
      <c r="L17" s="1469"/>
      <c r="M17" s="1469"/>
      <c r="N17" s="1469"/>
      <c r="O17" s="1469"/>
      <c r="P17" s="1469"/>
      <c r="Q17" s="1469"/>
      <c r="R17" s="137"/>
      <c r="S17" s="1099"/>
    </row>
    <row r="18" spans="1:19" s="1192" customFormat="1" ht="16.5" customHeight="1" thickBot="1">
      <c r="A18" s="1487">
        <v>67</v>
      </c>
      <c r="B18" s="1500"/>
      <c r="C18" s="1501" t="s">
        <v>353</v>
      </c>
      <c r="D18" s="105"/>
      <c r="E18" s="1488" t="s">
        <v>823</v>
      </c>
      <c r="F18" s="1502" t="s">
        <v>294</v>
      </c>
      <c r="G18" s="83">
        <v>0</v>
      </c>
      <c r="H18" s="84">
        <v>0</v>
      </c>
      <c r="I18" s="84">
        <f>G18-H18</f>
        <v>0</v>
      </c>
      <c r="J18" s="1943"/>
      <c r="K18" s="1944"/>
      <c r="L18" s="1944"/>
      <c r="M18" s="1944"/>
      <c r="N18" s="1944"/>
      <c r="O18" s="1944"/>
      <c r="P18" s="1944"/>
      <c r="Q18" s="1944"/>
      <c r="R18" s="90"/>
      <c r="S18" s="92"/>
    </row>
    <row r="19" spans="1:19">
      <c r="G19" s="34"/>
      <c r="H19" s="34"/>
      <c r="I19" s="34"/>
      <c r="J19" s="34"/>
      <c r="K19" s="34"/>
      <c r="L19" s="34"/>
      <c r="M19" s="34"/>
      <c r="N19" s="34"/>
      <c r="O19" s="34"/>
      <c r="P19" s="34"/>
      <c r="Q19" s="34"/>
    </row>
    <row r="20" spans="1:19">
      <c r="G20" s="34"/>
      <c r="H20" s="34"/>
      <c r="I20" s="34"/>
      <c r="J20" s="34"/>
      <c r="K20" s="34"/>
      <c r="L20" s="34"/>
      <c r="M20" s="34"/>
      <c r="N20" s="34"/>
      <c r="O20" s="34"/>
      <c r="P20" s="34"/>
      <c r="Q20" s="34"/>
    </row>
    <row r="21" spans="1:19" ht="20.5" thickBot="1">
      <c r="A21" s="46" t="s">
        <v>60</v>
      </c>
      <c r="G21" s="34"/>
      <c r="H21" s="34"/>
      <c r="I21" s="34"/>
      <c r="J21" s="34"/>
      <c r="K21" s="34"/>
      <c r="L21" s="34"/>
      <c r="M21" s="34"/>
      <c r="N21" s="34"/>
      <c r="O21" s="34"/>
      <c r="P21" s="34"/>
      <c r="Q21" s="34"/>
    </row>
    <row r="22" spans="1:19" ht="50.25" customHeight="1">
      <c r="A22" s="1882" t="s">
        <v>50</v>
      </c>
      <c r="B22" s="1883"/>
      <c r="C22" s="1883"/>
      <c r="D22" s="1883"/>
      <c r="E22" s="1883"/>
      <c r="F22" s="1884"/>
      <c r="G22" s="48" t="s">
        <v>51</v>
      </c>
      <c r="H22" s="48" t="s">
        <v>61</v>
      </c>
      <c r="I22" s="48" t="s">
        <v>62</v>
      </c>
      <c r="J22" s="1885" t="s">
        <v>18</v>
      </c>
      <c r="K22" s="1913"/>
      <c r="L22" s="1913"/>
      <c r="M22" s="1913"/>
      <c r="N22" s="1913"/>
      <c r="O22" s="1913"/>
      <c r="P22" s="1913"/>
      <c r="Q22" s="1914"/>
    </row>
    <row r="23" spans="1:19" ht="33.75" customHeight="1">
      <c r="A23" s="54">
        <v>28</v>
      </c>
      <c r="B23" s="73"/>
      <c r="C23" s="62" t="s">
        <v>309</v>
      </c>
      <c r="D23" s="85"/>
      <c r="E23" s="56" t="s">
        <v>66</v>
      </c>
      <c r="F23" s="94" t="s">
        <v>999</v>
      </c>
      <c r="G23" s="1499">
        <v>7861982</v>
      </c>
      <c r="H23" s="1499">
        <v>0</v>
      </c>
      <c r="I23" s="1499">
        <f>G23-H23</f>
        <v>7861982</v>
      </c>
      <c r="J23" s="1926" t="s">
        <v>63</v>
      </c>
      <c r="K23" s="1926"/>
      <c r="L23" s="1926"/>
      <c r="M23" s="1926"/>
      <c r="N23" s="1926"/>
      <c r="O23" s="1926"/>
      <c r="P23" s="1926"/>
      <c r="Q23" s="1927"/>
    </row>
    <row r="24" spans="1:19" ht="15.75" customHeight="1">
      <c r="A24" s="54"/>
      <c r="B24" s="50" t="s">
        <v>64</v>
      </c>
      <c r="C24" s="64"/>
      <c r="D24" s="71"/>
      <c r="E24" s="87"/>
      <c r="F24" s="66"/>
      <c r="G24" s="25"/>
      <c r="H24" s="25"/>
      <c r="I24" s="25"/>
      <c r="J24" s="1918"/>
      <c r="K24" s="1926"/>
      <c r="L24" s="1926"/>
      <c r="M24" s="1926"/>
      <c r="N24" s="1926"/>
      <c r="O24" s="1926"/>
      <c r="P24" s="1926"/>
      <c r="Q24" s="1927"/>
    </row>
    <row r="25" spans="1:19" ht="15.5">
      <c r="A25" s="54"/>
      <c r="B25" s="77"/>
      <c r="C25" s="55"/>
      <c r="D25" s="71"/>
      <c r="E25" s="56"/>
      <c r="F25" s="86"/>
      <c r="G25" s="19"/>
      <c r="H25" s="88"/>
      <c r="I25" s="19"/>
      <c r="J25" s="19">
        <v>1</v>
      </c>
      <c r="K25" s="19"/>
      <c r="L25" s="19"/>
      <c r="M25" s="19"/>
      <c r="N25" s="19"/>
      <c r="O25" s="19"/>
      <c r="P25" s="19"/>
      <c r="Q25" s="21"/>
    </row>
    <row r="26" spans="1:19" ht="15.5">
      <c r="A26" s="54"/>
      <c r="B26" s="77"/>
      <c r="C26" s="55"/>
      <c r="D26" s="71"/>
      <c r="E26" s="56"/>
      <c r="F26" s="86"/>
      <c r="G26" s="19"/>
      <c r="H26" s="31"/>
      <c r="I26" s="19"/>
      <c r="J26" s="19">
        <v>2</v>
      </c>
      <c r="K26" s="19"/>
      <c r="L26" s="19"/>
      <c r="M26" s="19"/>
      <c r="N26" s="19"/>
      <c r="O26" s="19"/>
      <c r="P26" s="19"/>
      <c r="Q26" s="21"/>
    </row>
    <row r="27" spans="1:19" ht="15.5">
      <c r="A27" s="54"/>
      <c r="B27" s="77"/>
      <c r="C27" s="55"/>
      <c r="D27" s="71"/>
      <c r="E27" s="56"/>
      <c r="F27" s="86"/>
      <c r="G27" s="19"/>
      <c r="H27" s="31"/>
      <c r="I27" s="19"/>
      <c r="J27" s="19">
        <v>3</v>
      </c>
      <c r="K27" s="19"/>
      <c r="L27" s="19"/>
      <c r="M27" s="19"/>
      <c r="N27" s="19"/>
      <c r="O27" s="19"/>
      <c r="P27" s="19"/>
      <c r="Q27" s="21"/>
    </row>
    <row r="28" spans="1:19" ht="15.5">
      <c r="A28" s="54"/>
      <c r="B28" s="77"/>
      <c r="C28" s="55"/>
      <c r="D28" s="71"/>
      <c r="E28" s="56"/>
      <c r="F28" s="86"/>
      <c r="G28" s="19"/>
      <c r="H28" s="31"/>
      <c r="I28" s="19"/>
      <c r="J28" s="19">
        <v>4</v>
      </c>
      <c r="K28" s="19"/>
      <c r="L28" s="19"/>
      <c r="M28" s="19"/>
      <c r="N28" s="19"/>
      <c r="O28" s="19"/>
      <c r="P28" s="19"/>
      <c r="Q28" s="21"/>
    </row>
    <row r="29" spans="1:19" ht="15" thickBot="1">
      <c r="A29" s="89"/>
      <c r="B29" s="90"/>
      <c r="C29" s="90"/>
      <c r="D29" s="91"/>
      <c r="E29" s="90"/>
      <c r="F29" s="92"/>
      <c r="G29" s="29"/>
      <c r="H29" s="93"/>
      <c r="I29" s="29"/>
      <c r="J29" s="29">
        <v>5</v>
      </c>
      <c r="K29" s="29"/>
      <c r="L29" s="29"/>
      <c r="M29" s="29"/>
      <c r="N29" s="29"/>
      <c r="O29" s="29"/>
      <c r="P29" s="29"/>
      <c r="Q29" s="30"/>
    </row>
    <row r="30" spans="1:19" ht="20">
      <c r="A30" s="46" t="s">
        <v>68</v>
      </c>
      <c r="G30" s="34"/>
      <c r="H30" s="34"/>
      <c r="I30" s="34"/>
      <c r="J30" s="34"/>
      <c r="K30" s="34"/>
      <c r="L30" s="34"/>
      <c r="M30" s="34"/>
      <c r="N30" s="34"/>
      <c r="O30" s="34"/>
      <c r="P30" s="34"/>
      <c r="Q30" s="34"/>
    </row>
    <row r="31" spans="1:19" ht="61.5" customHeight="1">
      <c r="A31" s="1882" t="s">
        <v>50</v>
      </c>
      <c r="B31" s="1883"/>
      <c r="C31" s="1883"/>
      <c r="D31" s="1883"/>
      <c r="E31" s="1883"/>
      <c r="F31" s="1884"/>
      <c r="G31" s="48" t="s">
        <v>51</v>
      </c>
      <c r="H31" s="48" t="s">
        <v>69</v>
      </c>
      <c r="I31" s="48" t="s">
        <v>70</v>
      </c>
      <c r="J31" s="1885" t="s">
        <v>18</v>
      </c>
      <c r="K31" s="1913"/>
      <c r="L31" s="1913"/>
      <c r="M31" s="1913"/>
      <c r="N31" s="1913"/>
      <c r="O31" s="1913"/>
      <c r="P31" s="1913"/>
      <c r="Q31" s="1914"/>
    </row>
    <row r="32" spans="1:19" ht="15.5">
      <c r="A32" s="49"/>
      <c r="B32" s="50" t="s">
        <v>54</v>
      </c>
      <c r="C32" s="63"/>
      <c r="D32" s="51"/>
      <c r="E32" s="52"/>
      <c r="F32" s="53"/>
      <c r="G32" s="19"/>
      <c r="H32" s="19"/>
      <c r="I32" s="19"/>
      <c r="J32" s="1918"/>
      <c r="K32" s="1926"/>
      <c r="L32" s="1926"/>
      <c r="M32" s="1926"/>
      <c r="N32" s="1926"/>
      <c r="O32" s="1926"/>
      <c r="P32" s="1926"/>
      <c r="Q32" s="1927"/>
    </row>
    <row r="33" spans="1:19" ht="15.75" customHeight="1">
      <c r="A33" s="54">
        <v>6</v>
      </c>
      <c r="B33" s="51"/>
      <c r="C33" s="55" t="s">
        <v>145</v>
      </c>
      <c r="D33" s="40"/>
      <c r="E33" s="56" t="s">
        <v>323</v>
      </c>
      <c r="F33" s="86" t="s">
        <v>993</v>
      </c>
      <c r="G33" s="1505">
        <v>4732467666</v>
      </c>
      <c r="H33" s="35">
        <v>0</v>
      </c>
      <c r="I33" s="1499">
        <v>0</v>
      </c>
      <c r="J33" s="1926"/>
      <c r="K33" s="1926"/>
      <c r="L33" s="1926"/>
      <c r="M33" s="1926"/>
      <c r="N33" s="1926"/>
      <c r="O33" s="1926"/>
      <c r="P33" s="1926"/>
      <c r="Q33" s="1927"/>
    </row>
    <row r="34" spans="1:19" ht="15.5">
      <c r="A34" s="49"/>
      <c r="B34" s="50" t="s">
        <v>55</v>
      </c>
      <c r="C34" s="63"/>
      <c r="D34" s="40"/>
      <c r="E34" s="58"/>
      <c r="F34" s="94"/>
      <c r="G34" s="1505"/>
      <c r="H34" s="34"/>
      <c r="I34" s="34"/>
      <c r="J34" s="1926"/>
      <c r="K34" s="1926"/>
      <c r="L34" s="1926"/>
      <c r="M34" s="1926"/>
      <c r="N34" s="1926"/>
      <c r="O34" s="1926"/>
      <c r="P34" s="1926"/>
      <c r="Q34" s="1927"/>
    </row>
    <row r="35" spans="1:19" ht="15.5">
      <c r="A35" s="54">
        <v>19</v>
      </c>
      <c r="B35" s="39"/>
      <c r="C35" s="55" t="s">
        <v>302</v>
      </c>
      <c r="D35" s="40"/>
      <c r="E35" s="56" t="s">
        <v>323</v>
      </c>
      <c r="F35" s="94" t="s">
        <v>1000</v>
      </c>
      <c r="G35" s="1505">
        <v>1803909099</v>
      </c>
      <c r="H35" s="35">
        <v>0</v>
      </c>
      <c r="I35" s="35">
        <v>0</v>
      </c>
      <c r="J35" s="1926" t="s">
        <v>71</v>
      </c>
      <c r="K35" s="1926"/>
      <c r="L35" s="1926"/>
      <c r="M35" s="1926"/>
      <c r="N35" s="1926"/>
      <c r="O35" s="1926"/>
      <c r="P35" s="1926"/>
      <c r="Q35" s="1927"/>
    </row>
    <row r="36" spans="1:19" ht="15.5">
      <c r="A36" s="49">
        <v>24</v>
      </c>
      <c r="B36" s="51"/>
      <c r="C36" s="63" t="s">
        <v>305</v>
      </c>
      <c r="D36" s="51"/>
      <c r="E36" s="75" t="s">
        <v>829</v>
      </c>
      <c r="F36" s="98" t="s">
        <v>796</v>
      </c>
      <c r="G36" s="1505">
        <v>149574926</v>
      </c>
      <c r="H36" s="35">
        <v>0</v>
      </c>
      <c r="I36" s="35">
        <v>0</v>
      </c>
      <c r="J36" s="1926"/>
      <c r="K36" s="1926"/>
      <c r="L36" s="1926"/>
      <c r="M36" s="1926"/>
      <c r="N36" s="1926"/>
      <c r="O36" s="1926"/>
      <c r="P36" s="1926"/>
      <c r="Q36" s="1927"/>
    </row>
    <row r="37" spans="1:19" ht="15.5">
      <c r="A37" s="54"/>
      <c r="B37" s="50" t="s">
        <v>72</v>
      </c>
      <c r="C37" s="62"/>
      <c r="D37" s="96"/>
      <c r="E37" s="97"/>
      <c r="F37" s="98"/>
      <c r="G37" s="34"/>
      <c r="H37" s="34"/>
      <c r="I37" s="34"/>
      <c r="J37" s="19"/>
      <c r="K37" s="19"/>
      <c r="L37" s="19"/>
      <c r="M37" s="19"/>
      <c r="N37" s="19"/>
      <c r="O37" s="19"/>
      <c r="P37" s="19"/>
      <c r="Q37" s="21"/>
    </row>
    <row r="38" spans="1:19" ht="16" thickBot="1">
      <c r="A38" s="78">
        <v>30</v>
      </c>
      <c r="B38" s="99"/>
      <c r="C38" s="80" t="s">
        <v>311</v>
      </c>
      <c r="D38" s="100"/>
      <c r="E38" s="82" t="s">
        <v>323</v>
      </c>
      <c r="F38" s="563" t="s">
        <v>1001</v>
      </c>
      <c r="G38" s="1801">
        <v>421664575</v>
      </c>
      <c r="H38" s="102">
        <v>0</v>
      </c>
      <c r="I38" s="102">
        <v>0</v>
      </c>
      <c r="J38" s="1911" t="s">
        <v>71</v>
      </c>
      <c r="K38" s="1911"/>
      <c r="L38" s="1911"/>
      <c r="M38" s="1911"/>
      <c r="N38" s="1911"/>
      <c r="O38" s="1911"/>
      <c r="P38" s="1911"/>
      <c r="Q38" s="1912"/>
    </row>
    <row r="39" spans="1:19">
      <c r="G39" s="34"/>
      <c r="H39" s="34"/>
      <c r="I39" s="34"/>
      <c r="J39" s="34"/>
      <c r="K39" s="34"/>
      <c r="L39" s="34"/>
      <c r="M39" s="34"/>
      <c r="N39" s="34"/>
      <c r="O39" s="34"/>
      <c r="P39" s="34"/>
      <c r="Q39" s="34"/>
    </row>
    <row r="40" spans="1:19">
      <c r="G40" s="34"/>
      <c r="H40" s="34"/>
      <c r="I40" s="34"/>
      <c r="J40" s="34"/>
      <c r="K40" s="34"/>
      <c r="L40" s="34"/>
      <c r="M40" s="34"/>
      <c r="N40" s="34"/>
      <c r="O40" s="34"/>
      <c r="P40" s="34"/>
      <c r="Q40" s="34"/>
    </row>
    <row r="41" spans="1:19" ht="20.5" thickBot="1">
      <c r="A41" s="46" t="s">
        <v>73</v>
      </c>
      <c r="G41" s="34"/>
      <c r="H41" s="34"/>
      <c r="I41" s="34"/>
      <c r="J41" s="34"/>
      <c r="K41" s="34"/>
      <c r="L41" s="34"/>
      <c r="M41" s="34"/>
      <c r="N41" s="34"/>
      <c r="O41" s="34"/>
      <c r="P41" s="34"/>
      <c r="Q41" s="34"/>
      <c r="S41" s="941"/>
    </row>
    <row r="42" spans="1:19" ht="18">
      <c r="A42" s="1882" t="s">
        <v>50</v>
      </c>
      <c r="B42" s="1883"/>
      <c r="C42" s="1883"/>
      <c r="D42" s="1883"/>
      <c r="E42" s="1883"/>
      <c r="F42" s="1884"/>
      <c r="G42" s="48" t="s">
        <v>51</v>
      </c>
      <c r="H42" s="48" t="s">
        <v>74</v>
      </c>
      <c r="I42" s="48"/>
      <c r="J42" s="1885" t="s">
        <v>18</v>
      </c>
      <c r="K42" s="1913"/>
      <c r="L42" s="1913"/>
      <c r="M42" s="1913"/>
      <c r="N42" s="1913"/>
      <c r="O42" s="1913"/>
      <c r="P42" s="1913"/>
      <c r="Q42" s="1914"/>
    </row>
    <row r="43" spans="1:19" ht="15.5">
      <c r="A43" s="54"/>
      <c r="B43" s="50" t="s">
        <v>58</v>
      </c>
      <c r="C43" s="71"/>
      <c r="D43" s="71"/>
      <c r="E43" s="103"/>
      <c r="F43" s="72"/>
      <c r="G43" s="19"/>
      <c r="H43" s="19"/>
      <c r="I43" s="19"/>
      <c r="J43" s="1918"/>
      <c r="K43" s="1926"/>
      <c r="L43" s="1926"/>
      <c r="M43" s="1926"/>
      <c r="N43" s="1926"/>
      <c r="O43" s="1926"/>
      <c r="P43" s="1926"/>
      <c r="Q43" s="1927"/>
    </row>
    <row r="44" spans="1:19" ht="15.5">
      <c r="A44" s="78">
        <v>73</v>
      </c>
      <c r="B44" s="104"/>
      <c r="C44" s="80" t="s">
        <v>364</v>
      </c>
      <c r="D44" s="105"/>
      <c r="E44" s="82" t="s">
        <v>837</v>
      </c>
      <c r="F44" s="563" t="s">
        <v>365</v>
      </c>
      <c r="G44" s="1506">
        <f>201782+37640</f>
        <v>239422</v>
      </c>
      <c r="H44" s="1506">
        <f>G44</f>
        <v>239422</v>
      </c>
      <c r="I44" s="102"/>
      <c r="J44" s="1911" t="s">
        <v>71</v>
      </c>
      <c r="K44" s="1911"/>
      <c r="L44" s="1911"/>
      <c r="M44" s="1911"/>
      <c r="N44" s="1911"/>
      <c r="O44" s="1911"/>
      <c r="P44" s="1911"/>
      <c r="Q44" s="1912"/>
    </row>
    <row r="45" spans="1:19">
      <c r="G45" s="34"/>
      <c r="H45" s="34"/>
      <c r="I45" s="34"/>
      <c r="J45" s="34"/>
      <c r="K45" s="34"/>
      <c r="L45" s="34"/>
      <c r="M45" s="34"/>
      <c r="N45" s="34"/>
      <c r="O45" s="34"/>
      <c r="P45" s="34"/>
      <c r="Q45" s="34"/>
    </row>
    <row r="46" spans="1:19">
      <c r="G46" s="34"/>
      <c r="H46" s="34"/>
      <c r="I46" s="34"/>
      <c r="J46" s="34"/>
      <c r="K46" s="34"/>
      <c r="L46" s="34"/>
      <c r="M46" s="34"/>
      <c r="N46" s="34"/>
      <c r="O46" s="34"/>
      <c r="P46" s="34"/>
      <c r="Q46" s="34"/>
    </row>
    <row r="47" spans="1:19" ht="20.5" thickBot="1">
      <c r="A47" s="46" t="s">
        <v>75</v>
      </c>
      <c r="G47" s="34"/>
      <c r="H47" s="34"/>
      <c r="I47" s="34"/>
      <c r="J47" s="34"/>
      <c r="K47" s="34"/>
      <c r="L47" s="34"/>
      <c r="M47" s="34"/>
      <c r="N47" s="34"/>
      <c r="O47" s="34"/>
      <c r="P47" s="34"/>
      <c r="Q47" s="34"/>
    </row>
    <row r="48" spans="1:19" ht="51" customHeight="1">
      <c r="A48" s="1882" t="s">
        <v>50</v>
      </c>
      <c r="B48" s="1883"/>
      <c r="C48" s="1883"/>
      <c r="D48" s="1883"/>
      <c r="E48" s="1883"/>
      <c r="F48" s="1884"/>
      <c r="G48" s="48" t="s">
        <v>51</v>
      </c>
      <c r="H48" s="48" t="s">
        <v>61</v>
      </c>
      <c r="I48" s="48" t="s">
        <v>62</v>
      </c>
      <c r="J48" s="1885" t="s">
        <v>18</v>
      </c>
      <c r="K48" s="1913"/>
      <c r="L48" s="1913"/>
      <c r="M48" s="1913"/>
      <c r="N48" s="1913"/>
      <c r="O48" s="1913"/>
      <c r="P48" s="1913"/>
      <c r="Q48" s="1914"/>
    </row>
    <row r="49" spans="1:17" ht="15.5">
      <c r="A49" s="54"/>
      <c r="B49" s="50" t="s">
        <v>58</v>
      </c>
      <c r="C49" s="71"/>
      <c r="D49" s="71"/>
      <c r="E49" s="103"/>
      <c r="F49" s="72"/>
      <c r="G49" s="19"/>
      <c r="H49" s="19"/>
      <c r="I49" s="19"/>
      <c r="J49" s="19"/>
      <c r="K49" s="19"/>
      <c r="L49" s="19"/>
      <c r="M49" s="19"/>
      <c r="N49" s="19"/>
      <c r="O49" s="19"/>
      <c r="P49" s="19"/>
      <c r="Q49" s="21"/>
    </row>
    <row r="50" spans="1:17" ht="15.5">
      <c r="A50" s="54">
        <v>70</v>
      </c>
      <c r="B50" s="73"/>
      <c r="C50" s="55" t="s">
        <v>359</v>
      </c>
      <c r="D50" s="96"/>
      <c r="E50" s="56" t="s">
        <v>836</v>
      </c>
      <c r="F50" s="86" t="s">
        <v>67</v>
      </c>
      <c r="G50" s="57">
        <v>2200314</v>
      </c>
      <c r="H50" s="1499">
        <v>252312</v>
      </c>
      <c r="I50" s="1499">
        <f>G50-H50</f>
        <v>1948002</v>
      </c>
      <c r="J50" s="106" t="s">
        <v>1918</v>
      </c>
      <c r="K50" s="107"/>
      <c r="L50" s="107"/>
      <c r="M50" s="107"/>
      <c r="N50" s="107"/>
      <c r="O50" s="107"/>
      <c r="P50" s="107"/>
      <c r="Q50" s="108"/>
    </row>
    <row r="51" spans="1:17" ht="15.5">
      <c r="A51" s="54"/>
      <c r="B51" s="50" t="s">
        <v>64</v>
      </c>
      <c r="C51" s="68"/>
      <c r="D51" s="71"/>
      <c r="E51" s="97"/>
      <c r="F51" s="95"/>
      <c r="G51" s="1486"/>
      <c r="H51" s="1507"/>
      <c r="I51" s="1486"/>
      <c r="J51" s="19"/>
      <c r="K51" s="19"/>
      <c r="L51" s="19"/>
      <c r="M51" s="19"/>
      <c r="N51" s="19"/>
      <c r="O51" s="19"/>
      <c r="P51" s="19"/>
      <c r="Q51" s="21"/>
    </row>
    <row r="52" spans="1:17" ht="16" thickBot="1">
      <c r="A52" s="78">
        <v>77</v>
      </c>
      <c r="B52" s="79"/>
      <c r="C52" s="80" t="s">
        <v>65</v>
      </c>
      <c r="D52" s="109"/>
      <c r="E52" s="82" t="s">
        <v>839</v>
      </c>
      <c r="F52" s="101" t="s">
        <v>67</v>
      </c>
      <c r="G52" s="84">
        <v>2200314</v>
      </c>
      <c r="H52" s="84">
        <v>252312</v>
      </c>
      <c r="I52" s="84">
        <f>G52-H52</f>
        <v>1948002</v>
      </c>
      <c r="J52" s="1937" t="s">
        <v>1918</v>
      </c>
      <c r="K52" s="1937"/>
      <c r="L52" s="1937"/>
      <c r="M52" s="1937"/>
      <c r="N52" s="1937"/>
      <c r="O52" s="1937"/>
      <c r="P52" s="1937"/>
      <c r="Q52" s="1938"/>
    </row>
    <row r="53" spans="1:17">
      <c r="G53" s="987"/>
      <c r="H53" s="987"/>
      <c r="I53" s="987"/>
      <c r="J53" s="34"/>
      <c r="K53" s="34"/>
      <c r="L53" s="34"/>
      <c r="M53" s="34"/>
      <c r="N53" s="34"/>
      <c r="O53" s="34"/>
      <c r="P53" s="34"/>
      <c r="Q53" s="34"/>
    </row>
    <row r="54" spans="1:17">
      <c r="G54" s="34"/>
      <c r="H54" s="34"/>
      <c r="I54" s="34"/>
      <c r="J54" s="34"/>
      <c r="K54" s="34"/>
      <c r="L54" s="34"/>
      <c r="M54" s="34"/>
      <c r="N54" s="34"/>
      <c r="O54" s="34"/>
      <c r="P54" s="34"/>
      <c r="Q54" s="34"/>
    </row>
    <row r="55" spans="1:17" ht="20.5" thickBot="1">
      <c r="A55" s="46" t="s">
        <v>76</v>
      </c>
      <c r="G55" s="34"/>
      <c r="H55" s="34"/>
      <c r="I55" s="34"/>
      <c r="J55" s="34"/>
      <c r="K55" s="34"/>
      <c r="L55" s="34"/>
      <c r="M55" s="34"/>
      <c r="N55" s="34"/>
      <c r="O55" s="34"/>
      <c r="P55" s="34"/>
      <c r="Q55" s="34"/>
    </row>
    <row r="56" spans="1:17" ht="42" customHeight="1">
      <c r="A56" s="1882" t="s">
        <v>50</v>
      </c>
      <c r="B56" s="1883"/>
      <c r="C56" s="1883"/>
      <c r="D56" s="1883"/>
      <c r="E56" s="1883"/>
      <c r="F56" s="1884"/>
      <c r="G56" s="48" t="s">
        <v>51</v>
      </c>
      <c r="H56" s="48" t="s">
        <v>77</v>
      </c>
      <c r="I56" s="48" t="s">
        <v>78</v>
      </c>
      <c r="J56" s="1885" t="s">
        <v>18</v>
      </c>
      <c r="K56" s="1913"/>
      <c r="L56" s="1913"/>
      <c r="M56" s="1913"/>
      <c r="N56" s="1913"/>
      <c r="O56" s="1913"/>
      <c r="P56" s="1913"/>
      <c r="Q56" s="1914"/>
    </row>
    <row r="57" spans="1:17" ht="15.5">
      <c r="A57" s="54"/>
      <c r="B57" s="50" t="s">
        <v>64</v>
      </c>
      <c r="C57" s="64"/>
      <c r="D57" s="71"/>
      <c r="E57" s="87"/>
      <c r="F57" s="66"/>
      <c r="G57" s="19"/>
      <c r="H57" s="19"/>
      <c r="I57" s="19"/>
      <c r="J57" s="19"/>
      <c r="K57" s="19"/>
      <c r="L57" s="19"/>
      <c r="M57" s="19"/>
      <c r="N57" s="19"/>
      <c r="O57" s="19"/>
      <c r="P57" s="19"/>
      <c r="Q57" s="21"/>
    </row>
    <row r="58" spans="1:17" ht="16" thickBot="1">
      <c r="A58" s="110">
        <v>81</v>
      </c>
      <c r="B58" s="79"/>
      <c r="C58" s="111" t="s">
        <v>368</v>
      </c>
      <c r="D58" s="81"/>
      <c r="E58" s="112" t="s">
        <v>647</v>
      </c>
      <c r="F58" s="113" t="s">
        <v>361</v>
      </c>
      <c r="G58" s="1508">
        <v>478062</v>
      </c>
      <c r="H58" s="1509">
        <v>0</v>
      </c>
      <c r="I58" s="1509">
        <f>G58</f>
        <v>478062</v>
      </c>
      <c r="J58" s="1935" t="s">
        <v>79</v>
      </c>
      <c r="K58" s="1935"/>
      <c r="L58" s="1935"/>
      <c r="M58" s="1935"/>
      <c r="N58" s="1935"/>
      <c r="O58" s="1935"/>
      <c r="P58" s="1935"/>
      <c r="Q58" s="1936"/>
    </row>
    <row r="59" spans="1:17" ht="15.5">
      <c r="A59" s="39"/>
      <c r="B59" s="77"/>
      <c r="C59" s="55"/>
      <c r="D59" s="71"/>
      <c r="E59" s="69"/>
      <c r="F59" s="55"/>
      <c r="G59" s="88"/>
      <c r="H59" s="88"/>
      <c r="I59" s="88"/>
      <c r="J59" s="114"/>
      <c r="K59" s="115"/>
      <c r="L59" s="115"/>
      <c r="M59" s="115"/>
      <c r="N59" s="115"/>
      <c r="O59" s="115"/>
      <c r="P59" s="115"/>
      <c r="Q59" s="115"/>
    </row>
    <row r="60" spans="1:17">
      <c r="G60" s="34"/>
      <c r="H60" s="34"/>
      <c r="I60" s="34"/>
      <c r="J60" s="34"/>
      <c r="K60" s="34"/>
      <c r="L60" s="34"/>
      <c r="M60" s="34"/>
      <c r="N60" s="34"/>
      <c r="O60" s="34"/>
      <c r="P60" s="34"/>
      <c r="Q60" s="34"/>
    </row>
    <row r="61" spans="1:17" ht="20.5" thickBot="1">
      <c r="A61" s="46" t="s">
        <v>1520</v>
      </c>
      <c r="G61" s="34"/>
      <c r="H61" s="34"/>
      <c r="I61" s="34"/>
      <c r="J61" s="34"/>
      <c r="K61" s="34"/>
      <c r="L61" s="34"/>
      <c r="M61" s="34"/>
      <c r="N61" s="34"/>
      <c r="O61" s="34"/>
      <c r="P61" s="34"/>
      <c r="Q61" s="34"/>
    </row>
    <row r="62" spans="1:17" ht="18">
      <c r="A62" s="1882" t="s">
        <v>50</v>
      </c>
      <c r="B62" s="1883"/>
      <c r="C62" s="1883"/>
      <c r="D62" s="1883"/>
      <c r="E62" s="1883"/>
      <c r="F62" s="1884"/>
      <c r="G62" s="48" t="s">
        <v>80</v>
      </c>
      <c r="H62" s="48" t="s">
        <v>81</v>
      </c>
      <c r="I62" s="48" t="s">
        <v>82</v>
      </c>
      <c r="J62" s="48" t="s">
        <v>83</v>
      </c>
      <c r="K62" s="48" t="s">
        <v>84</v>
      </c>
      <c r="L62" s="1885" t="s">
        <v>18</v>
      </c>
      <c r="M62" s="1913"/>
      <c r="N62" s="1913"/>
      <c r="O62" s="1913"/>
      <c r="P62" s="1913"/>
      <c r="Q62" s="1914"/>
    </row>
    <row r="63" spans="1:17" ht="15.5">
      <c r="A63" s="76" t="s">
        <v>85</v>
      </c>
      <c r="B63" s="116" t="s">
        <v>86</v>
      </c>
      <c r="C63" s="40"/>
      <c r="D63" s="40"/>
      <c r="E63" s="87"/>
      <c r="F63" s="117"/>
      <c r="G63" s="19"/>
      <c r="H63" s="19"/>
      <c r="I63" s="19"/>
      <c r="J63" s="19"/>
      <c r="K63" s="19"/>
      <c r="L63" s="19"/>
      <c r="M63" s="19"/>
      <c r="N63" s="19"/>
      <c r="O63" s="19"/>
      <c r="P63" s="19"/>
      <c r="Q63" s="21"/>
    </row>
    <row r="64" spans="1:17" ht="15.5">
      <c r="A64" s="76"/>
      <c r="B64" s="116"/>
      <c r="C64" s="40"/>
      <c r="D64" s="40"/>
      <c r="E64" s="87"/>
      <c r="F64" s="1510"/>
      <c r="G64" s="129" t="s">
        <v>1589</v>
      </c>
      <c r="H64" s="1486" t="s">
        <v>1590</v>
      </c>
      <c r="I64" s="88"/>
      <c r="J64" s="88"/>
      <c r="K64" s="88"/>
      <c r="L64" s="1918" t="s">
        <v>87</v>
      </c>
      <c r="M64" s="1945"/>
      <c r="N64" s="1945"/>
      <c r="O64" s="1945"/>
      <c r="P64" s="1945"/>
      <c r="Q64" s="1946"/>
    </row>
    <row r="65" spans="1:20" ht="16.5" customHeight="1" thickBot="1">
      <c r="A65" s="110">
        <v>129</v>
      </c>
      <c r="B65" s="99"/>
      <c r="C65" s="111" t="s">
        <v>188</v>
      </c>
      <c r="D65" s="118"/>
      <c r="E65" s="112" t="s">
        <v>857</v>
      </c>
      <c r="F65" s="1511">
        <v>8.5000000000000006E-2</v>
      </c>
      <c r="G65" s="1512">
        <v>8.2500000000000004E-2</v>
      </c>
      <c r="H65" s="1513">
        <v>8.6999999999999994E-2</v>
      </c>
      <c r="I65" s="102"/>
      <c r="J65" s="102"/>
      <c r="K65" s="102"/>
      <c r="L65" s="1933" t="s">
        <v>1591</v>
      </c>
      <c r="M65" s="1933"/>
      <c r="N65" s="1933"/>
      <c r="O65" s="1933"/>
      <c r="P65" s="1933"/>
      <c r="Q65" s="1934"/>
      <c r="S65" s="164"/>
      <c r="T65" s="106"/>
    </row>
    <row r="66" spans="1:20">
      <c r="G66" s="34"/>
      <c r="H66" s="34"/>
      <c r="I66" s="34"/>
      <c r="J66" s="34"/>
      <c r="K66" s="34"/>
      <c r="L66" s="34"/>
      <c r="M66" s="34"/>
      <c r="N66" s="34"/>
      <c r="O66" s="34"/>
      <c r="P66" s="34"/>
      <c r="Q66" s="34"/>
    </row>
    <row r="67" spans="1:20">
      <c r="G67" s="34"/>
      <c r="H67" s="34"/>
      <c r="I67" s="34"/>
      <c r="J67" s="34"/>
      <c r="K67" s="34"/>
      <c r="L67" s="34"/>
      <c r="M67" s="34"/>
      <c r="N67" s="34"/>
      <c r="O67" s="34"/>
      <c r="P67" s="34"/>
      <c r="Q67" s="34"/>
    </row>
    <row r="68" spans="1:20" ht="20.5" thickBot="1">
      <c r="A68" s="46" t="s">
        <v>88</v>
      </c>
      <c r="G68" s="34"/>
      <c r="H68" s="34"/>
      <c r="I68" s="34"/>
      <c r="J68" s="34"/>
      <c r="K68" s="34"/>
      <c r="L68" s="34"/>
      <c r="M68" s="34"/>
      <c r="N68" s="34"/>
      <c r="O68" s="34"/>
      <c r="P68" s="34"/>
      <c r="Q68" s="34"/>
    </row>
    <row r="69" spans="1:20" ht="27">
      <c r="A69" s="1882" t="s">
        <v>50</v>
      </c>
      <c r="B69" s="1883"/>
      <c r="C69" s="1883"/>
      <c r="D69" s="1883"/>
      <c r="E69" s="1883"/>
      <c r="F69" s="1884"/>
      <c r="G69" s="48" t="s">
        <v>51</v>
      </c>
      <c r="H69" s="48" t="s">
        <v>89</v>
      </c>
      <c r="I69" s="48" t="s">
        <v>90</v>
      </c>
      <c r="J69" s="1885" t="s">
        <v>18</v>
      </c>
      <c r="K69" s="1913"/>
      <c r="L69" s="1913"/>
      <c r="M69" s="1913"/>
      <c r="N69" s="1913"/>
      <c r="O69" s="1913"/>
      <c r="P69" s="1913"/>
      <c r="Q69" s="1914"/>
    </row>
    <row r="70" spans="1:20" ht="15.5">
      <c r="A70" s="54"/>
      <c r="B70" s="50" t="s">
        <v>64</v>
      </c>
      <c r="C70" s="64"/>
      <c r="D70" s="71"/>
      <c r="E70" s="87"/>
      <c r="F70" s="66"/>
      <c r="G70" s="19"/>
      <c r="H70" s="19"/>
      <c r="I70" s="19"/>
      <c r="J70" s="19"/>
      <c r="K70" s="19"/>
      <c r="L70" s="19"/>
      <c r="M70" s="19"/>
      <c r="N70" s="19"/>
      <c r="O70" s="19"/>
      <c r="P70" s="19"/>
      <c r="Q70" s="21"/>
    </row>
    <row r="71" spans="1:20" ht="16" thickBot="1">
      <c r="A71" s="110">
        <v>78</v>
      </c>
      <c r="B71" s="79"/>
      <c r="C71" s="111" t="s">
        <v>368</v>
      </c>
      <c r="D71" s="119"/>
      <c r="E71" s="112" t="s">
        <v>645</v>
      </c>
      <c r="F71" s="113" t="s">
        <v>361</v>
      </c>
      <c r="G71" s="1514">
        <f>+G58</f>
        <v>478062</v>
      </c>
      <c r="H71" s="102">
        <v>0</v>
      </c>
      <c r="I71" s="1515">
        <f>G71-H71</f>
        <v>478062</v>
      </c>
      <c r="J71" s="1939" t="s">
        <v>79</v>
      </c>
      <c r="K71" s="1911"/>
      <c r="L71" s="1911"/>
      <c r="M71" s="1911"/>
      <c r="N71" s="1911"/>
      <c r="O71" s="1911"/>
      <c r="P71" s="1911"/>
      <c r="Q71" s="1912"/>
    </row>
    <row r="72" spans="1:20">
      <c r="G72" s="34"/>
      <c r="H72" s="34"/>
      <c r="I72" s="34"/>
      <c r="J72" s="34"/>
      <c r="K72" s="34"/>
      <c r="L72" s="34"/>
      <c r="M72" s="34"/>
      <c r="N72" s="34"/>
      <c r="O72" s="34"/>
      <c r="P72" s="34"/>
      <c r="Q72" s="34"/>
    </row>
    <row r="73" spans="1:20">
      <c r="G73" s="34"/>
      <c r="H73" s="34"/>
      <c r="I73" s="34"/>
      <c r="J73" s="34"/>
      <c r="K73" s="34"/>
      <c r="L73" s="34"/>
      <c r="M73" s="34"/>
      <c r="N73" s="34"/>
      <c r="O73" s="34"/>
      <c r="P73" s="34"/>
      <c r="Q73" s="34"/>
    </row>
    <row r="74" spans="1:20" ht="20.5" thickBot="1">
      <c r="A74" s="46" t="s">
        <v>91</v>
      </c>
      <c r="G74" s="34"/>
      <c r="H74" s="34"/>
      <c r="I74" s="34"/>
      <c r="J74" s="34"/>
      <c r="K74" s="34"/>
      <c r="L74" s="34"/>
      <c r="M74" s="34"/>
      <c r="N74" s="34"/>
      <c r="O74" s="34"/>
      <c r="P74" s="34"/>
      <c r="Q74" s="34"/>
    </row>
    <row r="75" spans="1:20" ht="27">
      <c r="A75" s="1882" t="s">
        <v>50</v>
      </c>
      <c r="B75" s="1883"/>
      <c r="C75" s="1883"/>
      <c r="D75" s="1883"/>
      <c r="E75" s="1883"/>
      <c r="F75" s="1883"/>
      <c r="G75" s="47" t="s">
        <v>434</v>
      </c>
      <c r="H75" s="1885" t="s">
        <v>92</v>
      </c>
      <c r="I75" s="1905"/>
      <c r="J75" s="1905"/>
      <c r="K75" s="1905"/>
      <c r="L75" s="1905"/>
      <c r="M75" s="1905"/>
      <c r="N75" s="1905"/>
      <c r="O75" s="1905"/>
      <c r="P75" s="1905"/>
      <c r="Q75" s="1906"/>
      <c r="R75" s="120"/>
    </row>
    <row r="76" spans="1:20" ht="18">
      <c r="A76" s="121"/>
      <c r="B76" s="122" t="s">
        <v>93</v>
      </c>
      <c r="C76" s="123"/>
      <c r="D76" s="124"/>
      <c r="E76" s="125"/>
      <c r="F76" s="126"/>
      <c r="G76" s="20"/>
      <c r="H76" s="19"/>
      <c r="I76" s="19"/>
      <c r="J76" s="19"/>
      <c r="K76" s="19"/>
      <c r="L76" s="19"/>
      <c r="M76" s="19"/>
      <c r="N76" s="19"/>
      <c r="O76" s="19"/>
      <c r="P76" s="19"/>
      <c r="Q76" s="21"/>
    </row>
    <row r="77" spans="1:20" ht="18">
      <c r="A77" s="54">
        <v>149</v>
      </c>
      <c r="B77" s="73"/>
      <c r="C77" s="55" t="s">
        <v>434</v>
      </c>
      <c r="D77" s="124"/>
      <c r="E77" s="56" t="s">
        <v>858</v>
      </c>
      <c r="F77" s="564" t="s">
        <v>326</v>
      </c>
      <c r="G77" s="127">
        <v>0</v>
      </c>
      <c r="H77" s="1918" t="s">
        <v>94</v>
      </c>
      <c r="I77" s="1926"/>
      <c r="J77" s="1926"/>
      <c r="K77" s="1926"/>
      <c r="L77" s="1926"/>
      <c r="M77" s="1926"/>
      <c r="N77" s="1926"/>
      <c r="O77" s="1926"/>
      <c r="P77" s="1926"/>
      <c r="Q77" s="1927"/>
    </row>
    <row r="78" spans="1:20" ht="18">
      <c r="A78" s="54"/>
      <c r="B78" s="73"/>
      <c r="C78" s="128"/>
      <c r="D78" s="124"/>
      <c r="E78" s="58"/>
      <c r="F78" s="96"/>
      <c r="G78" s="20"/>
      <c r="H78" s="19"/>
      <c r="I78" s="19"/>
      <c r="J78" s="19"/>
      <c r="K78" s="19"/>
      <c r="L78" s="19"/>
      <c r="M78" s="19"/>
      <c r="N78" s="19"/>
      <c r="O78" s="88"/>
      <c r="P78" s="19"/>
      <c r="Q78" s="21"/>
    </row>
    <row r="79" spans="1:20" ht="18">
      <c r="A79" s="54"/>
      <c r="B79" s="73"/>
      <c r="C79" s="128" t="s">
        <v>95</v>
      </c>
      <c r="D79" s="124"/>
      <c r="E79" s="58"/>
      <c r="F79" s="96"/>
      <c r="G79" s="129" t="s">
        <v>96</v>
      </c>
      <c r="H79" s="1918" t="s">
        <v>79</v>
      </c>
      <c r="I79" s="1926"/>
      <c r="J79" s="1926"/>
      <c r="K79" s="1926"/>
      <c r="L79" s="1926"/>
      <c r="M79" s="1926"/>
      <c r="N79" s="1926"/>
      <c r="O79" s="1926"/>
      <c r="P79" s="1926"/>
      <c r="Q79" s="1927"/>
    </row>
    <row r="80" spans="1:20" ht="18">
      <c r="A80" s="54"/>
      <c r="B80" s="73">
        <v>1</v>
      </c>
      <c r="C80" s="128" t="s">
        <v>97</v>
      </c>
      <c r="D80" s="124"/>
      <c r="E80" s="58"/>
      <c r="F80" s="96"/>
      <c r="G80" s="130"/>
      <c r="H80" s="1918"/>
      <c r="I80" s="1926"/>
      <c r="J80" s="1926"/>
      <c r="K80" s="1926"/>
      <c r="L80" s="1926"/>
      <c r="M80" s="1926"/>
      <c r="N80" s="1926"/>
      <c r="O80" s="1926"/>
      <c r="P80" s="1926"/>
      <c r="Q80" s="1927"/>
    </row>
    <row r="81" spans="1:41" ht="18">
      <c r="A81" s="54"/>
      <c r="B81" s="73"/>
      <c r="C81" s="128" t="s">
        <v>98</v>
      </c>
      <c r="D81" s="124"/>
      <c r="E81" s="58"/>
      <c r="F81" s="96"/>
      <c r="G81" s="130"/>
      <c r="H81" s="114"/>
      <c r="I81" s="115"/>
      <c r="J81" s="115"/>
      <c r="K81" s="115"/>
      <c r="L81" s="115"/>
      <c r="M81" s="115"/>
      <c r="N81" s="115"/>
      <c r="O81" s="115"/>
      <c r="P81" s="115"/>
      <c r="Q81" s="131"/>
    </row>
    <row r="82" spans="1:41" ht="18">
      <c r="A82" s="54"/>
      <c r="B82" s="73">
        <v>2</v>
      </c>
      <c r="C82" s="128" t="s">
        <v>99</v>
      </c>
      <c r="D82" s="124"/>
      <c r="E82" s="58"/>
      <c r="F82" s="96"/>
      <c r="G82" s="129" t="s">
        <v>100</v>
      </c>
      <c r="H82" s="1918"/>
      <c r="I82" s="1926"/>
      <c r="J82" s="1926"/>
      <c r="K82" s="1926"/>
      <c r="L82" s="1926"/>
      <c r="M82" s="1926"/>
      <c r="N82" s="1926"/>
      <c r="O82" s="1926"/>
      <c r="P82" s="1926"/>
      <c r="Q82" s="1927"/>
    </row>
    <row r="83" spans="1:41" ht="18">
      <c r="A83" s="54"/>
      <c r="B83" s="73"/>
      <c r="C83" s="128" t="s">
        <v>101</v>
      </c>
      <c r="D83" s="132" t="s">
        <v>102</v>
      </c>
      <c r="E83" s="58"/>
      <c r="F83" s="96"/>
      <c r="G83" s="129" t="s">
        <v>96</v>
      </c>
      <c r="H83" s="1918"/>
      <c r="I83" s="1926"/>
      <c r="J83" s="1926"/>
      <c r="K83" s="1926"/>
      <c r="L83" s="1926"/>
      <c r="M83" s="1926"/>
      <c r="N83" s="1926"/>
      <c r="O83" s="1926"/>
      <c r="P83" s="1926"/>
      <c r="Q83" s="1927"/>
    </row>
    <row r="84" spans="1:41" ht="15.5">
      <c r="A84" s="133"/>
      <c r="B84" s="134" t="s">
        <v>9</v>
      </c>
      <c r="C84" s="128" t="s">
        <v>103</v>
      </c>
      <c r="D84" s="135">
        <v>1000000</v>
      </c>
      <c r="E84" s="37"/>
      <c r="F84" s="37"/>
      <c r="G84" s="130"/>
      <c r="H84" s="1918"/>
      <c r="I84" s="1926"/>
      <c r="J84" s="1926"/>
      <c r="K84" s="1926"/>
      <c r="L84" s="1926"/>
      <c r="M84" s="1926"/>
      <c r="N84" s="1926"/>
      <c r="O84" s="1926"/>
      <c r="P84" s="1926"/>
      <c r="Q84" s="1927"/>
    </row>
    <row r="85" spans="1:41" ht="15.5">
      <c r="A85" s="133"/>
      <c r="B85" s="134" t="s">
        <v>10</v>
      </c>
      <c r="C85" s="128" t="s">
        <v>104</v>
      </c>
      <c r="D85" s="135">
        <v>500000</v>
      </c>
      <c r="E85" s="37"/>
      <c r="F85" s="37"/>
      <c r="G85" s="130"/>
      <c r="H85" s="1918"/>
      <c r="I85" s="1926"/>
      <c r="J85" s="1926"/>
      <c r="K85" s="1926"/>
      <c r="L85" s="1926"/>
      <c r="M85" s="1926"/>
      <c r="N85" s="1926"/>
      <c r="O85" s="1926"/>
      <c r="P85" s="1926"/>
      <c r="Q85" s="1927"/>
    </row>
    <row r="86" spans="1:41" ht="15.5">
      <c r="A86" s="133"/>
      <c r="B86" s="134" t="s">
        <v>11</v>
      </c>
      <c r="C86" s="128" t="s">
        <v>105</v>
      </c>
      <c r="D86" s="135">
        <v>400000</v>
      </c>
      <c r="E86" s="37"/>
      <c r="F86" s="37"/>
      <c r="G86" s="130"/>
      <c r="H86" s="1918"/>
      <c r="I86" s="1926"/>
      <c r="J86" s="1926"/>
      <c r="K86" s="1926"/>
      <c r="L86" s="1926"/>
      <c r="M86" s="1926"/>
      <c r="N86" s="1926"/>
      <c r="O86" s="1926"/>
      <c r="P86" s="1926"/>
      <c r="Q86" s="1927"/>
    </row>
    <row r="87" spans="1:41" ht="15.5">
      <c r="A87" s="133"/>
      <c r="B87" s="134" t="s">
        <v>14</v>
      </c>
      <c r="C87" s="128" t="s">
        <v>106</v>
      </c>
      <c r="D87" s="135">
        <v>444444.44444444444</v>
      </c>
      <c r="E87" s="37"/>
      <c r="F87" s="37"/>
      <c r="G87" s="130"/>
      <c r="H87" s="1918"/>
      <c r="I87" s="1926"/>
      <c r="J87" s="1926"/>
      <c r="K87" s="1926"/>
      <c r="L87" s="1926"/>
      <c r="M87" s="1926"/>
      <c r="N87" s="1926"/>
      <c r="O87" s="1926"/>
      <c r="P87" s="1926"/>
      <c r="Q87" s="1927"/>
    </row>
    <row r="88" spans="1:41" ht="15" thickBot="1">
      <c r="A88" s="89"/>
      <c r="B88" s="90"/>
      <c r="C88" s="90"/>
      <c r="D88" s="90"/>
      <c r="E88" s="90"/>
      <c r="F88" s="90"/>
      <c r="G88" s="27"/>
      <c r="H88" s="29"/>
      <c r="I88" s="29"/>
      <c r="J88" s="29"/>
      <c r="K88" s="136" t="s">
        <v>107</v>
      </c>
      <c r="L88" s="29"/>
      <c r="M88" s="29"/>
      <c r="N88" s="29"/>
      <c r="O88" s="29"/>
      <c r="P88" s="29"/>
      <c r="Q88" s="30"/>
    </row>
    <row r="89" spans="1:41">
      <c r="A89" s="137"/>
      <c r="B89" s="137"/>
      <c r="C89" s="137"/>
      <c r="D89" s="137"/>
      <c r="E89" s="137"/>
      <c r="F89" s="137"/>
      <c r="G89" s="19"/>
      <c r="H89" s="19"/>
      <c r="I89" s="19"/>
      <c r="J89" s="19"/>
      <c r="K89" s="138"/>
      <c r="L89" s="19"/>
      <c r="M89" s="19"/>
      <c r="N89" s="19"/>
      <c r="O89" s="19"/>
      <c r="P89" s="19"/>
      <c r="Q89" s="19"/>
    </row>
    <row r="90" spans="1:41">
      <c r="A90" s="137"/>
      <c r="B90" s="137"/>
      <c r="C90" s="137"/>
      <c r="D90" s="137"/>
      <c r="E90" s="137"/>
      <c r="F90" s="137"/>
      <c r="G90" s="19"/>
      <c r="H90" s="19"/>
      <c r="I90" s="19"/>
      <c r="J90" s="19"/>
      <c r="K90" s="138"/>
      <c r="L90" s="19"/>
      <c r="M90" s="19"/>
      <c r="N90" s="19"/>
      <c r="O90" s="19"/>
      <c r="P90" s="19"/>
      <c r="Q90" s="19"/>
    </row>
    <row r="91" spans="1:41" ht="15.5">
      <c r="A91" s="73"/>
      <c r="B91" s="73"/>
      <c r="C91" s="73"/>
      <c r="D91" s="73"/>
      <c r="E91" s="56"/>
      <c r="F91" s="73"/>
      <c r="G91" s="19"/>
      <c r="H91" s="19"/>
      <c r="I91" s="19"/>
      <c r="J91" s="19"/>
      <c r="K91" s="138"/>
      <c r="L91" s="19"/>
      <c r="M91" s="19"/>
      <c r="N91" s="19"/>
      <c r="O91" s="19"/>
      <c r="P91" s="19"/>
      <c r="Q91" s="19"/>
    </row>
    <row r="92" spans="1:41" s="5" customFormat="1" ht="20.5" thickBot="1">
      <c r="A92" s="1644" t="s">
        <v>110</v>
      </c>
      <c r="G92" s="987"/>
      <c r="H92" s="987"/>
      <c r="I92" s="987"/>
      <c r="J92" s="987"/>
      <c r="K92" s="987"/>
      <c r="L92" s="987"/>
      <c r="M92" s="987"/>
      <c r="N92" s="987"/>
      <c r="O92" s="987"/>
      <c r="P92" s="987"/>
      <c r="Q92" s="987"/>
    </row>
    <row r="93" spans="1:41" s="5" customFormat="1" ht="18" customHeight="1">
      <c r="A93" s="1920" t="s">
        <v>50</v>
      </c>
      <c r="B93" s="1900"/>
      <c r="C93" s="1900"/>
      <c r="D93" s="1900"/>
      <c r="E93" s="1900"/>
      <c r="F93" s="1901"/>
      <c r="G93" s="988"/>
      <c r="H93" s="989"/>
      <c r="I93" s="990"/>
      <c r="J93" s="990"/>
      <c r="K93" s="990"/>
      <c r="L93" s="990"/>
      <c r="M93" s="990"/>
      <c r="N93" s="990"/>
      <c r="O93" s="990"/>
      <c r="P93" s="990"/>
      <c r="Q93" s="990"/>
      <c r="R93" s="991"/>
      <c r="S93" s="991"/>
      <c r="T93" s="991"/>
      <c r="U93" s="991"/>
      <c r="V93" s="991"/>
      <c r="W93" s="993" t="s">
        <v>111</v>
      </c>
      <c r="X93" s="991"/>
      <c r="Y93" s="991"/>
      <c r="Z93" s="991"/>
      <c r="AA93" s="991"/>
      <c r="AB93" s="991"/>
      <c r="AC93" s="991"/>
      <c r="AD93" s="991"/>
      <c r="AE93" s="991"/>
      <c r="AF93" s="991"/>
      <c r="AG93" s="991"/>
      <c r="AH93" s="991"/>
      <c r="AI93" s="991"/>
      <c r="AJ93" s="991"/>
      <c r="AK93" s="991"/>
      <c r="AL93" s="991"/>
      <c r="AM93" s="991"/>
      <c r="AN93" s="991"/>
      <c r="AO93" s="992"/>
    </row>
    <row r="94" spans="1:41" s="5" customFormat="1" ht="15.5">
      <c r="A94" s="140">
        <v>45</v>
      </c>
      <c r="B94" s="994" t="s">
        <v>110</v>
      </c>
      <c r="C94" s="995"/>
      <c r="D94" s="994"/>
      <c r="E94" s="996"/>
      <c r="F94" s="997"/>
      <c r="G94" s="17"/>
      <c r="H94" s="998"/>
      <c r="I94" s="987"/>
      <c r="J94" s="987"/>
      <c r="K94" s="987"/>
      <c r="L94" s="987"/>
      <c r="M94" s="987"/>
      <c r="N94" s="987"/>
      <c r="O94" s="987"/>
      <c r="P94" s="987"/>
      <c r="Q94" s="987"/>
      <c r="U94" s="37"/>
      <c r="V94" s="37"/>
      <c r="W94" s="133"/>
      <c r="AO94" s="999"/>
    </row>
    <row r="95" spans="1:41" s="5" customFormat="1" ht="52.5">
      <c r="A95" s="61"/>
      <c r="B95" s="1000"/>
      <c r="D95" s="994"/>
      <c r="F95" s="1001"/>
      <c r="G95" s="1002" t="s">
        <v>527</v>
      </c>
      <c r="H95" s="945" t="s">
        <v>528</v>
      </c>
      <c r="I95" s="945" t="s">
        <v>529</v>
      </c>
      <c r="J95" s="945" t="s">
        <v>530</v>
      </c>
      <c r="K95" s="945" t="s">
        <v>172</v>
      </c>
      <c r="L95" s="945" t="s">
        <v>173</v>
      </c>
      <c r="M95" s="945" t="s">
        <v>174</v>
      </c>
      <c r="N95" s="945" t="s">
        <v>531</v>
      </c>
      <c r="O95" s="945" t="s">
        <v>532</v>
      </c>
      <c r="P95" s="945" t="s">
        <v>533</v>
      </c>
      <c r="Q95" s="945" t="s">
        <v>534</v>
      </c>
      <c r="R95" s="945" t="s">
        <v>535</v>
      </c>
      <c r="S95" s="1003" t="s">
        <v>1080</v>
      </c>
      <c r="T95" s="1003" t="s">
        <v>1679</v>
      </c>
      <c r="U95" s="1645" t="s">
        <v>1680</v>
      </c>
      <c r="V95" s="1003" t="s">
        <v>1681</v>
      </c>
      <c r="W95" s="133"/>
      <c r="AO95" s="999"/>
    </row>
    <row r="96" spans="1:41" s="5" customFormat="1" ht="15.5">
      <c r="A96" s="61"/>
      <c r="B96" s="1000"/>
      <c r="C96" s="36" t="s">
        <v>112</v>
      </c>
      <c r="F96" s="144" t="s">
        <v>1081</v>
      </c>
      <c r="G96" s="1647">
        <v>18323741.5</v>
      </c>
      <c r="H96" s="1648">
        <v>16486097.709999999</v>
      </c>
      <c r="I96" s="1648">
        <v>13245529.139999999</v>
      </c>
      <c r="J96" s="1648">
        <v>10053017.469999999</v>
      </c>
      <c r="K96" s="1648">
        <v>7111829.7799999984</v>
      </c>
      <c r="L96" s="1648">
        <v>3904047.5599999982</v>
      </c>
      <c r="M96" s="1648">
        <v>2865001.2599999979</v>
      </c>
      <c r="N96" s="1648">
        <v>-1937871.8900000022</v>
      </c>
      <c r="O96" s="1648">
        <v>-4045472.5700000022</v>
      </c>
      <c r="P96" s="1648">
        <v>17381954.050000001</v>
      </c>
      <c r="Q96" s="1648">
        <v>12872148.130000001</v>
      </c>
      <c r="R96" s="1648">
        <v>9308324.1500000004</v>
      </c>
      <c r="S96" s="1648">
        <v>11853397.48</v>
      </c>
      <c r="T96" s="1646">
        <f>+'ATT H-3D'!H16</f>
        <v>0.13016492184368511</v>
      </c>
      <c r="U96" s="1646">
        <v>0.8518</v>
      </c>
      <c r="V96" s="1646">
        <f>T96*U96</f>
        <v>0.11087448042645098</v>
      </c>
      <c r="W96" s="1111" t="s">
        <v>1567</v>
      </c>
      <c r="AO96" s="999"/>
    </row>
    <row r="97" spans="1:41" s="5" customFormat="1" ht="15.5">
      <c r="A97" s="61"/>
      <c r="B97" s="1000"/>
      <c r="C97" s="328" t="s">
        <v>113</v>
      </c>
      <c r="D97" s="1004"/>
      <c r="F97" s="144"/>
      <c r="G97" s="1647">
        <v>170844366</v>
      </c>
      <c r="H97" s="1649">
        <v>170259533.63</v>
      </c>
      <c r="I97" s="1649">
        <v>169526184.66999999</v>
      </c>
      <c r="J97" s="1649">
        <v>168637735.95999998</v>
      </c>
      <c r="K97" s="1649">
        <v>167852687.07999998</v>
      </c>
      <c r="L97" s="1649">
        <v>167067638.19999999</v>
      </c>
      <c r="M97" s="1649">
        <v>166282589.31999999</v>
      </c>
      <c r="N97" s="1649">
        <v>165497540.44</v>
      </c>
      <c r="O97" s="1649">
        <v>164712491.56</v>
      </c>
      <c r="P97" s="1649">
        <v>163928227.17000002</v>
      </c>
      <c r="Q97" s="1649">
        <v>163143178.29000002</v>
      </c>
      <c r="R97" s="1649">
        <v>162358129.41000003</v>
      </c>
      <c r="S97" s="1649">
        <v>161573545</v>
      </c>
      <c r="T97" s="1646">
        <f>+T96</f>
        <v>0.13016492184368511</v>
      </c>
      <c r="U97" s="1646">
        <v>0.8518</v>
      </c>
      <c r="V97" s="1646">
        <f>T97*U97</f>
        <v>0.11087448042645098</v>
      </c>
      <c r="W97" s="1005" t="s">
        <v>114</v>
      </c>
      <c r="AO97" s="999"/>
    </row>
    <row r="98" spans="1:41" s="5" customFormat="1" ht="16" thickBot="1">
      <c r="A98" s="1006"/>
      <c r="B98" s="1007"/>
      <c r="C98" s="173" t="s">
        <v>1082</v>
      </c>
      <c r="D98" s="1007"/>
      <c r="E98" s="109"/>
      <c r="F98" s="1007"/>
      <c r="G98" s="1650">
        <f>G96*$V$96+G97*$V$97</f>
        <v>20973915.632317528</v>
      </c>
      <c r="H98" s="1651">
        <f>H96*$V$96+H97*$V$97</f>
        <v>20705324.846732061</v>
      </c>
      <c r="I98" s="1651">
        <f t="shared" ref="I98:S98" si="0">I96*$V$96+I97*$V$97</f>
        <v>20264718.805335741</v>
      </c>
      <c r="J98" s="1651">
        <f t="shared" si="0"/>
        <v>19812244.44356231</v>
      </c>
      <c r="K98" s="1651">
        <f t="shared" si="0"/>
        <v>19399099.899917521</v>
      </c>
      <c r="L98" s="1651">
        <f t="shared" si="0"/>
        <v>18956396.826274447</v>
      </c>
      <c r="M98" s="1651">
        <f t="shared" si="0"/>
        <v>18754151.220943555</v>
      </c>
      <c r="N98" s="1651">
        <f t="shared" si="0"/>
        <v>18134593.269203786</v>
      </c>
      <c r="O98" s="1651">
        <f t="shared" si="0"/>
        <v>17813872.252182987</v>
      </c>
      <c r="P98" s="1651">
        <f t="shared" si="0"/>
        <v>20102672.13879317</v>
      </c>
      <c r="Q98" s="1651">
        <f t="shared" si="0"/>
        <v>19515607.863909673</v>
      </c>
      <c r="R98" s="1651">
        <f t="shared" si="0"/>
        <v>19033428.845116481</v>
      </c>
      <c r="S98" s="1651">
        <f t="shared" si="0"/>
        <v>19228622.139418002</v>
      </c>
      <c r="T98" s="91"/>
      <c r="U98" s="91"/>
      <c r="V98" s="91"/>
      <c r="W98" s="1009" t="s">
        <v>1083</v>
      </c>
      <c r="X98" s="91"/>
      <c r="Y98" s="91"/>
      <c r="Z98" s="91"/>
      <c r="AA98" s="91"/>
      <c r="AB98" s="91"/>
      <c r="AC98" s="91"/>
      <c r="AD98" s="91"/>
      <c r="AE98" s="91"/>
      <c r="AF98" s="91"/>
      <c r="AG98" s="91"/>
      <c r="AH98" s="91"/>
      <c r="AI98" s="91"/>
      <c r="AJ98" s="91"/>
      <c r="AK98" s="91"/>
      <c r="AL98" s="91"/>
      <c r="AM98" s="91"/>
      <c r="AN98" s="91"/>
      <c r="AO98" s="1008"/>
    </row>
    <row r="99" spans="1:41">
      <c r="A99" s="137"/>
      <c r="B99" s="137"/>
      <c r="C99" s="137"/>
      <c r="D99" s="137"/>
      <c r="E99" s="137"/>
      <c r="F99" s="137"/>
      <c r="G99" s="19"/>
      <c r="H99" s="19"/>
      <c r="I99" s="19"/>
      <c r="J99" s="19"/>
      <c r="K99" s="138"/>
      <c r="L99" s="19"/>
      <c r="M99" s="19"/>
      <c r="N99" s="19"/>
      <c r="O99" s="19"/>
      <c r="P99" s="19"/>
      <c r="Q99" s="19"/>
    </row>
    <row r="100" spans="1:41">
      <c r="A100" s="137"/>
      <c r="B100" s="137"/>
      <c r="H100" s="19"/>
      <c r="I100" s="19"/>
      <c r="J100" s="19"/>
      <c r="K100" s="138"/>
      <c r="L100" s="19"/>
      <c r="M100" s="19"/>
      <c r="N100" s="19"/>
      <c r="O100" s="19"/>
      <c r="P100" s="19"/>
      <c r="Q100" s="19"/>
    </row>
    <row r="101" spans="1:41">
      <c r="A101" s="137"/>
      <c r="B101" s="137"/>
      <c r="C101" s="137"/>
      <c r="D101" s="137"/>
      <c r="E101" s="137"/>
      <c r="F101" s="137"/>
      <c r="G101" s="19"/>
      <c r="H101" s="19"/>
      <c r="I101" s="19"/>
      <c r="J101" s="19"/>
      <c r="K101" s="138"/>
      <c r="L101" s="19"/>
      <c r="M101" s="19"/>
      <c r="N101" s="19"/>
      <c r="O101" s="19"/>
      <c r="P101" s="19"/>
      <c r="Q101" s="19"/>
    </row>
    <row r="102" spans="1:41" s="5" customFormat="1" ht="20.5" thickBot="1">
      <c r="A102" s="1644" t="s">
        <v>1047</v>
      </c>
      <c r="G102" s="987"/>
      <c r="H102" s="987"/>
      <c r="I102" s="987"/>
      <c r="J102" s="987"/>
      <c r="K102" s="987"/>
      <c r="L102" s="987"/>
      <c r="M102" s="987"/>
      <c r="N102" s="987"/>
      <c r="O102" s="987"/>
      <c r="P102" s="987"/>
      <c r="Q102" s="987"/>
    </row>
    <row r="103" spans="1:41" s="5" customFormat="1" ht="18">
      <c r="A103" s="1920" t="s">
        <v>1084</v>
      </c>
      <c r="B103" s="1900"/>
      <c r="C103" s="1900"/>
      <c r="D103" s="1900"/>
      <c r="E103" s="1900"/>
      <c r="F103" s="1901"/>
      <c r="G103" s="17"/>
      <c r="H103" s="998"/>
      <c r="I103" s="987"/>
      <c r="J103" s="987"/>
      <c r="K103" s="987"/>
      <c r="L103" s="987"/>
      <c r="M103" s="987"/>
      <c r="N103" s="987"/>
      <c r="O103" s="987"/>
      <c r="P103" s="987"/>
      <c r="Q103" s="987"/>
      <c r="U103" s="999"/>
      <c r="V103" s="991"/>
      <c r="W103" s="991"/>
      <c r="X103" s="991"/>
      <c r="Y103" s="1011"/>
      <c r="Z103" s="1011"/>
      <c r="AA103" s="1011"/>
      <c r="AB103" s="1011"/>
      <c r="AC103" s="1011"/>
      <c r="AD103" s="1011"/>
      <c r="AE103" s="1011"/>
      <c r="AF103" s="1011"/>
      <c r="AG103" s="1011"/>
      <c r="AH103" s="1012"/>
    </row>
    <row r="104" spans="1:41" s="5" customFormat="1" ht="18">
      <c r="A104" s="140">
        <v>44</v>
      </c>
      <c r="B104" s="994" t="s">
        <v>1047</v>
      </c>
      <c r="C104" s="1013"/>
      <c r="D104" s="1013"/>
      <c r="E104" s="1013"/>
      <c r="F104" s="1013"/>
      <c r="G104" s="17"/>
      <c r="H104" s="998"/>
      <c r="I104" s="987"/>
      <c r="J104" s="987"/>
      <c r="K104" s="987"/>
      <c r="L104" s="987"/>
      <c r="M104" s="987"/>
      <c r="N104" s="987"/>
      <c r="O104" s="987"/>
      <c r="P104" s="987"/>
      <c r="Q104" s="987"/>
      <c r="U104" s="999"/>
      <c r="Y104" s="987"/>
      <c r="Z104" s="987"/>
      <c r="AA104" s="987"/>
      <c r="AB104" s="987"/>
      <c r="AC104" s="987"/>
      <c r="AD104" s="987"/>
      <c r="AE104" s="987"/>
      <c r="AF104" s="987"/>
      <c r="AG104" s="987"/>
      <c r="AH104" s="26"/>
    </row>
    <row r="105" spans="1:41" s="5" customFormat="1" ht="75" customHeight="1">
      <c r="A105" s="133"/>
      <c r="C105" s="1921" t="s">
        <v>1085</v>
      </c>
      <c r="D105" s="1921"/>
      <c r="E105" s="1921"/>
      <c r="F105" s="1922"/>
      <c r="G105" s="1014" t="s">
        <v>527</v>
      </c>
      <c r="H105" s="1015" t="s">
        <v>528</v>
      </c>
      <c r="I105" s="1015" t="s">
        <v>529</v>
      </c>
      <c r="J105" s="1015" t="s">
        <v>530</v>
      </c>
      <c r="K105" s="1015" t="s">
        <v>172</v>
      </c>
      <c r="L105" s="1015" t="s">
        <v>173</v>
      </c>
      <c r="M105" s="1015" t="s">
        <v>174</v>
      </c>
      <c r="N105" s="1015" t="s">
        <v>531</v>
      </c>
      <c r="O105" s="1015" t="s">
        <v>532</v>
      </c>
      <c r="P105" s="1015" t="s">
        <v>533</v>
      </c>
      <c r="Q105" s="1015" t="s">
        <v>534</v>
      </c>
      <c r="R105" s="1015" t="s">
        <v>535</v>
      </c>
      <c r="S105" s="1016" t="s">
        <v>1080</v>
      </c>
      <c r="T105" s="1017" t="s">
        <v>1086</v>
      </c>
      <c r="U105" s="999"/>
      <c r="V105" s="1018" t="s">
        <v>749</v>
      </c>
      <c r="W105" s="1019" t="s">
        <v>967</v>
      </c>
      <c r="X105" s="1019" t="s">
        <v>1087</v>
      </c>
      <c r="Y105" s="1020" t="s">
        <v>750</v>
      </c>
      <c r="Z105" s="1019" t="s">
        <v>968</v>
      </c>
      <c r="AA105" s="1019" t="s">
        <v>1087</v>
      </c>
      <c r="AB105" s="1021" t="s">
        <v>1088</v>
      </c>
      <c r="AC105" s="1019" t="s">
        <v>751</v>
      </c>
      <c r="AD105" s="1022"/>
      <c r="AE105" s="1022"/>
      <c r="AF105" s="1023"/>
      <c r="AG105" s="1023"/>
      <c r="AH105" s="1024"/>
    </row>
    <row r="106" spans="1:41" s="5" customFormat="1">
      <c r="A106" s="133"/>
      <c r="C106" s="1025" t="s">
        <v>1089</v>
      </c>
      <c r="G106" s="1652">
        <v>-1334789.98</v>
      </c>
      <c r="H106" s="1652">
        <v>-1139918.7700000005</v>
      </c>
      <c r="I106" s="1652">
        <v>-1329989.2200000004</v>
      </c>
      <c r="J106" s="1652">
        <v>-1231245.1900000004</v>
      </c>
      <c r="K106" s="1652">
        <v>-1237745.1900000004</v>
      </c>
      <c r="L106" s="1652">
        <v>-970425.4300000004</v>
      </c>
      <c r="M106" s="1652">
        <v>-1037047.2100000004</v>
      </c>
      <c r="N106" s="1652">
        <v>-1009064.9700000004</v>
      </c>
      <c r="O106" s="1652">
        <v>-1100435.5600000005</v>
      </c>
      <c r="P106" s="1652">
        <v>-1106633.3500000006</v>
      </c>
      <c r="Q106" s="1652">
        <v>-1106633.3500000006</v>
      </c>
      <c r="R106" s="1652">
        <v>-1106633.3500000006</v>
      </c>
      <c r="S106" s="1652">
        <v>-1103126.1900000004</v>
      </c>
      <c r="T106" s="1039">
        <f>SUM(G106:S106)/13</f>
        <v>-1139514.4430769237</v>
      </c>
      <c r="U106" s="999"/>
      <c r="V106" s="1026">
        <f>+T106</f>
        <v>-1139514.4430769237</v>
      </c>
      <c r="W106" s="1027">
        <f>+'ATT H-3D'!$H$37</f>
        <v>0.379445767046166</v>
      </c>
      <c r="X106" s="1028">
        <f>+V106*W106</f>
        <v>-432383.93191350799</v>
      </c>
      <c r="Y106" s="1026"/>
      <c r="Z106" s="1027">
        <f>+'ATT H-3D'!$H$16</f>
        <v>0.13016492184368511</v>
      </c>
      <c r="AA106" s="1029">
        <f t="shared" ref="AA106:AA120" si="1">+Z106*Y106</f>
        <v>0</v>
      </c>
      <c r="AC106" s="1029">
        <f>X106+AA106+AB106</f>
        <v>-432383.93191350799</v>
      </c>
      <c r="AF106" s="987"/>
      <c r="AG106" s="987"/>
      <c r="AH106" s="26"/>
    </row>
    <row r="107" spans="1:41" s="5" customFormat="1">
      <c r="A107" s="133"/>
      <c r="C107" s="1025" t="s">
        <v>1090</v>
      </c>
      <c r="G107" s="1652">
        <v>-314551.89999999991</v>
      </c>
      <c r="H107" s="1652">
        <v>-339423.11000000004</v>
      </c>
      <c r="I107" s="1652">
        <v>-309352.66000000003</v>
      </c>
      <c r="J107" s="1652">
        <v>-327833.23000000004</v>
      </c>
      <c r="K107" s="1652">
        <v>-233339.47000000003</v>
      </c>
      <c r="L107" s="1652">
        <v>-250659.23000000004</v>
      </c>
      <c r="M107" s="1652">
        <v>-233468.23000000004</v>
      </c>
      <c r="N107" s="1652">
        <v>-261450.47000000003</v>
      </c>
      <c r="O107" s="1652">
        <v>-269907.47000000003</v>
      </c>
      <c r="P107" s="1652">
        <v>-264330.97000000003</v>
      </c>
      <c r="Q107" s="1652">
        <v>-264330.97000000003</v>
      </c>
      <c r="R107" s="1652">
        <v>-264330.97000000003</v>
      </c>
      <c r="S107" s="1652">
        <v>-339030.97000000003</v>
      </c>
      <c r="T107" s="1040">
        <f>SUM(G107:S107)/13</f>
        <v>-282462.28076923086</v>
      </c>
      <c r="U107" s="1030"/>
      <c r="V107" s="1026"/>
      <c r="W107" s="1027">
        <f>+'ATT H-3D'!$H$37</f>
        <v>0.379445767046166</v>
      </c>
      <c r="X107" s="1028">
        <f>+V107*W107</f>
        <v>0</v>
      </c>
      <c r="Y107" s="1026">
        <f>+T107</f>
        <v>-282462.28076923086</v>
      </c>
      <c r="Z107" s="1027">
        <f>+'ATT H-3D'!$H$16</f>
        <v>0.13016492184368511</v>
      </c>
      <c r="AA107" s="1029">
        <f t="shared" si="1"/>
        <v>-36766.680700115976</v>
      </c>
      <c r="AC107" s="1029">
        <f t="shared" ref="AC107:AC120" si="2">X107+AA107+AB107</f>
        <v>-36766.680700115976</v>
      </c>
      <c r="AF107" s="987"/>
      <c r="AG107" s="987"/>
      <c r="AH107" s="26"/>
    </row>
    <row r="108" spans="1:41" s="5" customFormat="1">
      <c r="A108" s="133"/>
      <c r="C108" s="1025" t="s">
        <v>1091</v>
      </c>
      <c r="D108" s="1025"/>
      <c r="G108" s="1652">
        <v>741869.17</v>
      </c>
      <c r="H108" s="1652">
        <v>546298.32000000007</v>
      </c>
      <c r="I108" s="1652">
        <v>545247.97000000009</v>
      </c>
      <c r="J108" s="1652">
        <v>547180.59000000008</v>
      </c>
      <c r="K108" s="1652">
        <v>546523.10000000009</v>
      </c>
      <c r="L108" s="1652">
        <v>570959.89000000013</v>
      </c>
      <c r="M108" s="1652">
        <v>569637.3600000001</v>
      </c>
      <c r="N108" s="1652">
        <v>579563.50000000012</v>
      </c>
      <c r="O108" s="1652">
        <v>589256.43000000017</v>
      </c>
      <c r="P108" s="1652">
        <v>570456.36000000022</v>
      </c>
      <c r="Q108" s="1652">
        <v>557686.0900000002</v>
      </c>
      <c r="R108" s="1652">
        <v>554340.50000000023</v>
      </c>
      <c r="S108" s="1652">
        <v>556556.7200000002</v>
      </c>
      <c r="T108" s="1040">
        <f t="shared" ref="T108:T122" si="3">SUM(G108:S108)/13</f>
        <v>575044.30769230786</v>
      </c>
      <c r="U108" s="1030"/>
      <c r="V108" s="1026"/>
      <c r="W108" s="1027">
        <f>+'ATT H-3D'!$H$37</f>
        <v>0.379445767046166</v>
      </c>
      <c r="X108" s="1028">
        <f t="shared" ref="X108:X120" si="4">+V108*W108</f>
        <v>0</v>
      </c>
      <c r="Y108" s="1026">
        <f t="shared" ref="Y108:Y120" si="5">+T108</f>
        <v>575044.30769230786</v>
      </c>
      <c r="Z108" s="1027">
        <f>+'ATT H-3D'!$H$16</f>
        <v>0.13016492184368511</v>
      </c>
      <c r="AA108" s="1029">
        <f t="shared" si="1"/>
        <v>74850.59736742526</v>
      </c>
      <c r="AC108" s="1029">
        <f t="shared" si="2"/>
        <v>74850.59736742526</v>
      </c>
      <c r="AF108" s="987"/>
      <c r="AG108" s="987"/>
      <c r="AH108" s="26"/>
    </row>
    <row r="109" spans="1:41" s="5" customFormat="1">
      <c r="A109" s="133"/>
      <c r="C109" s="1025" t="s">
        <v>1092</v>
      </c>
      <c r="D109" s="1025"/>
      <c r="G109" s="1652">
        <v>752348.16999999993</v>
      </c>
      <c r="H109" s="1652">
        <v>936621.09</v>
      </c>
      <c r="I109" s="1652">
        <v>935027.05999999994</v>
      </c>
      <c r="J109" s="1652">
        <v>937960.03999999992</v>
      </c>
      <c r="K109" s="1652">
        <v>936962.22</v>
      </c>
      <c r="L109" s="1652">
        <v>974048.08</v>
      </c>
      <c r="M109" s="1652">
        <v>972040.97</v>
      </c>
      <c r="N109" s="1652">
        <v>987105.12</v>
      </c>
      <c r="O109" s="1652">
        <v>967861.07</v>
      </c>
      <c r="P109" s="1652">
        <v>965853.90999999992</v>
      </c>
      <c r="Q109" s="1652">
        <v>946473.44</v>
      </c>
      <c r="R109" s="1652">
        <v>941396.09</v>
      </c>
      <c r="S109" s="1652">
        <v>944759.48</v>
      </c>
      <c r="T109" s="1040">
        <f t="shared" si="3"/>
        <v>938342.82615384622</v>
      </c>
      <c r="U109" s="1030"/>
      <c r="V109" s="1026"/>
      <c r="W109" s="1027">
        <f>+'ATT H-3D'!$H$37</f>
        <v>0.379445767046166</v>
      </c>
      <c r="X109" s="1028">
        <f t="shared" si="4"/>
        <v>0</v>
      </c>
      <c r="Y109" s="1026">
        <f t="shared" si="5"/>
        <v>938342.82615384622</v>
      </c>
      <c r="Z109" s="1027">
        <f>+'ATT H-3D'!$H$16</f>
        <v>0.13016492184368511</v>
      </c>
      <c r="AA109" s="1029">
        <f t="shared" si="1"/>
        <v>122139.320628898</v>
      </c>
      <c r="AC109" s="1029">
        <f t="shared" si="2"/>
        <v>122139.320628898</v>
      </c>
      <c r="AF109" s="987"/>
      <c r="AG109" s="987"/>
      <c r="AH109" s="26"/>
    </row>
    <row r="110" spans="1:41" s="5" customFormat="1">
      <c r="A110" s="133"/>
      <c r="C110" s="1025" t="s">
        <v>1521</v>
      </c>
      <c r="D110" s="1025"/>
      <c r="G110" s="1652">
        <v>-15872050.550000001</v>
      </c>
      <c r="H110" s="1652">
        <v>-15712400.630000001</v>
      </c>
      <c r="I110" s="1652">
        <v>-15552750.710000001</v>
      </c>
      <c r="J110" s="1652">
        <v>-15347531.290000001</v>
      </c>
      <c r="K110" s="1652">
        <v>-15172691.540000001</v>
      </c>
      <c r="L110" s="1652">
        <v>-14997851.790000001</v>
      </c>
      <c r="M110" s="1652">
        <v>-14823012.040000001</v>
      </c>
      <c r="N110" s="1652">
        <v>-14648172.290000001</v>
      </c>
      <c r="O110" s="1652">
        <v>-14473332.540000001</v>
      </c>
      <c r="P110" s="1652">
        <v>-14298492.790000005</v>
      </c>
      <c r="Q110" s="1652">
        <v>-14123653.040000005</v>
      </c>
      <c r="R110" s="1652">
        <v>-14787852.220000004</v>
      </c>
      <c r="S110" s="1652">
        <v>-14613012.469999997</v>
      </c>
      <c r="T110" s="1040">
        <f t="shared" si="3"/>
        <v>-14955600.300000001</v>
      </c>
      <c r="U110" s="1030"/>
      <c r="V110" s="1026"/>
      <c r="W110" s="1027">
        <f>+'ATT H-3D'!$H$37</f>
        <v>0.379445767046166</v>
      </c>
      <c r="X110" s="1028"/>
      <c r="Y110" s="1026">
        <f t="shared" si="5"/>
        <v>-14955600.300000001</v>
      </c>
      <c r="Z110" s="1027">
        <f>+'ATT H-3D'!$H$16</f>
        <v>0.13016492184368511</v>
      </c>
      <c r="AA110" s="1029">
        <f t="shared" si="1"/>
        <v>-1946694.5441748938</v>
      </c>
      <c r="AC110" s="1029">
        <f t="shared" si="2"/>
        <v>-1946694.5441748938</v>
      </c>
      <c r="AF110" s="987"/>
      <c r="AG110" s="987"/>
      <c r="AH110" s="26"/>
    </row>
    <row r="111" spans="1:41" s="5" customFormat="1">
      <c r="A111" s="133"/>
      <c r="C111" s="1025" t="s">
        <v>1093</v>
      </c>
      <c r="D111" s="1025"/>
      <c r="G111" s="1652">
        <v>-2647066.3200000003</v>
      </c>
      <c r="H111" s="1652">
        <v>-2647066.3200000003</v>
      </c>
      <c r="I111" s="1652">
        <v>-2647066.3200000003</v>
      </c>
      <c r="J111" s="1652">
        <v>-2647066.3200000003</v>
      </c>
      <c r="K111" s="1652">
        <v>-2647066.3200000003</v>
      </c>
      <c r="L111" s="1652">
        <v>-2647066.3200000003</v>
      </c>
      <c r="M111" s="1652">
        <v>-2647066.3200000003</v>
      </c>
      <c r="N111" s="1652">
        <v>-2647066.3200000003</v>
      </c>
      <c r="O111" s="1652">
        <v>-2647066.3200000003</v>
      </c>
      <c r="P111" s="1652">
        <v>-2647066.3200000003</v>
      </c>
      <c r="Q111" s="1652">
        <v>-2647066.3200000003</v>
      </c>
      <c r="R111" s="1652">
        <v>-2647066.3200000003</v>
      </c>
      <c r="S111" s="1652">
        <v>-2647066.3200000003</v>
      </c>
      <c r="T111" s="1040">
        <f t="shared" si="3"/>
        <v>-2647066.3200000003</v>
      </c>
      <c r="U111" s="1030"/>
      <c r="V111" s="1026"/>
      <c r="W111" s="1027">
        <f>+'ATT H-3D'!$H$37</f>
        <v>0.379445767046166</v>
      </c>
      <c r="X111" s="1028"/>
      <c r="Y111" s="1026">
        <f t="shared" si="5"/>
        <v>-2647066.3200000003</v>
      </c>
      <c r="Z111" s="1027">
        <f>+'ATT H-3D'!$H$16</f>
        <v>0.13016492184368511</v>
      </c>
      <c r="AA111" s="1029">
        <f t="shared" si="1"/>
        <v>-344555.18065785122</v>
      </c>
      <c r="AC111" s="1029">
        <f t="shared" si="2"/>
        <v>-344555.18065785122</v>
      </c>
      <c r="AF111" s="987"/>
      <c r="AG111" s="987"/>
      <c r="AH111" s="26"/>
    </row>
    <row r="112" spans="1:41" s="5" customFormat="1">
      <c r="A112" s="133"/>
      <c r="C112" s="1025" t="s">
        <v>1099</v>
      </c>
      <c r="D112" s="1025"/>
      <c r="G112" s="1652">
        <v>0</v>
      </c>
      <c r="H112" s="1652">
        <v>0</v>
      </c>
      <c r="I112" s="1652">
        <v>0</v>
      </c>
      <c r="J112" s="1652">
        <v>0</v>
      </c>
      <c r="K112" s="1652">
        <v>0</v>
      </c>
      <c r="L112" s="1652">
        <v>0</v>
      </c>
      <c r="M112" s="1652">
        <v>0</v>
      </c>
      <c r="N112" s="1652">
        <v>0</v>
      </c>
      <c r="O112" s="1652">
        <v>0</v>
      </c>
      <c r="P112" s="1652">
        <v>0</v>
      </c>
      <c r="Q112" s="1652">
        <v>0</v>
      </c>
      <c r="R112" s="1652">
        <v>0</v>
      </c>
      <c r="S112" s="1652">
        <v>0</v>
      </c>
      <c r="T112" s="1040">
        <f t="shared" si="3"/>
        <v>0</v>
      </c>
      <c r="U112" s="1030"/>
      <c r="V112" s="1026"/>
      <c r="W112" s="1027">
        <f>+'ATT H-3D'!$H$37</f>
        <v>0.379445767046166</v>
      </c>
      <c r="X112" s="1028">
        <f t="shared" si="4"/>
        <v>0</v>
      </c>
      <c r="Y112" s="1026">
        <f t="shared" si="5"/>
        <v>0</v>
      </c>
      <c r="Z112" s="1027">
        <f>+'ATT H-3D'!$H$16</f>
        <v>0.13016492184368511</v>
      </c>
      <c r="AA112" s="1029">
        <f t="shared" si="1"/>
        <v>0</v>
      </c>
      <c r="AC112" s="1029">
        <f t="shared" si="2"/>
        <v>0</v>
      </c>
      <c r="AF112" s="987"/>
      <c r="AG112" s="987"/>
      <c r="AH112" s="26"/>
    </row>
    <row r="113" spans="1:34" s="5" customFormat="1">
      <c r="A113" s="133"/>
      <c r="C113" s="1025" t="s">
        <v>1103</v>
      </c>
      <c r="D113" s="1025"/>
      <c r="G113" s="1652">
        <v>-2996928.31</v>
      </c>
      <c r="H113" s="1652">
        <v>-3287455.12</v>
      </c>
      <c r="I113" s="1652">
        <v>-3297436.2800000003</v>
      </c>
      <c r="J113" s="1652">
        <v>-3280955.1300000004</v>
      </c>
      <c r="K113" s="1652">
        <v>-3453561.4800000004</v>
      </c>
      <c r="L113" s="1652">
        <v>-3890545.6700000004</v>
      </c>
      <c r="M113" s="1652">
        <v>-3880216.6900000004</v>
      </c>
      <c r="N113" s="1652">
        <v>-3874489.49</v>
      </c>
      <c r="O113" s="1652">
        <v>-4074285.14</v>
      </c>
      <c r="P113" s="1652">
        <v>-4110775.63</v>
      </c>
      <c r="Q113" s="1652">
        <v>-4095519.37</v>
      </c>
      <c r="R113" s="1652">
        <v>-4099465.9</v>
      </c>
      <c r="S113" s="1652">
        <v>-3977406.74</v>
      </c>
      <c r="T113" s="1040">
        <f t="shared" si="3"/>
        <v>-3716849.3038461539</v>
      </c>
      <c r="U113" s="1030"/>
      <c r="V113" s="1026"/>
      <c r="W113" s="1027">
        <f>+'ATT H-3D'!$H$37</f>
        <v>0.379445767046166</v>
      </c>
      <c r="X113" s="1028">
        <f t="shared" si="4"/>
        <v>0</v>
      </c>
      <c r="Y113" s="1026">
        <f t="shared" si="5"/>
        <v>-3716849.3038461539</v>
      </c>
      <c r="Z113" s="1027">
        <f>+'ATT H-3D'!$H$16</f>
        <v>0.13016492184368511</v>
      </c>
      <c r="AA113" s="1029">
        <f t="shared" si="1"/>
        <v>-483803.39913989004</v>
      </c>
      <c r="AC113" s="1029">
        <f t="shared" si="2"/>
        <v>-483803.39913989004</v>
      </c>
      <c r="AF113" s="987"/>
      <c r="AG113" s="987"/>
      <c r="AH113" s="26"/>
    </row>
    <row r="114" spans="1:34" s="5" customFormat="1">
      <c r="A114" s="133"/>
      <c r="C114" s="1025" t="s">
        <v>1104</v>
      </c>
      <c r="D114" s="1025"/>
      <c r="G114" s="1652">
        <v>-1204249.6900000002</v>
      </c>
      <c r="H114" s="1652">
        <v>-882423.49000000022</v>
      </c>
      <c r="I114" s="1652">
        <v>-889000.33000000019</v>
      </c>
      <c r="J114" s="1652">
        <v>-878140.48000000021</v>
      </c>
      <c r="K114" s="1652">
        <v>-991875.13000000024</v>
      </c>
      <c r="L114" s="1652">
        <v>-1279814.9400000002</v>
      </c>
      <c r="M114" s="1652">
        <v>-1273008.9200000002</v>
      </c>
      <c r="N114" s="1652">
        <v>-1269235.1200000001</v>
      </c>
      <c r="O114" s="1652">
        <v>-1258262.4700000002</v>
      </c>
      <c r="P114" s="1652">
        <v>-1282306.9800000002</v>
      </c>
      <c r="Q114" s="1652">
        <v>-1272254.2400000002</v>
      </c>
      <c r="R114" s="1652">
        <v>-1274854.7100000002</v>
      </c>
      <c r="S114" s="1652">
        <v>-1194426.8700000001</v>
      </c>
      <c r="T114" s="1040">
        <f t="shared" si="3"/>
        <v>-1149988.7207692312</v>
      </c>
      <c r="U114" s="1030"/>
      <c r="V114" s="1026"/>
      <c r="W114" s="1027">
        <f>+'ATT H-3D'!$H$37</f>
        <v>0.379445767046166</v>
      </c>
      <c r="X114" s="1028">
        <f t="shared" si="4"/>
        <v>0</v>
      </c>
      <c r="Y114" s="1026">
        <f t="shared" si="5"/>
        <v>-1149988.7207692312</v>
      </c>
      <c r="Z114" s="1027">
        <f>+'ATT H-3D'!$H$16</f>
        <v>0.13016492184368511</v>
      </c>
      <c r="AA114" s="1029">
        <f t="shared" si="1"/>
        <v>-149688.19196004639</v>
      </c>
      <c r="AC114" s="1029">
        <f t="shared" si="2"/>
        <v>-149688.19196004639</v>
      </c>
      <c r="AF114" s="987"/>
      <c r="AG114" s="987"/>
      <c r="AH114" s="26"/>
    </row>
    <row r="115" spans="1:34" s="5" customFormat="1">
      <c r="A115" s="133"/>
      <c r="C115" s="1025" t="s">
        <v>1094</v>
      </c>
      <c r="D115" s="1025"/>
      <c r="G115" s="1652">
        <v>-648035.97999999986</v>
      </c>
      <c r="H115" s="1652">
        <v>-649573.16999999993</v>
      </c>
      <c r="I115" s="1652">
        <v>-657029.07999999996</v>
      </c>
      <c r="J115" s="1652">
        <v>-665544.99999999988</v>
      </c>
      <c r="K115" s="1652">
        <v>-448875.60999999993</v>
      </c>
      <c r="L115" s="1652">
        <v>-400033.37999999989</v>
      </c>
      <c r="M115" s="1652">
        <v>-366716.26999999979</v>
      </c>
      <c r="N115" s="1652">
        <v>-428476.75999999989</v>
      </c>
      <c r="O115" s="1652">
        <v>-421071.72999999986</v>
      </c>
      <c r="P115" s="1652">
        <v>-424839.73999999976</v>
      </c>
      <c r="Q115" s="1652">
        <v>-419085.32999999978</v>
      </c>
      <c r="R115" s="1652">
        <v>-412196.17999999982</v>
      </c>
      <c r="S115" s="1652">
        <v>-414665.83999999968</v>
      </c>
      <c r="T115" s="1040">
        <f t="shared" si="3"/>
        <v>-488934.15923076909</v>
      </c>
      <c r="U115" s="1030"/>
      <c r="V115" s="1026"/>
      <c r="W115" s="1027">
        <f>+'ATT H-3D'!$H$37</f>
        <v>0.379445767046166</v>
      </c>
      <c r="X115" s="1028">
        <f t="shared" si="4"/>
        <v>0</v>
      </c>
      <c r="Y115" s="1026">
        <f t="shared" si="5"/>
        <v>-488934.15923076909</v>
      </c>
      <c r="Z115" s="1027">
        <f>+'ATT H-3D'!$H$16</f>
        <v>0.13016492184368511</v>
      </c>
      <c r="AA115" s="1029">
        <f t="shared" si="1"/>
        <v>-63642.076622980952</v>
      </c>
      <c r="AC115" s="1029">
        <f t="shared" si="2"/>
        <v>-63642.076622980952</v>
      </c>
      <c r="AF115" s="987"/>
      <c r="AG115" s="987"/>
      <c r="AH115" s="26"/>
    </row>
    <row r="116" spans="1:34" s="5" customFormat="1">
      <c r="A116" s="133"/>
      <c r="C116" s="1025" t="s">
        <v>1269</v>
      </c>
      <c r="D116" s="1025"/>
      <c r="G116" s="1652">
        <v>0</v>
      </c>
      <c r="H116" s="1652">
        <v>0</v>
      </c>
      <c r="I116" s="1652">
        <v>0</v>
      </c>
      <c r="J116" s="1652">
        <v>-119185.56</v>
      </c>
      <c r="K116" s="1652">
        <v>-119185.56</v>
      </c>
      <c r="L116" s="1652">
        <v>-119185.56</v>
      </c>
      <c r="M116" s="1652">
        <v>-119185.56</v>
      </c>
      <c r="N116" s="1652">
        <v>-119185.56</v>
      </c>
      <c r="O116" s="1652">
        <v>-119185.56</v>
      </c>
      <c r="P116" s="1652">
        <v>-119185.56</v>
      </c>
      <c r="Q116" s="1652">
        <v>-110010.7</v>
      </c>
      <c r="R116" s="1652">
        <v>-100405.39</v>
      </c>
      <c r="S116" s="1652">
        <v>-90546.5</v>
      </c>
      <c r="T116" s="1040">
        <f t="shared" si="3"/>
        <v>-87327.808461538487</v>
      </c>
      <c r="U116" s="1030"/>
      <c r="V116" s="1026"/>
      <c r="W116" s="1027">
        <f>+'ATT H-3D'!$H$37</f>
        <v>0.379445767046166</v>
      </c>
      <c r="X116" s="1028">
        <f t="shared" si="4"/>
        <v>0</v>
      </c>
      <c r="Y116" s="1026">
        <f t="shared" si="5"/>
        <v>-87327.808461538487</v>
      </c>
      <c r="Z116" s="1027">
        <f>+'ATT H-3D'!$H$16</f>
        <v>0.13016492184368511</v>
      </c>
      <c r="AA116" s="1029">
        <f t="shared" si="1"/>
        <v>-11367.017363176461</v>
      </c>
      <c r="AC116" s="1029">
        <f t="shared" si="2"/>
        <v>-11367.017363176461</v>
      </c>
      <c r="AF116" s="987"/>
      <c r="AG116" s="987"/>
      <c r="AH116" s="26"/>
    </row>
    <row r="117" spans="1:34" s="5" customFormat="1">
      <c r="A117" s="133"/>
      <c r="C117" s="1025" t="s">
        <v>1095</v>
      </c>
      <c r="D117" s="1025"/>
      <c r="G117" s="1652">
        <v>-6116357.6200000001</v>
      </c>
      <c r="H117" s="1652">
        <v>-6367446.0099999998</v>
      </c>
      <c r="I117" s="1652">
        <v>-665999.12999999989</v>
      </c>
      <c r="J117" s="1652">
        <v>-1034509.4799999999</v>
      </c>
      <c r="K117" s="1652">
        <v>-1397997.83</v>
      </c>
      <c r="L117" s="1652">
        <v>-1729747.28</v>
      </c>
      <c r="M117" s="1652">
        <v>-3088814.33</v>
      </c>
      <c r="N117" s="1652">
        <v>-3609437.51</v>
      </c>
      <c r="O117" s="1652">
        <v>-4197732.72</v>
      </c>
      <c r="P117" s="1652">
        <v>-4507850.5599999996</v>
      </c>
      <c r="Q117" s="1652">
        <v>-4933327.58</v>
      </c>
      <c r="R117" s="1652">
        <v>-5691877.3799999999</v>
      </c>
      <c r="S117" s="1652">
        <v>-8067694.8900000015</v>
      </c>
      <c r="T117" s="1040">
        <f t="shared" si="3"/>
        <v>-3954522.4861538461</v>
      </c>
      <c r="U117" s="1030"/>
      <c r="V117" s="1026"/>
      <c r="W117" s="1027">
        <f>+'ATT H-3D'!$H$37</f>
        <v>0.379445767046166</v>
      </c>
      <c r="X117" s="1028">
        <f t="shared" si="4"/>
        <v>0</v>
      </c>
      <c r="Y117" s="1026">
        <f t="shared" si="5"/>
        <v>-3954522.4861538461</v>
      </c>
      <c r="Z117" s="1027">
        <f>+'ATT H-3D'!$H$16</f>
        <v>0.13016492184368511</v>
      </c>
      <c r="AA117" s="1029">
        <f t="shared" si="1"/>
        <v>-514740.11033931072</v>
      </c>
      <c r="AC117" s="1029">
        <f t="shared" si="2"/>
        <v>-514740.11033931072</v>
      </c>
      <c r="AF117" s="987"/>
      <c r="AG117" s="987"/>
      <c r="AH117" s="26"/>
    </row>
    <row r="118" spans="1:34" s="5" customFormat="1">
      <c r="A118" s="133"/>
      <c r="C118" s="1025" t="s">
        <v>1096</v>
      </c>
      <c r="D118" s="1025"/>
      <c r="G118" s="1652">
        <v>-4638684.46</v>
      </c>
      <c r="H118" s="1652">
        <v>-4498772.07</v>
      </c>
      <c r="I118" s="1652">
        <v>-4484408.3900000006</v>
      </c>
      <c r="J118" s="1652">
        <v>-4007423.2300000004</v>
      </c>
      <c r="K118" s="1652">
        <v>-4071087.2700000005</v>
      </c>
      <c r="L118" s="1652">
        <v>-3799961.9100000006</v>
      </c>
      <c r="M118" s="1652">
        <v>-6373513.4400000004</v>
      </c>
      <c r="N118" s="1652">
        <v>-4187881.8000000003</v>
      </c>
      <c r="O118" s="1652">
        <v>-4246086.53</v>
      </c>
      <c r="P118" s="1652">
        <v>-4394304.0900000008</v>
      </c>
      <c r="Q118" s="1652">
        <v>-4339001.120000001</v>
      </c>
      <c r="R118" s="1652">
        <v>-4447403.040000001</v>
      </c>
      <c r="S118" s="1652">
        <v>-4917085.1400000006</v>
      </c>
      <c r="T118" s="1040">
        <f t="shared" si="3"/>
        <v>-4492739.4223076925</v>
      </c>
      <c r="U118" s="1030"/>
      <c r="V118" s="1026"/>
      <c r="W118" s="1027">
        <f>+'ATT H-3D'!$H$37</f>
        <v>0.379445767046166</v>
      </c>
      <c r="X118" s="1028">
        <f t="shared" si="4"/>
        <v>0</v>
      </c>
      <c r="Y118" s="1026">
        <f t="shared" si="5"/>
        <v>-4492739.4223076925</v>
      </c>
      <c r="Z118" s="1027">
        <f>+'ATT H-3D'!$H$16</f>
        <v>0.13016492184368511</v>
      </c>
      <c r="AA118" s="1029">
        <f t="shared" si="1"/>
        <v>-584797.07576872373</v>
      </c>
      <c r="AC118" s="1029">
        <f t="shared" si="2"/>
        <v>-584797.07576872373</v>
      </c>
      <c r="AF118" s="987"/>
      <c r="AG118" s="987"/>
      <c r="AH118" s="26"/>
    </row>
    <row r="119" spans="1:34" s="5" customFormat="1">
      <c r="A119" s="133"/>
      <c r="C119" s="1800" t="s">
        <v>1917</v>
      </c>
      <c r="D119" s="1025"/>
      <c r="G119" s="1652">
        <v>-369506</v>
      </c>
      <c r="H119" s="1652">
        <v>-600583.12</v>
      </c>
      <c r="I119" s="1652">
        <v>-266391.53999999998</v>
      </c>
      <c r="J119" s="1652">
        <v>-268553</v>
      </c>
      <c r="K119" s="1652">
        <v>-314745.51</v>
      </c>
      <c r="L119" s="1652">
        <v>-362477.77</v>
      </c>
      <c r="M119" s="1652">
        <v>-408670.28</v>
      </c>
      <c r="N119" s="1652">
        <v>-416658.95</v>
      </c>
      <c r="O119" s="1652">
        <v>-424647.62</v>
      </c>
      <c r="P119" s="1652">
        <v>-453778.58000000007</v>
      </c>
      <c r="Q119" s="1652">
        <v>-461767.25000000006</v>
      </c>
      <c r="R119" s="1652">
        <v>-469498.22000000003</v>
      </c>
      <c r="S119" s="1652">
        <v>-477486.89</v>
      </c>
      <c r="T119" s="1040">
        <f t="shared" si="3"/>
        <v>-407289.59461538459</v>
      </c>
      <c r="U119" s="1030"/>
      <c r="V119" s="1026"/>
      <c r="W119" s="1027">
        <f>+'ATT H-3D'!$H$37</f>
        <v>0.379445767046166</v>
      </c>
      <c r="X119" s="1028"/>
      <c r="Y119" s="1026">
        <f t="shared" si="5"/>
        <v>-407289.59461538459</v>
      </c>
      <c r="Z119" s="1027">
        <f>+'ATT H-3D'!$H$16</f>
        <v>0.13016492184368511</v>
      </c>
      <c r="AA119" s="1029">
        <f t="shared" si="1"/>
        <v>-53014.81825085773</v>
      </c>
      <c r="AC119" s="1029">
        <f t="shared" si="2"/>
        <v>-53014.81825085773</v>
      </c>
      <c r="AF119" s="987"/>
      <c r="AG119" s="987"/>
      <c r="AH119" s="26"/>
    </row>
    <row r="120" spans="1:34" s="5" customFormat="1">
      <c r="A120" s="133"/>
      <c r="C120" s="1025" t="s">
        <v>1098</v>
      </c>
      <c r="D120" s="1025"/>
      <c r="G120" s="1652">
        <v>-655419.52</v>
      </c>
      <c r="H120" s="1652">
        <v>-655419.52</v>
      </c>
      <c r="I120" s="1652">
        <v>-655419.52</v>
      </c>
      <c r="J120" s="1652">
        <v>-655419.52</v>
      </c>
      <c r="K120" s="1652">
        <v>-655419.52</v>
      </c>
      <c r="L120" s="1652">
        <v>-655419.52</v>
      </c>
      <c r="M120" s="1652">
        <v>-655419.52</v>
      </c>
      <c r="N120" s="1652">
        <v>-655419.52</v>
      </c>
      <c r="O120" s="1652">
        <v>-655419.52</v>
      </c>
      <c r="P120" s="1652">
        <v>-655419.5199999999</v>
      </c>
      <c r="Q120" s="1652">
        <v>-655419.5199999999</v>
      </c>
      <c r="R120" s="1652">
        <v>-655419.5199999999</v>
      </c>
      <c r="S120" s="1652">
        <v>-655419.5199999999</v>
      </c>
      <c r="T120" s="1040">
        <f t="shared" si="3"/>
        <v>-655419.51999999979</v>
      </c>
      <c r="U120" s="1030"/>
      <c r="V120" s="1026"/>
      <c r="W120" s="1027">
        <f>+'ATT H-3D'!$H$37</f>
        <v>0.379445767046166</v>
      </c>
      <c r="X120" s="1028">
        <f t="shared" si="4"/>
        <v>0</v>
      </c>
      <c r="Y120" s="1026">
        <f t="shared" si="5"/>
        <v>-655419.51999999979</v>
      </c>
      <c r="Z120" s="1027">
        <f>+'ATT H-3D'!$H$16</f>
        <v>0.13016492184368511</v>
      </c>
      <c r="AA120" s="1029">
        <f t="shared" si="1"/>
        <v>-85312.630595625582</v>
      </c>
      <c r="AC120" s="1029">
        <f t="shared" si="2"/>
        <v>-85312.630595625582</v>
      </c>
      <c r="AF120" s="987"/>
      <c r="AG120" s="987"/>
      <c r="AH120" s="26"/>
    </row>
    <row r="121" spans="1:34" s="5" customFormat="1">
      <c r="A121" s="133"/>
      <c r="C121" s="1025"/>
      <c r="G121" s="1653"/>
      <c r="H121" s="1653"/>
      <c r="I121" s="1653"/>
      <c r="J121" s="1653"/>
      <c r="K121" s="1653"/>
      <c r="L121" s="1653"/>
      <c r="M121" s="1653"/>
      <c r="N121" s="1653"/>
      <c r="O121" s="1653"/>
      <c r="P121" s="1653"/>
      <c r="Q121" s="1653"/>
      <c r="R121" s="1653"/>
      <c r="S121" s="1653"/>
      <c r="T121" s="1041"/>
      <c r="U121" s="1030"/>
      <c r="V121" s="1026"/>
      <c r="W121" s="1031"/>
      <c r="X121" s="1028"/>
      <c r="Y121" s="1026"/>
      <c r="Z121" s="1027"/>
      <c r="AA121" s="1029"/>
      <c r="AC121" s="1029"/>
      <c r="AF121" s="987"/>
      <c r="AG121" s="987"/>
      <c r="AH121" s="26"/>
    </row>
    <row r="122" spans="1:34" s="5" customFormat="1" ht="15" thickBot="1">
      <c r="A122" s="133"/>
      <c r="C122" s="632" t="s">
        <v>1100</v>
      </c>
      <c r="G122" s="1032">
        <f t="shared" ref="G122:S122" si="6">SUM(G106:G121)</f>
        <v>-35303422.990000002</v>
      </c>
      <c r="H122" s="1032">
        <f t="shared" si="6"/>
        <v>-35297561.920000002</v>
      </c>
      <c r="I122" s="1032">
        <f t="shared" si="6"/>
        <v>-29274568.150000002</v>
      </c>
      <c r="J122" s="1032">
        <f t="shared" si="6"/>
        <v>-28978266.800000001</v>
      </c>
      <c r="K122" s="1032">
        <f t="shared" si="6"/>
        <v>-29260105.110000003</v>
      </c>
      <c r="L122" s="1032">
        <f t="shared" si="6"/>
        <v>-29558180.830000002</v>
      </c>
      <c r="M122" s="1032">
        <f t="shared" si="6"/>
        <v>-33364460.480000004</v>
      </c>
      <c r="N122" s="1032">
        <f t="shared" si="6"/>
        <v>-31559870.140000004</v>
      </c>
      <c r="O122" s="1032">
        <f t="shared" si="6"/>
        <v>-32330315.68</v>
      </c>
      <c r="P122" s="1032">
        <f t="shared" si="6"/>
        <v>-32728673.819999997</v>
      </c>
      <c r="Q122" s="1032">
        <f t="shared" si="6"/>
        <v>-32923909.260000005</v>
      </c>
      <c r="R122" s="1032">
        <f t="shared" si="6"/>
        <v>-34461266.610000007</v>
      </c>
      <c r="S122" s="1032">
        <f t="shared" si="6"/>
        <v>-36995652.140000008</v>
      </c>
      <c r="T122" s="1042">
        <f t="shared" si="3"/>
        <v>-32464327.225384615</v>
      </c>
      <c r="U122" s="1030"/>
      <c r="V122" s="1033">
        <f>SUM(V106:V121)</f>
        <v>-1139514.4430769237</v>
      </c>
      <c r="W122" s="791"/>
      <c r="X122" s="1033">
        <f>SUM(X106:X121)</f>
        <v>-432383.93191350799</v>
      </c>
      <c r="Y122" s="1033">
        <f>SUM(Y106:Y121)</f>
        <v>-31324812.782307692</v>
      </c>
      <c r="Z122" s="1034"/>
      <c r="AA122" s="1033">
        <f>SUM(AA106:AA121)</f>
        <v>-4077391.807577149</v>
      </c>
      <c r="AB122" s="1033">
        <f>SUM(AB106:AB121)</f>
        <v>0</v>
      </c>
      <c r="AC122" s="1033">
        <f>SUM(AC106:AC121)</f>
        <v>-4509775.7394906571</v>
      </c>
      <c r="AD122" s="1025" t="s">
        <v>1881</v>
      </c>
      <c r="AF122" s="987"/>
      <c r="AG122" s="987"/>
      <c r="AH122" s="26"/>
    </row>
    <row r="123" spans="1:34" s="5" customFormat="1" ht="15" thickTop="1">
      <c r="A123" s="133"/>
      <c r="C123" s="632"/>
      <c r="G123" s="1035"/>
      <c r="H123" s="1035"/>
      <c r="I123" s="1035"/>
      <c r="J123" s="1035"/>
      <c r="K123" s="1035"/>
      <c r="L123" s="1035"/>
      <c r="M123" s="1035"/>
      <c r="N123" s="1035"/>
      <c r="O123" s="1035"/>
      <c r="P123" s="1035"/>
      <c r="Q123" s="1035"/>
      <c r="R123" s="1035"/>
      <c r="S123" s="1035"/>
      <c r="T123" s="1036"/>
      <c r="U123" s="1037"/>
      <c r="V123" s="1036"/>
      <c r="W123" s="791"/>
      <c r="X123" s="1036"/>
      <c r="Y123" s="1036"/>
      <c r="Z123" s="1034"/>
      <c r="AA123" s="1036"/>
      <c r="AB123" s="1036"/>
      <c r="AC123" s="1036"/>
      <c r="AD123" s="1025"/>
      <c r="AF123" s="987"/>
      <c r="AG123" s="987"/>
      <c r="AH123" s="26"/>
    </row>
    <row r="124" spans="1:34" s="5" customFormat="1" ht="15" customHeight="1">
      <c r="A124" s="133"/>
      <c r="C124" s="1923" t="s">
        <v>1101</v>
      </c>
      <c r="D124" s="1923"/>
      <c r="E124" s="1923"/>
      <c r="F124" s="1923"/>
      <c r="G124" s="1923"/>
      <c r="H124" s="1923"/>
      <c r="I124" s="1923"/>
      <c r="J124" s="1923"/>
      <c r="K124" s="1923"/>
      <c r="L124" s="1923"/>
      <c r="M124" s="1923"/>
      <c r="N124" s="1923"/>
      <c r="O124" s="1923"/>
      <c r="P124" s="1923"/>
      <c r="Q124" s="1923"/>
      <c r="R124" s="1923"/>
      <c r="S124" s="1923"/>
      <c r="T124" s="1923"/>
      <c r="U124" s="1037"/>
      <c r="V124" s="1114"/>
      <c r="W124" s="791"/>
      <c r="X124" s="1036"/>
      <c r="Y124" s="1036"/>
      <c r="Z124" s="1034"/>
      <c r="AA124" s="1036"/>
      <c r="AB124" s="1036"/>
      <c r="AC124" s="1036"/>
      <c r="AD124" s="1025"/>
      <c r="AF124" s="987"/>
      <c r="AG124" s="987"/>
      <c r="AH124" s="26"/>
    </row>
    <row r="125" spans="1:34" s="5" customFormat="1">
      <c r="A125" s="133"/>
      <c r="C125" s="1923"/>
      <c r="D125" s="1923"/>
      <c r="E125" s="1923"/>
      <c r="F125" s="1923"/>
      <c r="G125" s="1923"/>
      <c r="H125" s="1923"/>
      <c r="I125" s="1923"/>
      <c r="J125" s="1923"/>
      <c r="K125" s="1923"/>
      <c r="L125" s="1923"/>
      <c r="M125" s="1923"/>
      <c r="N125" s="1923"/>
      <c r="O125" s="1923"/>
      <c r="P125" s="1923"/>
      <c r="Q125" s="1923"/>
      <c r="R125" s="1923"/>
      <c r="S125" s="1923"/>
      <c r="T125" s="1923"/>
      <c r="U125" s="1037"/>
      <c r="V125" s="1036"/>
      <c r="W125" s="791"/>
      <c r="X125" s="1036"/>
      <c r="Y125" s="1036"/>
      <c r="Z125" s="1034"/>
      <c r="AA125" s="1036"/>
      <c r="AB125" s="1036"/>
      <c r="AC125" s="1036"/>
      <c r="AD125" s="1025"/>
      <c r="AF125" s="987"/>
      <c r="AG125" s="987"/>
      <c r="AH125" s="26"/>
    </row>
    <row r="126" spans="1:34" s="5" customFormat="1">
      <c r="A126" s="133"/>
      <c r="C126" s="1923"/>
      <c r="D126" s="1923"/>
      <c r="E126" s="1923"/>
      <c r="F126" s="1923"/>
      <c r="G126" s="1923"/>
      <c r="H126" s="1923"/>
      <c r="I126" s="1923"/>
      <c r="J126" s="1923"/>
      <c r="K126" s="1923"/>
      <c r="L126" s="1923"/>
      <c r="M126" s="1923"/>
      <c r="N126" s="1923"/>
      <c r="O126" s="1923"/>
      <c r="P126" s="1923"/>
      <c r="Q126" s="1923"/>
      <c r="R126" s="1923"/>
      <c r="S126" s="1923"/>
      <c r="T126" s="1923"/>
      <c r="U126" s="1037"/>
      <c r="V126" s="1036"/>
      <c r="W126" s="791"/>
      <c r="X126" s="1036"/>
      <c r="Y126" s="1036"/>
      <c r="Z126" s="1034"/>
      <c r="AA126" s="1036"/>
      <c r="AB126" s="1036"/>
      <c r="AC126" s="1036"/>
      <c r="AD126" s="1025"/>
      <c r="AF126" s="987"/>
      <c r="AG126" s="987"/>
      <c r="AH126" s="26"/>
    </row>
    <row r="127" spans="1:34" s="5" customFormat="1" ht="15" thickBot="1">
      <c r="A127" s="139"/>
      <c r="B127" s="91"/>
      <c r="C127" s="1038"/>
      <c r="D127" s="1038"/>
      <c r="E127" s="1038"/>
      <c r="F127" s="1038"/>
      <c r="G127" s="1038"/>
      <c r="H127" s="1038"/>
      <c r="I127" s="1038"/>
      <c r="J127" s="1038"/>
      <c r="K127" s="1038"/>
      <c r="L127" s="1038"/>
      <c r="M127" s="1038"/>
      <c r="N127" s="1038"/>
      <c r="O127" s="1038"/>
      <c r="P127" s="1038"/>
      <c r="Q127" s="1038"/>
      <c r="R127" s="1038"/>
      <c r="S127" s="1038"/>
      <c r="T127" s="1038"/>
      <c r="U127" s="1038"/>
      <c r="V127" s="1038"/>
      <c r="W127" s="91"/>
      <c r="X127" s="91"/>
      <c r="Y127" s="91"/>
      <c r="Z127" s="91"/>
      <c r="AA127" s="91"/>
      <c r="AB127" s="91"/>
      <c r="AC127" s="91"/>
      <c r="AD127" s="93"/>
      <c r="AE127" s="93"/>
      <c r="AF127" s="93"/>
      <c r="AG127" s="93"/>
      <c r="AH127" s="908"/>
    </row>
    <row r="128" spans="1:34">
      <c r="A128" s="137"/>
      <c r="B128" s="137"/>
      <c r="C128" s="137"/>
      <c r="D128" s="137"/>
      <c r="E128" s="137"/>
      <c r="F128" s="137"/>
      <c r="G128" s="19"/>
      <c r="H128" s="19"/>
      <c r="I128" s="19"/>
      <c r="J128" s="19"/>
      <c r="K128" s="138"/>
      <c r="L128" s="19"/>
      <c r="M128" s="19"/>
      <c r="N128" s="19"/>
      <c r="O128" s="19"/>
      <c r="P128" s="19"/>
      <c r="Q128" s="19"/>
    </row>
    <row r="129" spans="1:17" ht="15" thickBot="1">
      <c r="A129" s="137"/>
      <c r="B129" s="137"/>
      <c r="C129" s="137"/>
      <c r="D129" s="137"/>
      <c r="E129" s="137"/>
      <c r="F129" s="137"/>
      <c r="G129" s="19"/>
      <c r="H129" s="19"/>
      <c r="I129" s="19"/>
      <c r="J129" s="19"/>
      <c r="K129" s="138"/>
      <c r="L129" s="19"/>
      <c r="M129" s="19"/>
      <c r="N129" s="19"/>
      <c r="O129" s="19"/>
      <c r="P129" s="19"/>
      <c r="Q129" s="19"/>
    </row>
    <row r="130" spans="1:17" ht="18">
      <c r="A130" s="1924" t="s">
        <v>1197</v>
      </c>
      <c r="B130" s="1925"/>
      <c r="C130" s="1925"/>
      <c r="D130" s="1925"/>
      <c r="E130" s="1925"/>
      <c r="F130" s="1925"/>
      <c r="G130" s="1124"/>
      <c r="H130" s="1125" t="s">
        <v>237</v>
      </c>
      <c r="I130" s="1125" t="s">
        <v>1056</v>
      </c>
      <c r="J130" s="1198" t="s">
        <v>1256</v>
      </c>
      <c r="K130" s="138"/>
      <c r="L130" s="19"/>
      <c r="M130" s="19"/>
      <c r="N130" s="19"/>
      <c r="O130" s="19"/>
      <c r="P130" s="19"/>
      <c r="Q130" s="19"/>
    </row>
    <row r="131" spans="1:17" ht="15.5">
      <c r="A131" s="923"/>
      <c r="C131" t="s">
        <v>1197</v>
      </c>
      <c r="D131" s="1096"/>
      <c r="E131" s="1097"/>
      <c r="F131" s="1097"/>
      <c r="G131" s="1098">
        <v>0</v>
      </c>
      <c r="H131" s="1127">
        <f>+'ATT H-3D'!H16</f>
        <v>0.13016492184368511</v>
      </c>
      <c r="I131" t="s">
        <v>1206</v>
      </c>
      <c r="J131" s="1099"/>
      <c r="K131" s="138"/>
      <c r="L131" s="19"/>
      <c r="M131" s="19"/>
      <c r="N131" s="19"/>
      <c r="O131" s="19"/>
      <c r="P131" s="19"/>
      <c r="Q131" s="19"/>
    </row>
    <row r="132" spans="1:17" ht="15.5">
      <c r="A132" s="923"/>
      <c r="D132" s="1096"/>
      <c r="E132" s="1097"/>
      <c r="F132" s="936" t="s">
        <v>1913</v>
      </c>
      <c r="G132" s="1778">
        <v>680782</v>
      </c>
      <c r="H132" s="1126">
        <v>1</v>
      </c>
      <c r="I132" t="s">
        <v>1088</v>
      </c>
      <c r="J132" s="1099"/>
      <c r="K132" s="138"/>
      <c r="L132" s="19"/>
      <c r="M132" s="19"/>
      <c r="N132" s="19"/>
      <c r="O132" s="19"/>
      <c r="P132" s="19"/>
      <c r="Q132" s="19"/>
    </row>
    <row r="133" spans="1:17" ht="15.5">
      <c r="A133" s="923"/>
      <c r="D133" s="1096"/>
      <c r="E133" s="1097"/>
      <c r="F133" s="1097"/>
      <c r="G133" s="1098">
        <v>0</v>
      </c>
      <c r="H133" s="1127">
        <f>+'ATT H-3D'!H37</f>
        <v>0.379445767046166</v>
      </c>
      <c r="I133" t="s">
        <v>556</v>
      </c>
      <c r="J133" s="1099"/>
      <c r="K133" s="138"/>
      <c r="L133" s="19"/>
      <c r="M133" s="19"/>
      <c r="N133" s="19"/>
      <c r="O133" s="19"/>
      <c r="P133" s="19"/>
      <c r="Q133" s="19"/>
    </row>
    <row r="134" spans="1:17" ht="15.5">
      <c r="A134" s="923"/>
      <c r="D134" s="1096"/>
      <c r="E134" s="1097"/>
      <c r="F134" s="1097"/>
      <c r="G134" s="1100"/>
      <c r="H134" s="1097"/>
      <c r="J134" s="1099"/>
      <c r="K134" s="138"/>
      <c r="L134" s="19"/>
      <c r="M134" s="19"/>
      <c r="N134" s="19"/>
      <c r="O134" s="19"/>
      <c r="P134" s="19"/>
      <c r="Q134" s="19"/>
    </row>
    <row r="135" spans="1:17" ht="15.5">
      <c r="A135" s="923"/>
      <c r="D135" s="1096"/>
      <c r="E135" s="1097"/>
      <c r="F135" s="1097"/>
      <c r="G135" s="1798">
        <f>SUM(G131:G134)</f>
        <v>680782</v>
      </c>
      <c r="H135" s="1097"/>
      <c r="J135" s="1099"/>
      <c r="K135" s="138"/>
      <c r="L135" s="19"/>
      <c r="M135" s="19"/>
      <c r="N135" s="19"/>
      <c r="O135" s="19"/>
      <c r="P135" s="19"/>
      <c r="Q135" s="19"/>
    </row>
    <row r="136" spans="1:17" ht="15.5">
      <c r="A136" s="923"/>
      <c r="C136" s="185"/>
      <c r="D136" s="1096"/>
      <c r="E136" s="1106"/>
      <c r="F136" s="1097"/>
      <c r="G136" s="1102"/>
      <c r="H136" s="1097"/>
      <c r="J136" s="1099"/>
      <c r="K136" s="138"/>
      <c r="L136" s="19"/>
      <c r="M136" s="19"/>
      <c r="N136" s="19"/>
      <c r="O136" s="19"/>
      <c r="P136" s="19"/>
      <c r="Q136" s="19"/>
    </row>
    <row r="137" spans="1:17" ht="15.5">
      <c r="A137" s="923"/>
      <c r="C137" s="185"/>
      <c r="D137" s="1096"/>
      <c r="E137" s="1106"/>
      <c r="F137" s="1097"/>
      <c r="G137" s="1101"/>
      <c r="J137" s="1099"/>
      <c r="K137" s="138"/>
      <c r="L137" s="19"/>
      <c r="M137" s="19"/>
      <c r="N137" s="19"/>
      <c r="O137" s="19"/>
      <c r="P137" s="19"/>
      <c r="Q137" s="19"/>
    </row>
    <row r="138" spans="1:17" ht="15.5">
      <c r="A138" s="923"/>
      <c r="C138" s="185"/>
      <c r="D138" s="1096"/>
      <c r="E138" s="1106"/>
      <c r="F138" s="1097"/>
      <c r="G138" s="1103"/>
      <c r="H138" s="1097"/>
      <c r="J138" s="1099"/>
      <c r="K138" s="138"/>
      <c r="L138" s="936"/>
      <c r="M138" s="1778"/>
      <c r="N138" s="1779"/>
      <c r="O138" s="1519"/>
      <c r="P138" s="936"/>
      <c r="Q138" s="19"/>
    </row>
    <row r="139" spans="1:17" ht="16" thickBot="1">
      <c r="A139" s="89"/>
      <c r="B139" s="90"/>
      <c r="C139" s="90"/>
      <c r="D139" s="1104"/>
      <c r="E139" s="1105"/>
      <c r="F139" s="1105"/>
      <c r="G139" s="1799">
        <f>SUMPRODUCT(G131:G134,H131:H134)</f>
        <v>680782</v>
      </c>
      <c r="H139" s="1105" t="s">
        <v>1198</v>
      </c>
      <c r="I139" s="90"/>
      <c r="J139" s="92"/>
      <c r="K139" s="138"/>
      <c r="L139" s="19"/>
      <c r="M139" s="19"/>
      <c r="N139" s="19"/>
      <c r="O139" s="19"/>
      <c r="P139" s="19"/>
      <c r="Q139" s="19"/>
    </row>
    <row r="140" spans="1:17">
      <c r="A140" s="137"/>
      <c r="B140" s="137"/>
      <c r="C140" s="137"/>
      <c r="D140" s="137"/>
      <c r="E140" s="137"/>
      <c r="F140" s="137"/>
      <c r="G140" s="19"/>
      <c r="H140" s="19"/>
      <c r="I140" s="19"/>
      <c r="J140" s="19"/>
      <c r="K140" s="138"/>
      <c r="L140" s="19"/>
      <c r="M140" s="19"/>
      <c r="N140" s="19"/>
      <c r="O140" s="19"/>
      <c r="P140" s="19"/>
      <c r="Q140" s="19"/>
    </row>
    <row r="141" spans="1:17">
      <c r="A141" s="137"/>
      <c r="B141" s="137"/>
      <c r="C141" s="137"/>
      <c r="D141" s="137"/>
      <c r="E141" s="137"/>
      <c r="F141" s="137"/>
      <c r="G141" s="19"/>
      <c r="H141" s="19"/>
      <c r="I141" s="19"/>
      <c r="J141" s="19"/>
      <c r="K141" s="138"/>
      <c r="L141" s="19"/>
      <c r="M141" s="19"/>
      <c r="N141" s="19"/>
      <c r="O141" s="19"/>
      <c r="P141" s="19"/>
      <c r="Q141" s="19"/>
    </row>
    <row r="142" spans="1:17" ht="18.75" customHeight="1">
      <c r="A142" s="137"/>
      <c r="B142" s="137"/>
      <c r="C142" s="137"/>
      <c r="D142" s="137"/>
      <c r="E142" s="137"/>
      <c r="F142" s="137"/>
      <c r="G142" s="19"/>
      <c r="H142" s="19"/>
      <c r="I142" s="19"/>
      <c r="J142" s="19"/>
      <c r="K142" s="138"/>
      <c r="L142" s="19"/>
      <c r="M142" s="19"/>
      <c r="N142" s="19"/>
      <c r="O142" s="19"/>
      <c r="P142" s="19"/>
      <c r="Q142" s="19"/>
    </row>
    <row r="143" spans="1:17" ht="20.5" thickBot="1">
      <c r="A143" s="46" t="s">
        <v>115</v>
      </c>
      <c r="G143" s="34"/>
      <c r="H143" s="34"/>
      <c r="I143" s="34"/>
      <c r="J143" s="34"/>
      <c r="K143" s="34"/>
      <c r="L143" s="34"/>
      <c r="M143" s="34"/>
      <c r="N143" s="34"/>
      <c r="O143" s="34"/>
      <c r="P143" s="34"/>
      <c r="Q143" s="34"/>
    </row>
    <row r="144" spans="1:17" ht="27">
      <c r="A144" s="1882" t="s">
        <v>50</v>
      </c>
      <c r="B144" s="1883"/>
      <c r="C144" s="1883"/>
      <c r="D144" s="1883"/>
      <c r="E144" s="1883"/>
      <c r="F144" s="1884"/>
      <c r="G144" s="48" t="s">
        <v>338</v>
      </c>
      <c r="H144" s="1885" t="s">
        <v>116</v>
      </c>
      <c r="I144" s="1885"/>
      <c r="J144" s="1885"/>
      <c r="K144" s="1885"/>
      <c r="L144" s="1885"/>
      <c r="M144" s="1885"/>
      <c r="N144" s="1885"/>
      <c r="O144" s="1885"/>
      <c r="P144" s="1885"/>
      <c r="Q144" s="1932"/>
    </row>
    <row r="145" spans="1:18" ht="15.5">
      <c r="A145" s="146"/>
      <c r="B145" s="62" t="s">
        <v>117</v>
      </c>
      <c r="C145" s="141"/>
      <c r="D145" s="142"/>
      <c r="E145" s="97"/>
      <c r="F145" s="117"/>
      <c r="G145" s="88" t="s">
        <v>96</v>
      </c>
      <c r="H145" s="19"/>
      <c r="I145" s="19"/>
      <c r="J145" s="19"/>
      <c r="K145" s="19"/>
      <c r="L145" s="19"/>
      <c r="M145" s="19"/>
      <c r="N145" s="19"/>
      <c r="O145" s="19"/>
      <c r="P145" s="19"/>
      <c r="Q145" s="21"/>
    </row>
    <row r="146" spans="1:18" ht="15.5">
      <c r="A146" s="54">
        <v>55</v>
      </c>
      <c r="B146" s="73"/>
      <c r="C146" s="55" t="s">
        <v>338</v>
      </c>
      <c r="D146" s="73"/>
      <c r="E146" s="56" t="s">
        <v>834</v>
      </c>
      <c r="F146" s="86" t="s">
        <v>339</v>
      </c>
      <c r="G146" s="88">
        <v>0</v>
      </c>
      <c r="H146" s="1918" t="s">
        <v>118</v>
      </c>
      <c r="I146" s="1918"/>
      <c r="J146" s="1918"/>
      <c r="K146" s="1918"/>
      <c r="L146" s="1918"/>
      <c r="M146" s="1918"/>
      <c r="N146" s="1918"/>
      <c r="O146" s="1918"/>
      <c r="P146" s="1918"/>
      <c r="Q146" s="1919"/>
    </row>
    <row r="147" spans="1:18" ht="15.5">
      <c r="A147" s="54"/>
      <c r="B147" s="73"/>
      <c r="C147" s="55"/>
      <c r="D147" s="73"/>
      <c r="E147" s="56"/>
      <c r="F147" s="86"/>
      <c r="G147" s="19"/>
      <c r="H147" s="19"/>
      <c r="I147" s="19"/>
      <c r="J147" s="19"/>
      <c r="K147" s="19"/>
      <c r="L147" s="19"/>
      <c r="M147" s="19"/>
      <c r="N147" s="19"/>
      <c r="O147" s="88"/>
      <c r="P147" s="19"/>
      <c r="Q147" s="21"/>
    </row>
    <row r="148" spans="1:18" ht="15.5">
      <c r="A148" s="54"/>
      <c r="B148" s="73"/>
      <c r="C148" s="55"/>
      <c r="D148" s="73"/>
      <c r="E148" s="56"/>
      <c r="F148" s="86"/>
      <c r="H148" s="1918" t="s">
        <v>79</v>
      </c>
      <c r="I148" s="1918"/>
      <c r="J148" s="1918"/>
      <c r="K148" s="1918"/>
      <c r="L148" s="1918"/>
      <c r="M148" s="1918"/>
      <c r="N148" s="1918"/>
      <c r="O148" s="1918"/>
      <c r="P148" s="1918"/>
      <c r="Q148" s="1919"/>
    </row>
    <row r="149" spans="1:18" ht="15.5">
      <c r="A149" s="54"/>
      <c r="B149" s="73"/>
      <c r="C149" s="55"/>
      <c r="D149" s="73"/>
      <c r="E149" s="56"/>
      <c r="F149" s="86"/>
      <c r="G149" s="88"/>
      <c r="H149" s="1918"/>
      <c r="I149" s="1918"/>
      <c r="J149" s="1918"/>
      <c r="K149" s="1918"/>
      <c r="L149" s="1918"/>
      <c r="M149" s="1918"/>
      <c r="N149" s="1918"/>
      <c r="O149" s="1918"/>
      <c r="P149" s="1918"/>
      <c r="Q149" s="1919"/>
    </row>
    <row r="150" spans="1:18" ht="15.5">
      <c r="A150" s="54"/>
      <c r="B150" s="73"/>
      <c r="C150" s="55"/>
      <c r="D150" s="73"/>
      <c r="E150" s="56"/>
      <c r="F150" s="86"/>
      <c r="G150" s="88"/>
      <c r="H150" s="1918"/>
      <c r="I150" s="1918"/>
      <c r="J150" s="1918"/>
      <c r="K150" s="1918"/>
      <c r="L150" s="1918"/>
      <c r="M150" s="1918"/>
      <c r="N150" s="1918"/>
      <c r="O150" s="1918"/>
      <c r="P150" s="1918"/>
      <c r="Q150" s="1919"/>
    </row>
    <row r="151" spans="1:18" ht="15.5">
      <c r="A151" s="54">
        <v>56</v>
      </c>
      <c r="B151" s="73"/>
      <c r="C151" s="936" t="s">
        <v>1205</v>
      </c>
      <c r="D151" s="73"/>
      <c r="E151" s="56" t="s">
        <v>834</v>
      </c>
      <c r="F151" s="86" t="s">
        <v>339</v>
      </c>
      <c r="G151" s="88">
        <v>0</v>
      </c>
      <c r="H151" s="1918"/>
      <c r="I151" s="1918"/>
      <c r="J151" s="1918"/>
      <c r="K151" s="1918"/>
      <c r="L151" s="1918"/>
      <c r="M151" s="1918"/>
      <c r="N151" s="1918"/>
      <c r="O151" s="1918"/>
      <c r="P151" s="1918"/>
      <c r="Q151" s="1919"/>
    </row>
    <row r="152" spans="1:18" ht="15.5">
      <c r="A152" s="54"/>
      <c r="B152" s="73"/>
      <c r="C152" s="73"/>
      <c r="D152" s="73"/>
      <c r="E152" s="56"/>
      <c r="F152" s="147"/>
      <c r="G152" s="88"/>
      <c r="H152" s="1918"/>
      <c r="I152" s="1918"/>
      <c r="J152" s="1918"/>
      <c r="K152" s="1918"/>
      <c r="L152" s="1918"/>
      <c r="M152" s="1918"/>
      <c r="N152" s="1918"/>
      <c r="O152" s="1918"/>
      <c r="P152" s="1918"/>
      <c r="Q152" s="1919"/>
    </row>
    <row r="153" spans="1:18" ht="15.5">
      <c r="A153" s="54"/>
      <c r="B153" s="73"/>
      <c r="C153" s="73"/>
      <c r="D153" s="73"/>
      <c r="E153" s="56"/>
      <c r="F153" s="147"/>
      <c r="G153" s="88"/>
      <c r="H153" s="1918" t="s">
        <v>79</v>
      </c>
      <c r="I153" s="1918"/>
      <c r="J153" s="1918"/>
      <c r="K153" s="1918"/>
      <c r="L153" s="1918"/>
      <c r="M153" s="1918"/>
      <c r="N153" s="1918"/>
      <c r="O153" s="1918"/>
      <c r="P153" s="1918"/>
      <c r="Q153" s="1919"/>
    </row>
    <row r="154" spans="1:18" ht="15.5">
      <c r="A154" s="54"/>
      <c r="B154" s="73"/>
      <c r="C154" s="73"/>
      <c r="D154" s="73"/>
      <c r="E154" s="56"/>
      <c r="F154" s="147"/>
      <c r="G154" s="88"/>
      <c r="H154" s="1918"/>
      <c r="I154" s="1918"/>
      <c r="J154" s="1918"/>
      <c r="K154" s="1918"/>
      <c r="L154" s="1918"/>
      <c r="M154" s="1918"/>
      <c r="N154" s="1918"/>
      <c r="O154" s="1918"/>
      <c r="P154" s="1918"/>
      <c r="Q154" s="1919"/>
    </row>
    <row r="155" spans="1:18" ht="16" thickBot="1">
      <c r="A155" s="78"/>
      <c r="B155" s="104"/>
      <c r="C155" s="104"/>
      <c r="D155" s="104"/>
      <c r="E155" s="82"/>
      <c r="F155" s="145"/>
      <c r="G155" s="29"/>
      <c r="H155" s="29"/>
      <c r="I155" s="29"/>
      <c r="J155" s="29"/>
      <c r="K155" s="136" t="s">
        <v>107</v>
      </c>
      <c r="L155" s="29"/>
      <c r="M155" s="29"/>
      <c r="N155" s="29"/>
      <c r="O155" s="29"/>
      <c r="P155" s="29"/>
      <c r="Q155" s="30"/>
    </row>
    <row r="156" spans="1:18" ht="15.5">
      <c r="A156" s="73"/>
      <c r="B156" s="73"/>
      <c r="C156" s="73"/>
      <c r="D156" s="73"/>
      <c r="E156" s="56"/>
      <c r="F156" s="73"/>
      <c r="G156" s="19"/>
      <c r="H156" s="19"/>
      <c r="I156" s="19"/>
      <c r="J156" s="19"/>
      <c r="K156" s="138"/>
      <c r="L156" s="19"/>
      <c r="M156" s="19"/>
      <c r="N156" s="19"/>
      <c r="O156" s="19"/>
      <c r="P156" s="19"/>
      <c r="Q156" s="19"/>
    </row>
    <row r="157" spans="1:18" ht="20.5" thickBot="1">
      <c r="A157" s="148" t="s">
        <v>119</v>
      </c>
      <c r="B157" s="73"/>
      <c r="C157" s="73"/>
      <c r="D157" s="73"/>
      <c r="E157" s="56"/>
      <c r="F157" s="73"/>
      <c r="G157" s="19"/>
      <c r="H157" s="19"/>
      <c r="I157" s="19"/>
      <c r="J157" s="19"/>
      <c r="K157" s="138"/>
      <c r="L157" s="19"/>
      <c r="M157" s="19"/>
      <c r="N157" s="19"/>
      <c r="O157" s="19"/>
      <c r="P157" s="19"/>
      <c r="Q157" s="19"/>
    </row>
    <row r="158" spans="1:18" ht="18">
      <c r="A158" s="1882" t="s">
        <v>50</v>
      </c>
      <c r="B158" s="1883"/>
      <c r="C158" s="1883"/>
      <c r="D158" s="1883"/>
      <c r="E158" s="1883"/>
      <c r="F158" s="1884"/>
      <c r="G158" s="149" t="s">
        <v>120</v>
      </c>
      <c r="H158" s="14" t="s">
        <v>121</v>
      </c>
      <c r="I158" s="14" t="s">
        <v>122</v>
      </c>
      <c r="J158" s="14" t="s">
        <v>123</v>
      </c>
      <c r="K158" s="150"/>
      <c r="L158" s="14"/>
      <c r="M158" s="14"/>
      <c r="N158" s="14"/>
      <c r="O158" s="14"/>
      <c r="P158" s="14"/>
      <c r="Q158" s="15"/>
    </row>
    <row r="159" spans="1:18" ht="15.5">
      <c r="A159" s="54">
        <v>61</v>
      </c>
      <c r="B159" s="73"/>
      <c r="C159" s="55" t="s">
        <v>345</v>
      </c>
      <c r="D159" s="73"/>
      <c r="E159" s="73"/>
      <c r="F159" s="565" t="s">
        <v>326</v>
      </c>
      <c r="G159" s="151">
        <v>0</v>
      </c>
      <c r="H159" s="19"/>
      <c r="I159" s="19"/>
      <c r="J159" s="19"/>
      <c r="K159" s="138"/>
      <c r="L159" s="19"/>
      <c r="M159" s="19"/>
      <c r="N159" s="19"/>
      <c r="O159" s="19"/>
      <c r="P159" s="19"/>
      <c r="Q159" s="21"/>
      <c r="R159" s="152"/>
    </row>
    <row r="160" spans="1:18" ht="16" thickBot="1">
      <c r="A160" s="78">
        <v>62</v>
      </c>
      <c r="B160" s="104"/>
      <c r="C160" s="80" t="s">
        <v>346</v>
      </c>
      <c r="D160" s="104"/>
      <c r="E160" s="104"/>
      <c r="F160" s="566" t="s">
        <v>326</v>
      </c>
      <c r="G160" s="153">
        <v>0</v>
      </c>
      <c r="H160" s="29">
        <v>5</v>
      </c>
      <c r="I160" s="154">
        <v>0</v>
      </c>
      <c r="J160" s="154">
        <v>0</v>
      </c>
      <c r="K160" s="136"/>
      <c r="L160" s="29"/>
      <c r="M160" s="29"/>
      <c r="N160" s="29"/>
      <c r="O160" s="29"/>
      <c r="P160" s="29"/>
      <c r="Q160" s="30"/>
      <c r="R160" s="152"/>
    </row>
    <row r="161" spans="1:18" ht="15.5">
      <c r="A161" s="73"/>
      <c r="B161" s="73"/>
      <c r="C161" s="73"/>
      <c r="D161" s="73"/>
      <c r="E161" s="56"/>
      <c r="F161" s="73"/>
      <c r="G161" s="19"/>
      <c r="H161" s="19"/>
      <c r="I161" s="19"/>
      <c r="J161" s="19"/>
      <c r="K161" s="138"/>
      <c r="L161" s="19"/>
      <c r="M161" s="19"/>
      <c r="N161" s="19"/>
      <c r="O161" s="19"/>
      <c r="P161" s="19"/>
      <c r="Q161" s="19"/>
    </row>
    <row r="162" spans="1:18" ht="15.5">
      <c r="A162" s="73"/>
      <c r="B162" s="73"/>
      <c r="C162" s="73"/>
      <c r="D162" s="73"/>
      <c r="E162" s="56"/>
      <c r="F162" s="73"/>
      <c r="G162" s="19"/>
      <c r="H162" s="19"/>
      <c r="I162" s="19"/>
      <c r="J162" s="19"/>
      <c r="K162" s="138"/>
      <c r="L162" s="19"/>
      <c r="M162" s="19"/>
      <c r="N162" s="19"/>
      <c r="O162" s="19"/>
      <c r="P162" s="19"/>
      <c r="Q162" s="19"/>
    </row>
    <row r="163" spans="1:18" ht="20.5" thickBot="1">
      <c r="A163" s="46" t="s">
        <v>124</v>
      </c>
      <c r="G163" s="34"/>
      <c r="H163" s="34"/>
      <c r="I163" s="34"/>
      <c r="J163" s="34"/>
      <c r="K163" s="34"/>
      <c r="L163" s="34"/>
      <c r="M163" s="34"/>
      <c r="N163" s="34"/>
      <c r="O163" s="34"/>
      <c r="P163" s="34"/>
      <c r="Q163" s="34"/>
    </row>
    <row r="164" spans="1:18" ht="27">
      <c r="A164" s="1882" t="s">
        <v>50</v>
      </c>
      <c r="B164" s="1883"/>
      <c r="C164" s="1883"/>
      <c r="D164" s="1883"/>
      <c r="E164" s="1883"/>
      <c r="F164" s="1884"/>
      <c r="G164" s="48" t="s">
        <v>441</v>
      </c>
      <c r="H164" s="1885" t="s">
        <v>125</v>
      </c>
      <c r="I164" s="1905"/>
      <c r="J164" s="1905"/>
      <c r="K164" s="1905"/>
      <c r="L164" s="1905"/>
      <c r="M164" s="1905"/>
      <c r="N164" s="1905"/>
      <c r="O164" s="1905"/>
      <c r="P164" s="1905"/>
      <c r="Q164" s="1906"/>
    </row>
    <row r="165" spans="1:18" ht="15.5">
      <c r="A165" s="54"/>
      <c r="B165" s="62" t="s">
        <v>438</v>
      </c>
      <c r="C165" s="73"/>
      <c r="D165" s="73"/>
      <c r="E165" s="73"/>
      <c r="F165" s="147"/>
      <c r="G165" s="19"/>
      <c r="H165" s="19"/>
      <c r="I165" s="19"/>
      <c r="J165" s="19"/>
      <c r="K165" s="19"/>
      <c r="L165" s="19"/>
      <c r="M165" s="19"/>
      <c r="N165" s="19"/>
      <c r="O165" s="19"/>
      <c r="P165" s="19"/>
      <c r="Q165" s="21"/>
    </row>
    <row r="166" spans="1:18" ht="15.5">
      <c r="A166" s="54">
        <v>155</v>
      </c>
      <c r="B166" s="73"/>
      <c r="C166" s="55" t="s">
        <v>441</v>
      </c>
      <c r="D166" s="73"/>
      <c r="E166" s="56" t="s">
        <v>834</v>
      </c>
      <c r="F166" s="86" t="s">
        <v>350</v>
      </c>
      <c r="G166" s="143">
        <v>0</v>
      </c>
      <c r="H166" s="1918" t="s">
        <v>118</v>
      </c>
      <c r="I166" s="1926"/>
      <c r="J166" s="1926"/>
      <c r="K166" s="1926"/>
      <c r="L166" s="1926"/>
      <c r="M166" s="1926"/>
      <c r="N166" s="1926"/>
      <c r="O166" s="1926"/>
      <c r="P166" s="1926"/>
      <c r="Q166" s="1927"/>
      <c r="R166" s="36"/>
    </row>
    <row r="167" spans="1:18" ht="15.5">
      <c r="A167" s="54"/>
      <c r="B167" s="73"/>
      <c r="C167" s="73"/>
      <c r="D167" s="73"/>
      <c r="E167" s="56"/>
      <c r="F167" s="147"/>
      <c r="G167" s="19"/>
      <c r="H167" s="19"/>
      <c r="I167" s="19"/>
      <c r="J167" s="19"/>
      <c r="K167" s="19"/>
      <c r="L167" s="19"/>
      <c r="M167" s="19"/>
      <c r="N167" s="19"/>
      <c r="O167" s="88"/>
      <c r="P167" s="19"/>
      <c r="Q167" s="21"/>
    </row>
    <row r="168" spans="1:18" ht="15.5">
      <c r="A168" s="54"/>
      <c r="B168" s="73"/>
      <c r="C168" s="73"/>
      <c r="D168" s="73"/>
      <c r="E168" s="56"/>
      <c r="F168" s="147"/>
      <c r="G168" s="88" t="s">
        <v>96</v>
      </c>
      <c r="H168" s="1918" t="s">
        <v>79</v>
      </c>
      <c r="I168" s="1926"/>
      <c r="J168" s="1926"/>
      <c r="K168" s="1926"/>
      <c r="L168" s="1926"/>
      <c r="M168" s="1926"/>
      <c r="N168" s="1926"/>
      <c r="O168" s="1926"/>
      <c r="P168" s="1926"/>
      <c r="Q168" s="1927"/>
    </row>
    <row r="169" spans="1:18" ht="15.5">
      <c r="A169" s="54"/>
      <c r="B169" s="73"/>
      <c r="C169" s="73"/>
      <c r="D169" s="73"/>
      <c r="E169" s="56"/>
      <c r="F169" s="147"/>
      <c r="G169" s="88"/>
      <c r="H169" s="1918"/>
      <c r="I169" s="1926"/>
      <c r="J169" s="1926"/>
      <c r="K169" s="1926"/>
      <c r="L169" s="1926"/>
      <c r="M169" s="1926"/>
      <c r="N169" s="1926"/>
      <c r="O169" s="1926"/>
      <c r="P169" s="1926"/>
      <c r="Q169" s="1927"/>
    </row>
    <row r="170" spans="1:18" ht="16" thickBot="1">
      <c r="A170" s="78"/>
      <c r="B170" s="104"/>
      <c r="C170" s="104"/>
      <c r="D170" s="104"/>
      <c r="E170" s="82"/>
      <c r="F170" s="145"/>
      <c r="G170" s="29"/>
      <c r="H170" s="29"/>
      <c r="I170" s="29"/>
      <c r="J170" s="29"/>
      <c r="K170" s="136" t="s">
        <v>107</v>
      </c>
      <c r="L170" s="29"/>
      <c r="M170" s="29"/>
      <c r="N170" s="29"/>
      <c r="O170" s="29"/>
      <c r="P170" s="29"/>
      <c r="Q170" s="30"/>
    </row>
    <row r="171" spans="1:18" ht="15.5">
      <c r="A171" s="73"/>
      <c r="B171" s="73"/>
      <c r="C171" s="73"/>
      <c r="D171" s="73"/>
      <c r="E171" s="56"/>
      <c r="F171" s="73"/>
      <c r="G171" s="19"/>
      <c r="H171" s="19"/>
      <c r="I171" s="19"/>
      <c r="J171" s="19"/>
      <c r="K171" s="138"/>
      <c r="L171" s="19"/>
      <c r="M171" s="19"/>
      <c r="N171" s="19"/>
      <c r="O171" s="19"/>
      <c r="P171" s="19"/>
      <c r="Q171" s="19"/>
    </row>
    <row r="172" spans="1:18" ht="20.5" thickBot="1">
      <c r="A172" s="46" t="s">
        <v>457</v>
      </c>
      <c r="G172" s="34"/>
      <c r="H172" s="34"/>
      <c r="I172" s="34"/>
      <c r="J172" s="34"/>
      <c r="K172" s="34"/>
      <c r="L172" s="34"/>
      <c r="M172" s="34"/>
      <c r="N172" s="34"/>
      <c r="O172" s="34"/>
      <c r="P172" s="34"/>
      <c r="Q172" s="34"/>
    </row>
    <row r="173" spans="1:18" ht="18">
      <c r="A173" s="1882" t="s">
        <v>50</v>
      </c>
      <c r="B173" s="1883"/>
      <c r="C173" s="1883"/>
      <c r="D173" s="1883"/>
      <c r="E173" s="1883"/>
      <c r="F173" s="1884"/>
      <c r="G173" s="48" t="s">
        <v>108</v>
      </c>
      <c r="H173" s="1885" t="s">
        <v>126</v>
      </c>
      <c r="I173" s="1905"/>
      <c r="J173" s="1905"/>
      <c r="K173" s="1905"/>
      <c r="L173" s="1905"/>
      <c r="M173" s="1905"/>
      <c r="N173" s="1905"/>
      <c r="O173" s="1905"/>
      <c r="P173" s="1905"/>
      <c r="Q173" s="1906"/>
    </row>
    <row r="174" spans="1:18" ht="15.5">
      <c r="A174" s="54"/>
      <c r="B174" s="74" t="s">
        <v>442</v>
      </c>
      <c r="C174" s="64"/>
      <c r="D174" s="64"/>
      <c r="E174" s="52"/>
      <c r="F174" s="66"/>
      <c r="G174" s="19"/>
      <c r="H174" s="19"/>
      <c r="I174" s="19"/>
      <c r="J174" s="19"/>
      <c r="K174" s="19"/>
      <c r="L174" s="19"/>
      <c r="M174" s="19"/>
      <c r="N174" s="19"/>
      <c r="O174" s="19"/>
      <c r="P174" s="19"/>
      <c r="Q174" s="21"/>
    </row>
    <row r="175" spans="1:18" ht="16" thickBot="1">
      <c r="A175" s="78">
        <v>171</v>
      </c>
      <c r="B175" s="99"/>
      <c r="C175" s="80" t="s">
        <v>457</v>
      </c>
      <c r="D175" s="81"/>
      <c r="E175" s="104"/>
      <c r="F175" s="104"/>
      <c r="G175" s="155">
        <v>0</v>
      </c>
      <c r="H175" s="1910"/>
      <c r="I175" s="1911"/>
      <c r="J175" s="1911"/>
      <c r="K175" s="1911"/>
      <c r="L175" s="1911"/>
      <c r="M175" s="1911"/>
      <c r="N175" s="1911"/>
      <c r="O175" s="1911"/>
      <c r="P175" s="1911"/>
      <c r="Q175" s="1912"/>
    </row>
    <row r="176" spans="1:18" ht="15.5">
      <c r="A176" s="73"/>
      <c r="B176" s="73"/>
      <c r="C176" s="73"/>
      <c r="D176" s="73"/>
      <c r="E176" s="56"/>
      <c r="F176" s="73"/>
      <c r="G176" s="19"/>
      <c r="H176" s="19"/>
      <c r="I176" s="19"/>
      <c r="J176" s="19"/>
      <c r="K176" s="138"/>
      <c r="L176" s="19"/>
      <c r="M176" s="19"/>
      <c r="N176" s="19"/>
      <c r="O176" s="19"/>
      <c r="P176" s="19"/>
      <c r="Q176" s="19"/>
    </row>
    <row r="177" spans="1:17" ht="15.5">
      <c r="A177" s="73"/>
      <c r="B177" s="73"/>
      <c r="C177" s="73"/>
      <c r="D177" s="73"/>
      <c r="E177" s="56"/>
      <c r="F177" s="73"/>
      <c r="G177" s="19"/>
      <c r="H177" s="19"/>
      <c r="I177" s="19"/>
      <c r="J177" s="19"/>
      <c r="K177" s="138"/>
      <c r="L177" s="19"/>
      <c r="M177" s="19"/>
      <c r="N177" s="19"/>
      <c r="O177" s="19"/>
      <c r="P177" s="19"/>
      <c r="Q177" s="19"/>
    </row>
    <row r="178" spans="1:17" ht="15.5">
      <c r="A178" s="73"/>
      <c r="B178" s="73"/>
      <c r="C178" s="73"/>
      <c r="D178" s="73"/>
      <c r="E178" s="56"/>
      <c r="F178" s="73"/>
      <c r="G178" s="19"/>
      <c r="H178" s="19"/>
      <c r="I178" s="19"/>
      <c r="J178" s="19"/>
      <c r="K178" s="138"/>
      <c r="L178" s="19"/>
      <c r="M178" s="19"/>
      <c r="N178" s="19"/>
      <c r="O178" s="19"/>
      <c r="P178" s="19"/>
      <c r="Q178" s="19"/>
    </row>
    <row r="179" spans="1:17">
      <c r="G179" s="34"/>
      <c r="H179" s="34"/>
      <c r="I179" s="34"/>
      <c r="J179" s="34"/>
      <c r="K179" s="34"/>
      <c r="L179" s="34"/>
      <c r="M179" s="34"/>
      <c r="N179" s="34"/>
      <c r="O179" s="34"/>
      <c r="P179" s="34"/>
      <c r="Q179" s="34"/>
    </row>
    <row r="180" spans="1:17" ht="20.5" thickBot="1">
      <c r="A180" s="46" t="s">
        <v>127</v>
      </c>
      <c r="G180" s="34"/>
      <c r="H180" s="34"/>
      <c r="I180" s="34"/>
      <c r="J180" s="34"/>
      <c r="K180" s="34"/>
      <c r="L180" s="34"/>
      <c r="M180" s="34"/>
      <c r="N180" s="34"/>
      <c r="O180" s="34"/>
      <c r="P180" s="34"/>
      <c r="Q180" s="34"/>
    </row>
    <row r="181" spans="1:17" ht="18">
      <c r="A181" s="1882" t="s">
        <v>50</v>
      </c>
      <c r="B181" s="1883"/>
      <c r="C181" s="1883"/>
      <c r="D181" s="1883"/>
      <c r="E181" s="1883"/>
      <c r="F181" s="1884"/>
      <c r="G181" s="48" t="s">
        <v>460</v>
      </c>
      <c r="H181" s="1885" t="s">
        <v>126</v>
      </c>
      <c r="I181" s="1905"/>
      <c r="J181" s="1905"/>
      <c r="K181" s="1905"/>
      <c r="L181" s="1905"/>
      <c r="M181" s="1905"/>
      <c r="N181" s="1905"/>
      <c r="O181" s="1905"/>
      <c r="P181" s="1905"/>
      <c r="Q181" s="1906"/>
    </row>
    <row r="182" spans="1:17" ht="15.5">
      <c r="A182" s="54"/>
      <c r="B182" s="74" t="s">
        <v>128</v>
      </c>
      <c r="C182" s="64"/>
      <c r="D182" s="64"/>
      <c r="E182" s="52"/>
      <c r="F182" s="66"/>
      <c r="G182" s="19"/>
      <c r="H182" s="19"/>
      <c r="I182" s="19"/>
      <c r="J182" s="19"/>
      <c r="K182" s="19"/>
      <c r="L182" s="19"/>
      <c r="M182" s="19"/>
      <c r="N182" s="19"/>
      <c r="O182" s="19"/>
      <c r="P182" s="19"/>
      <c r="Q182" s="21"/>
    </row>
    <row r="183" spans="1:17" ht="16" thickBot="1">
      <c r="A183" s="78">
        <v>173</v>
      </c>
      <c r="B183" s="99"/>
      <c r="C183" s="80" t="s">
        <v>460</v>
      </c>
      <c r="D183" s="81"/>
      <c r="E183" s="82" t="s">
        <v>859</v>
      </c>
      <c r="F183" s="101" t="s">
        <v>350</v>
      </c>
      <c r="G183" s="1516">
        <v>4085.6</v>
      </c>
      <c r="H183" s="1910" t="s">
        <v>71</v>
      </c>
      <c r="I183" s="1911"/>
      <c r="J183" s="1911"/>
      <c r="K183" s="1911"/>
      <c r="L183" s="1911"/>
      <c r="M183" s="1911"/>
      <c r="N183" s="1911"/>
      <c r="O183" s="1911"/>
      <c r="P183" s="1911"/>
      <c r="Q183" s="1912"/>
    </row>
    <row r="184" spans="1:17">
      <c r="G184" s="34"/>
      <c r="H184" s="34"/>
      <c r="I184" s="34"/>
      <c r="J184" s="34"/>
      <c r="K184" s="34"/>
      <c r="L184" s="34"/>
      <c r="M184" s="34"/>
      <c r="N184" s="34"/>
      <c r="O184" s="34"/>
      <c r="P184" s="34"/>
      <c r="Q184" s="34"/>
    </row>
    <row r="185" spans="1:17">
      <c r="G185" s="34"/>
      <c r="H185" s="34"/>
      <c r="I185" s="34"/>
      <c r="J185" s="34"/>
      <c r="K185" s="34"/>
      <c r="L185" s="34"/>
      <c r="M185" s="34"/>
      <c r="N185" s="34"/>
      <c r="O185" s="34"/>
      <c r="P185" s="34"/>
      <c r="Q185" s="34"/>
    </row>
    <row r="186" spans="1:17" ht="20.5" thickBot="1">
      <c r="A186" s="46" t="s">
        <v>129</v>
      </c>
      <c r="G186" s="34"/>
      <c r="H186" s="34"/>
      <c r="I186" s="34"/>
      <c r="J186" s="34"/>
      <c r="K186" s="34"/>
      <c r="L186" s="34"/>
      <c r="M186" s="34"/>
      <c r="N186" s="34"/>
      <c r="O186" s="34"/>
      <c r="P186" s="34"/>
      <c r="Q186" s="34"/>
    </row>
    <row r="187" spans="1:17" ht="18">
      <c r="A187" s="156"/>
      <c r="B187" s="157"/>
      <c r="C187" s="158" t="s">
        <v>130</v>
      </c>
      <c r="D187" s="158" t="s">
        <v>131</v>
      </c>
      <c r="E187" s="158" t="s">
        <v>132</v>
      </c>
      <c r="F187" s="158" t="s">
        <v>133</v>
      </c>
      <c r="G187" s="1902" t="s">
        <v>134</v>
      </c>
      <c r="H187" s="1903"/>
      <c r="I187" s="1904" t="s">
        <v>135</v>
      </c>
      <c r="J187" s="1903"/>
      <c r="K187" s="1904" t="s">
        <v>136</v>
      </c>
      <c r="L187" s="1903"/>
      <c r="M187" s="159"/>
      <c r="N187" s="159"/>
      <c r="O187" s="159"/>
      <c r="P187" s="159"/>
      <c r="Q187" s="160"/>
    </row>
    <row r="188" spans="1:17" ht="15.5">
      <c r="A188" s="54"/>
      <c r="B188" s="62"/>
      <c r="C188" s="935" t="s">
        <v>1592</v>
      </c>
      <c r="D188" s="73"/>
      <c r="E188" s="161"/>
      <c r="F188" s="161"/>
      <c r="G188" s="1907">
        <v>0</v>
      </c>
      <c r="H188" s="1908"/>
      <c r="I188" s="1909">
        <v>0</v>
      </c>
      <c r="J188" s="1908"/>
      <c r="K188" s="1909">
        <v>0</v>
      </c>
      <c r="L188" s="1908"/>
      <c r="M188" s="162"/>
      <c r="N188" s="162"/>
      <c r="O188" s="162"/>
      <c r="P188" s="162"/>
      <c r="Q188" s="163"/>
    </row>
    <row r="189" spans="1:17" ht="15.5">
      <c r="A189" s="54"/>
      <c r="B189" s="73"/>
      <c r="C189" s="73"/>
      <c r="D189" s="73"/>
      <c r="E189" s="161"/>
      <c r="F189" s="161"/>
      <c r="G189" s="1928"/>
      <c r="H189" s="1929"/>
      <c r="I189" s="1930"/>
      <c r="J189" s="1929"/>
      <c r="K189" s="1930"/>
      <c r="L189" s="1931"/>
      <c r="M189" s="164"/>
      <c r="N189" s="164"/>
      <c r="O189" s="164"/>
      <c r="P189" s="164"/>
      <c r="Q189" s="165"/>
    </row>
    <row r="190" spans="1:17" ht="15.5">
      <c r="A190" s="54"/>
      <c r="B190" s="73"/>
      <c r="C190" s="73"/>
      <c r="D190" s="73"/>
      <c r="E190" s="161"/>
      <c r="F190" s="161"/>
      <c r="G190" s="166"/>
      <c r="H190" s="167"/>
      <c r="I190" s="168"/>
      <c r="J190" s="169"/>
      <c r="K190" s="168"/>
      <c r="L190" s="169"/>
      <c r="M190" s="164"/>
      <c r="N190" s="164"/>
      <c r="O190" s="164"/>
      <c r="P190" s="164"/>
      <c r="Q190" s="165"/>
    </row>
    <row r="191" spans="1:17" ht="16" thickBot="1">
      <c r="A191" s="78"/>
      <c r="B191" s="104"/>
      <c r="C191" s="104" t="s">
        <v>44</v>
      </c>
      <c r="D191" s="104"/>
      <c r="E191" s="82"/>
      <c r="F191" s="104"/>
      <c r="G191" s="1915">
        <v>0</v>
      </c>
      <c r="H191" s="1916"/>
      <c r="I191" s="1917">
        <v>0</v>
      </c>
      <c r="J191" s="1916"/>
      <c r="K191" s="1917">
        <v>0</v>
      </c>
      <c r="L191" s="1916"/>
      <c r="M191" s="170"/>
      <c r="N191" s="170"/>
      <c r="O191" s="170"/>
      <c r="P191" s="170"/>
      <c r="Q191" s="171"/>
    </row>
    <row r="192" spans="1:17" s="1192" customFormat="1" ht="15.5">
      <c r="A192" s="73"/>
      <c r="B192" s="73"/>
      <c r="C192" s="73"/>
      <c r="D192" s="73"/>
      <c r="E192" s="56"/>
      <c r="F192" s="73"/>
      <c r="G192" s="1452"/>
      <c r="H192" s="1451"/>
      <c r="I192" s="1452"/>
      <c r="J192" s="1451"/>
      <c r="K192" s="1452"/>
      <c r="L192" s="1451"/>
      <c r="M192" s="162"/>
      <c r="N192" s="162"/>
      <c r="O192" s="162"/>
      <c r="P192" s="162"/>
      <c r="Q192" s="162"/>
    </row>
    <row r="193" spans="1:17" s="1192" customFormat="1" ht="15.5">
      <c r="A193" s="73"/>
      <c r="B193" s="73"/>
      <c r="C193" s="73"/>
      <c r="D193" s="73"/>
      <c r="E193" s="56"/>
      <c r="F193" s="73"/>
      <c r="G193" s="1521"/>
      <c r="H193" s="1520"/>
      <c r="I193" s="1521"/>
      <c r="J193" s="1520"/>
      <c r="K193" s="1521"/>
      <c r="L193" s="1520"/>
      <c r="M193" s="162"/>
      <c r="N193" s="162"/>
      <c r="O193" s="162"/>
      <c r="P193" s="162"/>
      <c r="Q193" s="162"/>
    </row>
    <row r="194" spans="1:17" s="1192" customFormat="1" ht="20.5" thickBot="1">
      <c r="A194" s="1605" t="s">
        <v>1904</v>
      </c>
      <c r="B194" s="1606"/>
      <c r="C194" s="1606"/>
      <c r="G194" s="1521"/>
      <c r="H194" s="1520"/>
      <c r="I194" s="1521"/>
      <c r="J194" s="1520"/>
      <c r="K194" s="1521"/>
      <c r="L194" s="1520"/>
      <c r="M194" s="162"/>
      <c r="N194" s="162"/>
      <c r="O194" s="162"/>
      <c r="P194" s="162"/>
      <c r="Q194" s="162"/>
    </row>
    <row r="195" spans="1:17" s="1192" customFormat="1" ht="18">
      <c r="A195" s="1882" t="s">
        <v>50</v>
      </c>
      <c r="B195" s="1883"/>
      <c r="C195" s="1883"/>
      <c r="D195" s="1883"/>
      <c r="E195" s="1883"/>
      <c r="F195" s="1884"/>
      <c r="G195" s="1521"/>
      <c r="H195" s="1520"/>
      <c r="I195" s="1521"/>
      <c r="J195" s="1520"/>
      <c r="K195" s="1521"/>
      <c r="L195" s="1520"/>
      <c r="M195" s="162"/>
      <c r="N195" s="162"/>
      <c r="O195" s="162"/>
      <c r="P195" s="162"/>
      <c r="Q195" s="162"/>
    </row>
    <row r="196" spans="1:17" s="1192" customFormat="1" ht="15.5">
      <c r="A196" s="1607" t="s">
        <v>9</v>
      </c>
      <c r="B196" s="36" t="s">
        <v>1640</v>
      </c>
      <c r="C196" s="36"/>
      <c r="D196" s="36" t="s">
        <v>1641</v>
      </c>
      <c r="E196" s="1608"/>
      <c r="F196" s="1609"/>
      <c r="G196" s="1521"/>
      <c r="H196" s="1520"/>
      <c r="I196" s="1521"/>
      <c r="J196" s="1520"/>
      <c r="K196" s="1521"/>
      <c r="L196" s="1520"/>
      <c r="M196" s="162"/>
      <c r="N196" s="162"/>
      <c r="O196" s="162"/>
      <c r="P196" s="162"/>
      <c r="Q196" s="162"/>
    </row>
    <row r="197" spans="1:17" s="1192" customFormat="1" ht="15.5">
      <c r="A197" s="1607" t="s">
        <v>10</v>
      </c>
      <c r="B197" s="36" t="s">
        <v>1642</v>
      </c>
      <c r="C197" s="36"/>
      <c r="D197" s="36" t="s">
        <v>1641</v>
      </c>
      <c r="E197" s="36"/>
      <c r="F197" s="1609"/>
      <c r="G197" s="1521"/>
      <c r="H197" s="1520"/>
      <c r="I197" s="1521"/>
      <c r="J197" s="1520"/>
      <c r="K197" s="1521"/>
      <c r="L197" s="1520"/>
      <c r="M197" s="162"/>
      <c r="N197" s="162"/>
      <c r="O197" s="162"/>
      <c r="P197" s="162"/>
      <c r="Q197" s="162"/>
    </row>
    <row r="198" spans="1:17" s="1192" customFormat="1" ht="15.5">
      <c r="A198" s="1607" t="s">
        <v>11</v>
      </c>
      <c r="B198" s="36" t="s">
        <v>1905</v>
      </c>
      <c r="C198" s="36"/>
      <c r="D198" s="36" t="s">
        <v>1643</v>
      </c>
      <c r="E198" s="1608"/>
      <c r="F198" s="1609"/>
      <c r="G198" s="1521"/>
      <c r="H198" s="1520"/>
      <c r="I198" s="1521"/>
      <c r="J198" s="1520"/>
      <c r="K198" s="1521"/>
      <c r="L198" s="1520"/>
      <c r="M198" s="162"/>
      <c r="N198" s="162"/>
      <c r="O198" s="162"/>
      <c r="P198" s="162"/>
      <c r="Q198" s="162"/>
    </row>
    <row r="199" spans="1:17" s="1192" customFormat="1" ht="15.5">
      <c r="A199" s="1607" t="s">
        <v>14</v>
      </c>
      <c r="B199" s="36" t="s">
        <v>1644</v>
      </c>
      <c r="C199" s="36"/>
      <c r="D199" s="36"/>
      <c r="E199" s="36"/>
      <c r="F199" s="1609"/>
      <c r="G199" s="1521"/>
      <c r="H199" s="1520"/>
      <c r="I199" s="1521"/>
      <c r="J199" s="1520"/>
      <c r="K199" s="1521"/>
      <c r="L199" s="1520"/>
      <c r="M199" s="162"/>
      <c r="N199" s="162"/>
      <c r="O199" s="162"/>
      <c r="P199" s="162"/>
      <c r="Q199" s="162"/>
    </row>
    <row r="200" spans="1:17" s="1192" customFormat="1" ht="15.5">
      <c r="A200" s="1607" t="s">
        <v>137</v>
      </c>
      <c r="B200" s="36" t="s">
        <v>1645</v>
      </c>
      <c r="C200" s="36"/>
      <c r="D200" s="36" t="s">
        <v>1646</v>
      </c>
      <c r="E200" s="1608"/>
      <c r="F200" s="1609" t="s">
        <v>1647</v>
      </c>
      <c r="G200" s="1521"/>
      <c r="H200" s="1520"/>
      <c r="I200" s="1521"/>
      <c r="J200" s="1520"/>
      <c r="K200" s="1521"/>
      <c r="L200" s="1520"/>
      <c r="M200" s="162"/>
      <c r="N200" s="162"/>
      <c r="O200" s="162"/>
      <c r="P200" s="162"/>
      <c r="Q200" s="162"/>
    </row>
    <row r="201" spans="1:17" s="1192" customFormat="1" ht="15.5">
      <c r="A201" s="1607" t="s">
        <v>138</v>
      </c>
      <c r="B201" s="36" t="s">
        <v>1648</v>
      </c>
      <c r="C201" s="36"/>
      <c r="D201" s="36"/>
      <c r="E201" s="1608"/>
      <c r="F201" s="1609"/>
      <c r="G201" s="1521"/>
      <c r="H201" s="1520"/>
      <c r="I201" s="1521"/>
      <c r="J201" s="1520"/>
      <c r="K201" s="1521"/>
      <c r="L201" s="1520"/>
      <c r="M201" s="162"/>
      <c r="N201" s="162"/>
      <c r="O201" s="162"/>
      <c r="P201" s="162"/>
      <c r="Q201" s="162"/>
    </row>
    <row r="202" spans="1:17" s="1192" customFormat="1" ht="16" thickBot="1">
      <c r="A202" s="1610" t="s">
        <v>139</v>
      </c>
      <c r="B202" s="1611" t="s">
        <v>1649</v>
      </c>
      <c r="C202" s="1611"/>
      <c r="D202" s="1611" t="s">
        <v>1650</v>
      </c>
      <c r="E202" s="1612"/>
      <c r="F202" s="1613" t="s">
        <v>1651</v>
      </c>
      <c r="G202" s="1521"/>
      <c r="H202" s="1520"/>
      <c r="I202" s="1521"/>
      <c r="J202" s="1520"/>
      <c r="K202" s="1521"/>
      <c r="L202" s="1520"/>
      <c r="M202" s="162"/>
      <c r="N202" s="162"/>
      <c r="O202" s="162"/>
      <c r="P202" s="162"/>
      <c r="Q202" s="162"/>
    </row>
    <row r="203" spans="1:17" s="1192" customFormat="1" ht="15.5">
      <c r="G203" s="1521"/>
      <c r="H203" s="1520"/>
      <c r="I203" s="1521"/>
      <c r="J203" s="1520"/>
      <c r="K203" s="1521"/>
      <c r="L203" s="1520"/>
      <c r="M203" s="162"/>
      <c r="N203" s="162"/>
      <c r="O203" s="162"/>
      <c r="P203" s="162"/>
      <c r="Q203" s="162"/>
    </row>
    <row r="204" spans="1:17" s="1192" customFormat="1" ht="20.5" thickBot="1">
      <c r="A204" s="1605" t="s">
        <v>140</v>
      </c>
      <c r="B204" s="1606"/>
      <c r="C204" s="1606"/>
      <c r="G204" s="1521"/>
      <c r="H204" s="1520"/>
      <c r="I204" s="1521"/>
      <c r="J204" s="1520"/>
      <c r="K204" s="1521"/>
      <c r="L204" s="1520"/>
      <c r="M204" s="162"/>
      <c r="N204" s="162"/>
      <c r="O204" s="162"/>
      <c r="P204" s="162"/>
      <c r="Q204" s="162"/>
    </row>
    <row r="205" spans="1:17" s="1192" customFormat="1" ht="18">
      <c r="A205" s="1882" t="s">
        <v>50</v>
      </c>
      <c r="B205" s="1883"/>
      <c r="C205" s="1883"/>
      <c r="D205" s="1883"/>
      <c r="E205" s="1883"/>
      <c r="F205" s="1884"/>
      <c r="G205" s="1521"/>
      <c r="H205" s="1520"/>
      <c r="I205" s="1521"/>
      <c r="J205" s="1520"/>
      <c r="K205" s="1521"/>
      <c r="L205" s="1520"/>
      <c r="M205" s="162"/>
      <c r="N205" s="162"/>
      <c r="O205" s="162"/>
      <c r="P205" s="162"/>
      <c r="Q205" s="162"/>
    </row>
    <row r="206" spans="1:17" s="1192" customFormat="1" ht="15.5">
      <c r="A206" s="1614"/>
      <c r="B206" s="120"/>
      <c r="C206" s="120"/>
      <c r="D206" s="1615" t="s">
        <v>1652</v>
      </c>
      <c r="E206" s="1616" t="s">
        <v>141</v>
      </c>
      <c r="F206" s="1617" t="s">
        <v>44</v>
      </c>
      <c r="G206" s="1521"/>
      <c r="H206" s="1520"/>
      <c r="I206" s="1521"/>
      <c r="J206" s="1520"/>
      <c r="K206" s="1521"/>
      <c r="L206" s="1520"/>
      <c r="M206" s="162"/>
      <c r="N206" s="162"/>
      <c r="O206" s="162"/>
      <c r="P206" s="162"/>
      <c r="Q206" s="162"/>
    </row>
    <row r="207" spans="1:17" s="1192" customFormat="1" ht="15.5">
      <c r="A207" s="1614" t="s">
        <v>142</v>
      </c>
      <c r="B207" s="120"/>
      <c r="C207" s="120" t="s">
        <v>1653</v>
      </c>
      <c r="D207" s="1618">
        <v>9750649</v>
      </c>
      <c r="E207" s="1618">
        <v>12725412</v>
      </c>
      <c r="F207" s="1619">
        <f>D207+E207</f>
        <v>22476061</v>
      </c>
      <c r="G207" s="1521"/>
      <c r="H207" s="1520"/>
      <c r="I207" s="1521"/>
      <c r="J207" s="1520"/>
      <c r="K207" s="1521"/>
      <c r="L207" s="1520"/>
      <c r="M207" s="162"/>
      <c r="N207" s="162"/>
      <c r="O207" s="162"/>
      <c r="P207" s="162"/>
      <c r="Q207" s="162"/>
    </row>
    <row r="208" spans="1:17" s="1192" customFormat="1" ht="15.5">
      <c r="A208" s="1614" t="s">
        <v>142</v>
      </c>
      <c r="B208" s="120"/>
      <c r="C208" s="120" t="s">
        <v>1654</v>
      </c>
      <c r="D208" s="1620">
        <v>14666395</v>
      </c>
      <c r="E208" s="1621">
        <v>16524210</v>
      </c>
      <c r="F208" s="1619">
        <f>D208+E208</f>
        <v>31190605</v>
      </c>
      <c r="G208" s="1521"/>
      <c r="H208" s="1520"/>
      <c r="I208" s="1521"/>
      <c r="J208" s="1520"/>
      <c r="K208" s="1521"/>
      <c r="L208" s="1520"/>
      <c r="M208" s="162"/>
      <c r="N208" s="162"/>
      <c r="O208" s="162"/>
      <c r="P208" s="162"/>
      <c r="Q208" s="162"/>
    </row>
    <row r="209" spans="1:18" s="1192" customFormat="1" ht="15.5">
      <c r="A209" s="1614" t="s">
        <v>142</v>
      </c>
      <c r="B209" s="120"/>
      <c r="C209" s="1622" t="s">
        <v>1655</v>
      </c>
      <c r="D209" s="1623">
        <v>12208522</v>
      </c>
      <c r="E209" s="1624">
        <v>14624812</v>
      </c>
      <c r="F209" s="1625">
        <f>D209+E209</f>
        <v>26833334</v>
      </c>
      <c r="G209" s="1521"/>
      <c r="H209" s="1520"/>
      <c r="I209" s="1521"/>
      <c r="J209" s="1520"/>
      <c r="K209" s="1521"/>
      <c r="L209" s="1520"/>
      <c r="M209" s="162"/>
      <c r="N209" s="162"/>
      <c r="O209" s="162"/>
      <c r="P209" s="162"/>
      <c r="Q209" s="162"/>
    </row>
    <row r="210" spans="1:18" ht="15" thickBot="1">
      <c r="A210" s="1626"/>
      <c r="B210" s="1627"/>
      <c r="C210" s="1627" t="s">
        <v>44</v>
      </c>
      <c r="D210" s="1628">
        <f>SUM(D207:D209)</f>
        <v>36625566</v>
      </c>
      <c r="E210" s="1629">
        <f>SUM(E207:E209)</f>
        <v>43874434</v>
      </c>
      <c r="F210" s="1630">
        <f>SUM(F207:F209)</f>
        <v>80500000</v>
      </c>
      <c r="G210" s="34"/>
      <c r="H210" s="34"/>
      <c r="I210" s="34"/>
      <c r="J210" s="34"/>
      <c r="K210" s="34"/>
      <c r="L210" s="34"/>
      <c r="M210" s="34"/>
      <c r="N210" s="34"/>
      <c r="O210" s="34"/>
      <c r="P210" s="34"/>
      <c r="Q210" s="34"/>
    </row>
    <row r="211" spans="1:18" s="1192" customFormat="1">
      <c r="A211" s="1631"/>
      <c r="B211" s="1631"/>
      <c r="C211" s="1631"/>
      <c r="D211" s="1632"/>
      <c r="E211" s="1620"/>
      <c r="F211" s="1632"/>
      <c r="G211" s="34"/>
      <c r="H211" s="34"/>
      <c r="I211" s="34"/>
      <c r="J211" s="34"/>
      <c r="K211" s="34"/>
      <c r="L211" s="34"/>
      <c r="M211" s="34"/>
      <c r="N211" s="34"/>
      <c r="O211" s="34"/>
      <c r="P211" s="34"/>
      <c r="Q211" s="34"/>
    </row>
    <row r="212" spans="1:18" ht="15" thickBot="1">
      <c r="G212" s="172"/>
      <c r="H212" s="172"/>
      <c r="I212" s="172"/>
      <c r="J212" s="172"/>
      <c r="K212" s="172"/>
      <c r="L212" s="172"/>
      <c r="M212" s="172"/>
      <c r="N212" s="172"/>
      <c r="O212" s="172"/>
      <c r="P212" s="172"/>
      <c r="Q212" s="172"/>
    </row>
    <row r="213" spans="1:18" ht="18.5" thickBot="1">
      <c r="A213" s="1879" t="s">
        <v>1021</v>
      </c>
      <c r="B213" s="1880"/>
      <c r="C213" s="1880"/>
      <c r="D213" s="1880"/>
      <c r="E213" s="1880"/>
      <c r="F213" s="1881"/>
      <c r="G213" s="919"/>
      <c r="H213" s="919"/>
      <c r="I213" s="919"/>
      <c r="J213" s="919"/>
      <c r="K213" s="920"/>
      <c r="L213" s="920"/>
      <c r="M213" s="920"/>
      <c r="N213" s="920"/>
      <c r="O213" s="920"/>
      <c r="P213" s="921"/>
    </row>
    <row r="214" spans="1:18" ht="26.25" customHeight="1">
      <c r="A214" s="1882"/>
      <c r="B214" s="1883"/>
      <c r="C214" s="1883" t="s">
        <v>1022</v>
      </c>
      <c r="D214" s="1883"/>
      <c r="E214" s="1883"/>
      <c r="F214" s="1884"/>
      <c r="G214" s="919" t="s">
        <v>1023</v>
      </c>
      <c r="H214" s="919" t="s">
        <v>1024</v>
      </c>
      <c r="I214" s="922" t="s">
        <v>1032</v>
      </c>
      <c r="J214" s="920"/>
      <c r="K214" s="920"/>
      <c r="L214" s="920"/>
      <c r="M214" s="920"/>
      <c r="N214" s="920"/>
      <c r="O214" s="920"/>
      <c r="P214" s="921"/>
    </row>
    <row r="215" spans="1:18" ht="15.5">
      <c r="A215" s="923"/>
      <c r="B215" s="137"/>
      <c r="C215" s="137"/>
      <c r="D215" s="1128"/>
      <c r="E215" s="137"/>
      <c r="F215" s="86"/>
      <c r="G215" s="23"/>
      <c r="H215" s="32"/>
      <c r="I215" s="19"/>
      <c r="J215" s="19"/>
      <c r="K215" s="19"/>
      <c r="L215" s="19"/>
      <c r="M215" s="19"/>
      <c r="N215" s="19"/>
      <c r="O215" s="19"/>
      <c r="P215" s="21"/>
    </row>
    <row r="216" spans="1:18" ht="15.75" customHeight="1">
      <c r="A216" s="54">
        <v>6</v>
      </c>
      <c r="B216" s="73"/>
      <c r="C216" s="55" t="s">
        <v>145</v>
      </c>
      <c r="D216" s="1128"/>
      <c r="E216" s="137"/>
      <c r="F216" s="86" t="s">
        <v>1025</v>
      </c>
      <c r="G216" s="1796">
        <v>4732467666</v>
      </c>
      <c r="H216" s="1519">
        <f>25145929+223934</f>
        <v>25369863</v>
      </c>
      <c r="I216" s="902">
        <f>+G216-H216</f>
        <v>4707097803</v>
      </c>
      <c r="J216" s="34" t="s">
        <v>1916</v>
      </c>
      <c r="K216" s="60"/>
      <c r="L216" s="60"/>
      <c r="M216" s="60"/>
      <c r="N216" s="60"/>
      <c r="O216" s="60"/>
      <c r="P216" s="924"/>
    </row>
    <row r="217" spans="1:18" ht="15.5">
      <c r="A217" s="54">
        <v>9</v>
      </c>
      <c r="B217" s="73"/>
      <c r="C217" s="55" t="s">
        <v>146</v>
      </c>
      <c r="D217" s="1128"/>
      <c r="E217" s="137"/>
      <c r="F217" s="86" t="s">
        <v>1026</v>
      </c>
      <c r="G217" s="1796">
        <v>1153616498</v>
      </c>
      <c r="H217" s="1519">
        <v>0</v>
      </c>
      <c r="I217" s="902">
        <f t="shared" ref="I217:I221" si="7">+G217-H217</f>
        <v>1153616498</v>
      </c>
      <c r="J217" s="34"/>
      <c r="K217" s="19"/>
      <c r="L217" s="19"/>
      <c r="M217" s="19"/>
      <c r="N217" s="19"/>
      <c r="O217" s="19"/>
      <c r="P217" s="21"/>
    </row>
    <row r="218" spans="1:18" ht="27" customHeight="1">
      <c r="A218" s="54">
        <v>10</v>
      </c>
      <c r="B218" s="176"/>
      <c r="C218" s="55" t="s">
        <v>147</v>
      </c>
      <c r="D218" s="1129"/>
      <c r="E218" s="176"/>
      <c r="F218" s="86" t="s">
        <v>1027</v>
      </c>
      <c r="G218" s="1796">
        <v>21189623</v>
      </c>
      <c r="H218" s="1519">
        <v>5068726</v>
      </c>
      <c r="I218" s="902">
        <f t="shared" si="7"/>
        <v>16120897</v>
      </c>
      <c r="J218" s="34" t="s">
        <v>1921</v>
      </c>
      <c r="K218" s="34"/>
      <c r="L218" s="34"/>
      <c r="M218" s="34"/>
      <c r="N218" s="34"/>
      <c r="O218" s="34"/>
      <c r="P218" s="21"/>
      <c r="Q218" s="1192"/>
    </row>
    <row r="219" spans="1:18" ht="18">
      <c r="A219" s="54">
        <v>19</v>
      </c>
      <c r="B219" s="176"/>
      <c r="C219" s="55" t="s">
        <v>302</v>
      </c>
      <c r="D219" s="1129"/>
      <c r="E219" s="176"/>
      <c r="F219" s="86" t="s">
        <v>1028</v>
      </c>
      <c r="G219" s="1796">
        <v>1803909099</v>
      </c>
      <c r="H219" s="902"/>
      <c r="I219" s="902">
        <f t="shared" si="7"/>
        <v>1803909099</v>
      </c>
      <c r="J219" s="19"/>
      <c r="K219" s="19"/>
      <c r="L219" s="19"/>
      <c r="M219" s="19"/>
      <c r="N219" s="19"/>
      <c r="O219" s="19"/>
      <c r="P219" s="21"/>
    </row>
    <row r="220" spans="1:18" ht="15.5">
      <c r="A220" s="54">
        <v>23</v>
      </c>
      <c r="B220" s="73"/>
      <c r="C220" s="55" t="s">
        <v>148</v>
      </c>
      <c r="D220" s="1128"/>
      <c r="E220" s="137"/>
      <c r="F220" s="86" t="s">
        <v>1029</v>
      </c>
      <c r="G220" s="1519">
        <f>282370195+31798961</f>
        <v>314169156</v>
      </c>
      <c r="H220" s="1519">
        <f>25145929+223934</f>
        <v>25369863</v>
      </c>
      <c r="I220" s="902">
        <f t="shared" si="7"/>
        <v>288799293</v>
      </c>
      <c r="J220" s="34" t="s">
        <v>1916</v>
      </c>
      <c r="K220" s="19"/>
      <c r="L220" s="19"/>
      <c r="M220" s="19"/>
      <c r="N220" s="19"/>
      <c r="O220" s="19"/>
      <c r="P220" s="21"/>
    </row>
    <row r="221" spans="1:18" ht="16" thickBot="1">
      <c r="A221" s="78">
        <v>31</v>
      </c>
      <c r="B221" s="104"/>
      <c r="C221" s="80" t="s">
        <v>1030</v>
      </c>
      <c r="D221" s="90"/>
      <c r="E221" s="90"/>
      <c r="F221" s="101" t="s">
        <v>1031</v>
      </c>
      <c r="G221" s="1797">
        <v>71482893</v>
      </c>
      <c r="H221" s="181"/>
      <c r="I221" s="907">
        <f t="shared" si="7"/>
        <v>71482893</v>
      </c>
      <c r="J221" s="29"/>
      <c r="K221" s="29"/>
      <c r="L221" s="29"/>
      <c r="M221" s="29"/>
      <c r="N221" s="29"/>
      <c r="O221" s="29"/>
      <c r="P221" s="30"/>
    </row>
    <row r="222" spans="1:18">
      <c r="G222" s="172"/>
      <c r="H222" s="172"/>
      <c r="I222" s="172"/>
      <c r="J222" s="172"/>
      <c r="K222" s="172"/>
      <c r="L222" s="172"/>
      <c r="M222" s="172"/>
      <c r="N222" s="172"/>
      <c r="O222" s="172"/>
      <c r="P222" s="172"/>
      <c r="Q222" s="172"/>
    </row>
    <row r="223" spans="1:18" ht="15" thickBot="1">
      <c r="G223" s="137"/>
      <c r="H223" s="137"/>
      <c r="I223" s="137"/>
      <c r="J223" s="137"/>
      <c r="K223" s="137"/>
      <c r="L223" s="137"/>
      <c r="M223" s="137"/>
      <c r="N223" s="137"/>
      <c r="O223" s="137"/>
      <c r="P223" s="137"/>
      <c r="Q223" s="137"/>
      <c r="R223" s="137"/>
    </row>
    <row r="224" spans="1:18" ht="18.5" thickBot="1">
      <c r="A224" s="1891" t="s">
        <v>1036</v>
      </c>
      <c r="B224" s="1892"/>
      <c r="C224" s="1892"/>
      <c r="D224" s="1892"/>
      <c r="E224" s="1892"/>
      <c r="F224" s="1893"/>
      <c r="G224" s="1902"/>
      <c r="H224" s="1903"/>
      <c r="I224" s="1904"/>
      <c r="J224" s="1903"/>
      <c r="K224" s="1524"/>
      <c r="L224" s="1524"/>
      <c r="M224" s="159"/>
      <c r="N224" s="159"/>
      <c r="O224" s="159"/>
      <c r="P224" s="920"/>
      <c r="Q224" s="921"/>
    </row>
    <row r="225" spans="1:18" ht="72" customHeight="1">
      <c r="A225" s="1882" t="s">
        <v>50</v>
      </c>
      <c r="B225" s="1883"/>
      <c r="C225" s="1883"/>
      <c r="D225" s="1883"/>
      <c r="E225" s="1883"/>
      <c r="F225" s="1884"/>
      <c r="G225" s="926" t="s">
        <v>1037</v>
      </c>
      <c r="H225" s="926" t="s">
        <v>143</v>
      </c>
      <c r="I225" s="1803" t="s">
        <v>1930</v>
      </c>
      <c r="J225" s="926" t="s">
        <v>1038</v>
      </c>
      <c r="K225" s="926" t="s">
        <v>1039</v>
      </c>
      <c r="L225" s="1523" t="s">
        <v>1040</v>
      </c>
      <c r="M225" s="1470"/>
      <c r="N225" s="1470"/>
      <c r="O225" s="1470"/>
      <c r="P225" s="1470"/>
      <c r="Q225" s="1471"/>
    </row>
    <row r="226" spans="1:18" ht="18">
      <c r="A226" s="929"/>
      <c r="B226" s="930"/>
      <c r="C226" s="930"/>
      <c r="D226" s="930"/>
      <c r="E226" s="930"/>
      <c r="F226" s="931"/>
      <c r="G226" s="932"/>
      <c r="H226" s="932"/>
      <c r="I226" s="932"/>
      <c r="J226" s="932"/>
      <c r="K226" s="933"/>
      <c r="L226" s="933"/>
      <c r="M226" s="933"/>
      <c r="N226" s="933"/>
      <c r="O226" s="933"/>
      <c r="P226" s="933"/>
      <c r="Q226" s="934"/>
    </row>
    <row r="227" spans="1:18" ht="33.75" customHeight="1">
      <c r="A227" s="49">
        <v>68</v>
      </c>
      <c r="B227" s="935"/>
      <c r="C227" s="936" t="s">
        <v>150</v>
      </c>
      <c r="D227" s="937"/>
      <c r="E227" s="938"/>
      <c r="F227" s="927" t="s">
        <v>1041</v>
      </c>
      <c r="G227" s="1777">
        <v>96541540</v>
      </c>
      <c r="H227" s="1137">
        <f>+'10 - Merger Costs'!C8</f>
        <v>-18888.113177999992</v>
      </c>
      <c r="I227" s="1137">
        <v>208512.82089654644</v>
      </c>
      <c r="J227" s="1519">
        <v>315856.57</v>
      </c>
      <c r="K227" s="1777">
        <v>2859.0786456432002</v>
      </c>
      <c r="L227" s="1137">
        <f>+G227-H227-J227-K227-I227</f>
        <v>96033199.643635809</v>
      </c>
      <c r="M227" s="1472"/>
      <c r="N227" s="1472"/>
      <c r="O227" s="1472"/>
      <c r="P227" s="1472"/>
      <c r="Q227" s="1467"/>
    </row>
    <row r="228" spans="1:18" ht="16" thickBot="1">
      <c r="A228" s="78">
        <v>60</v>
      </c>
      <c r="B228" s="104"/>
      <c r="C228" s="80" t="s">
        <v>149</v>
      </c>
      <c r="D228" s="90"/>
      <c r="E228" s="90"/>
      <c r="F228" s="101" t="s">
        <v>1033</v>
      </c>
      <c r="G228" s="906">
        <f>+'11A - O&amp;M'!E35</f>
        <v>23627022</v>
      </c>
      <c r="H228" s="906"/>
      <c r="I228" s="906"/>
      <c r="J228" s="906"/>
      <c r="K228" s="93"/>
      <c r="L228" s="907">
        <f>+G228-H228-J228-K228</f>
        <v>23627022</v>
      </c>
      <c r="M228" s="1473"/>
      <c r="N228" s="1473"/>
      <c r="O228" s="1473"/>
      <c r="P228" s="1473"/>
      <c r="Q228" s="1474"/>
    </row>
    <row r="229" spans="1:18">
      <c r="G229" s="137"/>
      <c r="H229" s="18"/>
      <c r="I229" s="137"/>
      <c r="J229" s="137"/>
      <c r="K229" s="137"/>
      <c r="L229" s="137"/>
      <c r="M229" s="137"/>
      <c r="N229" s="137"/>
      <c r="O229" s="137"/>
      <c r="P229" s="137"/>
      <c r="Q229" s="137"/>
      <c r="R229" s="137"/>
    </row>
    <row r="230" spans="1:18">
      <c r="G230" s="137"/>
      <c r="H230" s="137"/>
      <c r="I230" s="137"/>
      <c r="J230" s="137"/>
      <c r="K230" s="137"/>
      <c r="L230" s="137"/>
      <c r="M230" s="137"/>
      <c r="N230" s="137"/>
      <c r="O230" s="137"/>
      <c r="P230" s="137"/>
      <c r="Q230" s="137"/>
      <c r="R230" s="137"/>
    </row>
    <row r="231" spans="1:18">
      <c r="G231" s="137"/>
      <c r="H231" s="1136"/>
      <c r="I231" s="137"/>
      <c r="J231" s="137"/>
      <c r="K231" s="137"/>
      <c r="L231" s="137"/>
      <c r="M231" s="137"/>
      <c r="N231" s="137"/>
      <c r="O231" s="137"/>
      <c r="P231" s="137"/>
      <c r="Q231" s="137"/>
      <c r="R231" s="137"/>
    </row>
    <row r="232" spans="1:18" ht="20.5" thickBot="1">
      <c r="A232" s="174" t="s">
        <v>1257</v>
      </c>
      <c r="B232" s="174"/>
      <c r="C232" s="174"/>
      <c r="D232" s="174"/>
      <c r="E232" s="174"/>
      <c r="F232" s="174"/>
      <c r="G232" s="898"/>
      <c r="H232" s="898"/>
      <c r="I232" s="898"/>
      <c r="J232" s="912"/>
      <c r="K232" s="912"/>
      <c r="L232" s="912"/>
      <c r="M232" s="912"/>
      <c r="N232" s="912"/>
      <c r="O232" s="912"/>
      <c r="P232" s="912"/>
      <c r="Q232" s="912"/>
      <c r="R232" s="137"/>
    </row>
    <row r="233" spans="1:18" ht="30.75" customHeight="1">
      <c r="A233" s="1900" t="s">
        <v>896</v>
      </c>
      <c r="B233" s="1900"/>
      <c r="C233" s="1900"/>
      <c r="D233" s="1900"/>
      <c r="E233" s="1900"/>
      <c r="F233" s="1901"/>
      <c r="G233" s="913" t="s">
        <v>1258</v>
      </c>
      <c r="H233" s="909" t="s">
        <v>143</v>
      </c>
      <c r="I233" s="909" t="s">
        <v>144</v>
      </c>
      <c r="J233" s="910"/>
      <c r="K233" s="910"/>
      <c r="L233" s="910"/>
      <c r="M233" s="910"/>
      <c r="N233" s="910"/>
      <c r="O233" s="910"/>
      <c r="P233" s="910"/>
      <c r="Q233" s="911"/>
    </row>
    <row r="234" spans="1:18" ht="18">
      <c r="A234" s="175"/>
      <c r="B234" s="176"/>
      <c r="C234" s="176"/>
      <c r="D234" s="176"/>
      <c r="E234" s="176"/>
      <c r="F234" s="177"/>
      <c r="G234" s="898"/>
      <c r="H234" s="898"/>
      <c r="I234" s="898"/>
      <c r="J234" s="179"/>
      <c r="K234" s="179"/>
      <c r="L234" s="179"/>
      <c r="M234" s="179"/>
      <c r="N234" s="179"/>
      <c r="O234" s="179"/>
      <c r="P234" s="179"/>
      <c r="Q234" s="180"/>
    </row>
    <row r="235" spans="1:18" ht="15.5">
      <c r="A235" s="54">
        <v>86</v>
      </c>
      <c r="B235" s="73"/>
      <c r="C235" s="55" t="s">
        <v>374</v>
      </c>
      <c r="D235" s="901"/>
      <c r="E235" s="58"/>
      <c r="F235" s="86"/>
      <c r="G235" s="24">
        <v>49262455.822081022</v>
      </c>
      <c r="H235" s="24">
        <v>0</v>
      </c>
      <c r="I235" s="902">
        <f>+G235-H235</f>
        <v>49262455.822081022</v>
      </c>
      <c r="J235" s="25"/>
      <c r="K235" s="25"/>
      <c r="L235" s="25"/>
      <c r="M235" s="25"/>
      <c r="N235" s="25"/>
      <c r="O235" s="25"/>
      <c r="P235" s="25"/>
      <c r="Q235" s="26"/>
    </row>
    <row r="236" spans="1:18" ht="15.5">
      <c r="A236" s="54">
        <v>87</v>
      </c>
      <c r="B236" s="73"/>
      <c r="C236" s="55" t="s">
        <v>897</v>
      </c>
      <c r="D236" s="903"/>
      <c r="E236" s="903"/>
      <c r="F236" s="86"/>
      <c r="G236" s="24">
        <v>16439500.815356994</v>
      </c>
      <c r="H236" s="24">
        <f>+'10 - Merger Costs'!C14</f>
        <v>46449.733435675502</v>
      </c>
      <c r="I236" s="902">
        <f t="shared" ref="I236:I238" si="8">+G236-H236</f>
        <v>16393051.081921319</v>
      </c>
      <c r="J236" s="25"/>
      <c r="K236" s="25"/>
      <c r="L236" s="25"/>
      <c r="M236" s="25"/>
      <c r="N236" s="25"/>
      <c r="O236" s="25"/>
      <c r="P236" s="25"/>
      <c r="Q236" s="26"/>
    </row>
    <row r="237" spans="1:18" ht="15.5">
      <c r="A237" s="54">
        <v>88</v>
      </c>
      <c r="B237" s="73"/>
      <c r="C237" s="55" t="s">
        <v>375</v>
      </c>
      <c r="D237" s="903"/>
      <c r="E237" s="903"/>
      <c r="F237" s="86"/>
      <c r="G237" s="24">
        <v>22449984.994029798</v>
      </c>
      <c r="H237" s="24">
        <f>+'10 - Merger Costs'!C15</f>
        <v>186893.74550960038</v>
      </c>
      <c r="I237" s="902">
        <f t="shared" si="8"/>
        <v>22263091.248520195</v>
      </c>
      <c r="J237" s="25"/>
      <c r="K237" s="25"/>
      <c r="L237" s="25"/>
      <c r="M237" s="25"/>
      <c r="N237" s="25"/>
      <c r="O237" s="25"/>
      <c r="P237" s="25"/>
      <c r="Q237" s="26"/>
    </row>
    <row r="238" spans="1:18" ht="15.5">
      <c r="A238" s="54">
        <v>92</v>
      </c>
      <c r="B238" s="73"/>
      <c r="C238" s="55" t="s">
        <v>377</v>
      </c>
      <c r="D238" s="903"/>
      <c r="E238" s="903"/>
      <c r="F238" s="86"/>
      <c r="G238" s="24">
        <v>3903687</v>
      </c>
      <c r="H238" s="24">
        <v>0</v>
      </c>
      <c r="I238" s="902">
        <f t="shared" si="8"/>
        <v>3903687</v>
      </c>
      <c r="J238" s="25"/>
      <c r="K238" s="25"/>
      <c r="L238" s="25"/>
      <c r="M238" s="25"/>
      <c r="N238" s="25"/>
      <c r="O238" s="25"/>
      <c r="P238" s="25"/>
      <c r="Q238" s="26"/>
    </row>
    <row r="239" spans="1:18" ht="16" thickBot="1">
      <c r="A239" s="78">
        <v>93</v>
      </c>
      <c r="B239" s="104"/>
      <c r="C239" s="904" t="s">
        <v>378</v>
      </c>
      <c r="D239" s="905"/>
      <c r="E239" s="905"/>
      <c r="F239" s="101"/>
      <c r="G239" s="906">
        <v>6120325</v>
      </c>
      <c r="H239" s="906">
        <v>0</v>
      </c>
      <c r="I239" s="907">
        <f t="shared" ref="I239" si="9">G239-H239</f>
        <v>6120325</v>
      </c>
      <c r="J239" s="93"/>
      <c r="K239" s="93"/>
      <c r="L239" s="93"/>
      <c r="M239" s="93"/>
      <c r="N239" s="93"/>
      <c r="O239" s="93"/>
      <c r="P239" s="93"/>
      <c r="Q239" s="908"/>
    </row>
    <row r="240" spans="1:18" ht="15.5">
      <c r="A240" s="73"/>
      <c r="B240" s="73"/>
      <c r="C240" s="55"/>
      <c r="D240" s="137"/>
      <c r="E240" s="137"/>
      <c r="F240" s="55"/>
      <c r="G240" s="23"/>
      <c r="H240" s="23"/>
      <c r="I240" s="32"/>
      <c r="J240" s="19"/>
      <c r="K240" s="19"/>
      <c r="L240" s="19"/>
      <c r="M240" s="19"/>
      <c r="N240" s="19"/>
      <c r="O240" s="19"/>
      <c r="P240" s="19"/>
      <c r="Q240" s="19"/>
    </row>
    <row r="241" spans="1:18" ht="16" thickBot="1">
      <c r="A241" s="73"/>
      <c r="B241" s="73"/>
      <c r="C241" s="55"/>
      <c r="D241" s="137"/>
      <c r="E241" s="137"/>
      <c r="F241" s="55"/>
      <c r="G241" s="23"/>
      <c r="H241" s="23"/>
      <c r="I241" s="32"/>
      <c r="J241" s="19"/>
      <c r="K241" s="19"/>
      <c r="L241" s="19"/>
      <c r="M241" s="19"/>
      <c r="N241" s="19"/>
      <c r="O241" s="19"/>
      <c r="P241" s="19"/>
      <c r="Q241" s="19"/>
    </row>
    <row r="242" spans="1:18" ht="20.5" thickBot="1">
      <c r="A242" s="1894" t="s">
        <v>153</v>
      </c>
      <c r="B242" s="1895"/>
      <c r="C242" s="1895"/>
      <c r="D242" s="1895"/>
      <c r="E242" s="1895"/>
      <c r="F242" s="1896"/>
      <c r="G242" s="1897"/>
      <c r="H242" s="1898"/>
      <c r="I242" s="1899"/>
      <c r="J242" s="1898"/>
      <c r="K242" s="1899"/>
      <c r="L242" s="1898"/>
      <c r="M242" s="916"/>
      <c r="N242" s="916"/>
      <c r="O242" s="916"/>
      <c r="P242" s="916"/>
      <c r="Q242" s="917"/>
    </row>
    <row r="243" spans="1:18" ht="40">
      <c r="A243" s="1882" t="s">
        <v>50</v>
      </c>
      <c r="B243" s="1883"/>
      <c r="C243" s="1883"/>
      <c r="D243" s="1883"/>
      <c r="E243" s="1883"/>
      <c r="F243" s="1884"/>
      <c r="G243" s="48" t="s">
        <v>154</v>
      </c>
      <c r="H243" s="48" t="s">
        <v>155</v>
      </c>
      <c r="I243" s="48" t="s">
        <v>156</v>
      </c>
      <c r="J243" s="48" t="s">
        <v>157</v>
      </c>
      <c r="K243" s="1885" t="s">
        <v>158</v>
      </c>
      <c r="L243" s="1886"/>
      <c r="M243" s="1886"/>
      <c r="N243" s="1886"/>
      <c r="O243" s="1886"/>
      <c r="P243" s="1886"/>
      <c r="Q243" s="1887"/>
    </row>
    <row r="244" spans="1:18" s="5" customFormat="1" ht="10.5" customHeight="1">
      <c r="A244" s="175"/>
      <c r="B244" s="176"/>
      <c r="C244" s="176"/>
      <c r="D244" s="176"/>
      <c r="E244" s="176"/>
      <c r="F244" s="177"/>
      <c r="G244" s="178"/>
      <c r="H244" s="178"/>
      <c r="I244" s="178"/>
      <c r="J244" s="179"/>
      <c r="K244" s="179"/>
      <c r="L244" s="179"/>
      <c r="M244" s="179"/>
      <c r="N244" s="179"/>
      <c r="O244" s="179"/>
      <c r="P244" s="179"/>
      <c r="Q244" s="180"/>
    </row>
    <row r="245" spans="1:18" ht="120.75" customHeight="1">
      <c r="A245" s="54">
        <v>68</v>
      </c>
      <c r="B245" s="73"/>
      <c r="C245" s="55" t="s">
        <v>150</v>
      </c>
      <c r="D245" s="142"/>
      <c r="E245" s="97"/>
      <c r="F245" s="182" t="s">
        <v>159</v>
      </c>
      <c r="G245" s="1777">
        <v>96541540</v>
      </c>
      <c r="H245" s="1777">
        <v>9307960</v>
      </c>
      <c r="I245" s="1519">
        <v>-837815.80691199994</v>
      </c>
      <c r="J245" s="1519">
        <v>-302031.70700589585</v>
      </c>
      <c r="K245" s="1888" t="s">
        <v>1932</v>
      </c>
      <c r="L245" s="1889"/>
      <c r="M245" s="1889"/>
      <c r="N245" s="1889"/>
      <c r="O245" s="1889"/>
      <c r="P245" s="1889"/>
      <c r="Q245" s="1890"/>
      <c r="R245" s="36"/>
    </row>
    <row r="246" spans="1:18" ht="16" thickBot="1">
      <c r="A246" s="78"/>
      <c r="B246" s="104"/>
      <c r="C246" s="80"/>
      <c r="D246" s="90"/>
      <c r="E246" s="90"/>
      <c r="F246" s="101"/>
      <c r="G246" s="28"/>
      <c r="H246" s="28"/>
      <c r="I246" s="181"/>
      <c r="J246" s="29"/>
      <c r="K246" s="29"/>
      <c r="L246" s="29"/>
      <c r="M246" s="29"/>
      <c r="N246" s="29"/>
      <c r="O246" s="29"/>
      <c r="P246" s="29"/>
      <c r="Q246" s="30"/>
    </row>
    <row r="247" spans="1:18">
      <c r="G247" s="172"/>
      <c r="H247" s="172"/>
      <c r="I247" s="172"/>
      <c r="J247" s="172"/>
      <c r="K247" s="172"/>
      <c r="L247" s="172"/>
      <c r="M247" s="172"/>
      <c r="N247" s="172"/>
      <c r="O247" s="172"/>
      <c r="P247" s="172"/>
      <c r="Q247" s="172"/>
    </row>
    <row r="248" spans="1:18">
      <c r="G248" s="172"/>
      <c r="H248" s="172"/>
      <c r="I248" s="172"/>
      <c r="J248" s="183"/>
      <c r="K248" s="172"/>
      <c r="L248" s="172"/>
      <c r="M248" s="172"/>
      <c r="N248" s="172"/>
      <c r="O248" s="172"/>
      <c r="P248" s="172"/>
      <c r="Q248" s="172"/>
    </row>
    <row r="249" spans="1:18" ht="15" thickBot="1">
      <c r="G249" s="172"/>
      <c r="H249" s="172"/>
      <c r="I249" s="172"/>
      <c r="J249" s="183"/>
      <c r="K249" s="172"/>
      <c r="L249" s="172"/>
      <c r="M249" s="172"/>
      <c r="N249" s="172"/>
      <c r="O249" s="172"/>
      <c r="P249" s="172"/>
      <c r="Q249" s="172"/>
    </row>
    <row r="250" spans="1:18" ht="18.5" thickBot="1">
      <c r="A250" s="1891" t="s">
        <v>160</v>
      </c>
      <c r="B250" s="1892"/>
      <c r="C250" s="1892"/>
      <c r="D250" s="1892"/>
      <c r="E250" s="1892"/>
      <c r="F250" s="1893"/>
      <c r="G250" s="172"/>
      <c r="H250" s="172"/>
      <c r="I250" s="172"/>
      <c r="J250" s="172"/>
      <c r="K250" s="172"/>
      <c r="L250" s="172"/>
      <c r="M250" s="172"/>
      <c r="N250" s="172"/>
      <c r="O250" s="172"/>
      <c r="P250" s="172"/>
      <c r="Q250" s="172"/>
    </row>
    <row r="251" spans="1:18">
      <c r="G251" s="172"/>
      <c r="H251" s="172"/>
      <c r="I251" s="172"/>
      <c r="J251" s="172"/>
      <c r="K251" s="172"/>
      <c r="L251" s="172"/>
      <c r="M251" s="172"/>
      <c r="N251" s="172"/>
      <c r="O251" s="172"/>
      <c r="P251" s="172"/>
      <c r="Q251" s="172"/>
    </row>
    <row r="252" spans="1:18">
      <c r="A252" t="s">
        <v>161</v>
      </c>
      <c r="C252" s="184" t="s">
        <v>162</v>
      </c>
      <c r="E252" s="33">
        <f>+E260</f>
        <v>335403.32704999996</v>
      </c>
      <c r="G252" s="172"/>
      <c r="H252" s="172"/>
      <c r="I252" s="172"/>
      <c r="J252" s="172"/>
      <c r="K252" s="172"/>
      <c r="L252" s="172"/>
      <c r="M252" s="172"/>
      <c r="N252" s="172"/>
      <c r="O252" s="172"/>
      <c r="P252" s="172"/>
      <c r="Q252" s="172"/>
    </row>
    <row r="253" spans="1:18">
      <c r="G253" s="172"/>
      <c r="H253" s="172"/>
      <c r="I253" s="172"/>
      <c r="J253" s="172"/>
      <c r="K253" s="172"/>
      <c r="L253" s="172"/>
      <c r="M253" s="172"/>
      <c r="N253" s="172"/>
      <c r="O253" s="172"/>
      <c r="P253" s="172"/>
      <c r="Q253" s="172"/>
    </row>
    <row r="254" spans="1:18">
      <c r="D254" s="185" t="s">
        <v>163</v>
      </c>
      <c r="E254" s="186">
        <f>+'3 - Revenue Credits'!D33</f>
        <v>1210187</v>
      </c>
      <c r="G254" s="172"/>
      <c r="H254" s="172"/>
      <c r="I254" s="172"/>
      <c r="J254" s="172"/>
      <c r="K254" s="172"/>
      <c r="L254" s="172"/>
      <c r="M254" s="172"/>
      <c r="N254" s="172"/>
      <c r="O254" s="172"/>
      <c r="P254" s="172"/>
      <c r="Q254" s="172"/>
    </row>
    <row r="255" spans="1:18">
      <c r="D255" s="187" t="s">
        <v>164</v>
      </c>
      <c r="E255" s="188">
        <v>0.21</v>
      </c>
      <c r="G255" s="172"/>
      <c r="H255" s="172"/>
      <c r="I255" s="172"/>
      <c r="J255" s="172"/>
      <c r="K255" s="172"/>
      <c r="L255" s="172"/>
      <c r="M255" s="172"/>
      <c r="N255" s="172"/>
      <c r="O255" s="172"/>
      <c r="P255" s="172"/>
      <c r="Q255" s="172"/>
    </row>
    <row r="256" spans="1:18">
      <c r="D256" s="189" t="s">
        <v>165</v>
      </c>
      <c r="E256" s="190">
        <f>E254*E255</f>
        <v>254139.27</v>
      </c>
      <c r="G256" s="172"/>
      <c r="H256" s="172"/>
      <c r="I256" s="172"/>
      <c r="J256" s="172"/>
      <c r="K256" s="172"/>
      <c r="L256" s="172"/>
      <c r="M256" s="172"/>
      <c r="N256" s="172"/>
      <c r="O256" s="172"/>
      <c r="P256" s="172"/>
      <c r="Q256" s="172"/>
    </row>
    <row r="257" spans="1:19">
      <c r="D257" s="189" t="s">
        <v>166</v>
      </c>
      <c r="E257" s="190">
        <f>E254-E256</f>
        <v>956047.73</v>
      </c>
      <c r="G257" s="172"/>
      <c r="H257" s="172"/>
      <c r="I257" s="172"/>
      <c r="J257" s="172"/>
      <c r="K257" s="172"/>
      <c r="L257" s="172"/>
      <c r="M257" s="172"/>
      <c r="N257" s="172"/>
      <c r="O257" s="172"/>
      <c r="P257" s="172"/>
      <c r="Q257" s="172"/>
    </row>
    <row r="258" spans="1:19">
      <c r="D258" s="189" t="s">
        <v>167</v>
      </c>
      <c r="E258" s="191">
        <f>+'ATT H-3D'!H250</f>
        <v>8.5000000000000006E-2</v>
      </c>
      <c r="G258" s="172"/>
      <c r="H258" s="172"/>
      <c r="I258" s="172"/>
      <c r="J258" s="172"/>
      <c r="K258" s="172"/>
      <c r="L258" s="172"/>
      <c r="M258" s="172"/>
      <c r="N258" s="172"/>
      <c r="O258" s="172"/>
      <c r="P258" s="172"/>
      <c r="Q258" s="172"/>
    </row>
    <row r="259" spans="1:19">
      <c r="D259" s="189" t="s">
        <v>168</v>
      </c>
      <c r="E259" s="190">
        <f>E257*E258</f>
        <v>81264.057050000003</v>
      </c>
      <c r="G259" s="172"/>
      <c r="H259" s="172"/>
      <c r="I259" s="172"/>
      <c r="J259" s="172"/>
      <c r="K259" s="172"/>
      <c r="L259" s="172"/>
      <c r="M259" s="172"/>
      <c r="N259" s="172"/>
      <c r="O259" s="172"/>
      <c r="P259" s="172"/>
      <c r="Q259" s="172"/>
    </row>
    <row r="260" spans="1:19" ht="15" thickBot="1">
      <c r="D260" s="189" t="s">
        <v>169</v>
      </c>
      <c r="E260" s="192">
        <f>E259+E256</f>
        <v>335403.32704999996</v>
      </c>
      <c r="G260" s="172"/>
      <c r="H260" s="172"/>
      <c r="I260" s="172"/>
      <c r="J260" s="172"/>
      <c r="K260" s="172"/>
      <c r="L260" s="172"/>
      <c r="M260" s="172"/>
      <c r="N260" s="172"/>
      <c r="O260" s="172"/>
      <c r="P260" s="172"/>
      <c r="Q260" s="172"/>
    </row>
    <row r="261" spans="1:19" ht="16" thickTop="1">
      <c r="D261" s="193"/>
      <c r="E261" s="194"/>
      <c r="F261" s="194"/>
      <c r="G261" s="194"/>
      <c r="H261" s="194"/>
    </row>
    <row r="262" spans="1:19" s="1192" customFormat="1" ht="15.5">
      <c r="D262" s="193"/>
      <c r="E262" s="194"/>
      <c r="F262" s="194"/>
      <c r="G262" s="194"/>
      <c r="H262" s="194"/>
    </row>
    <row r="263" spans="1:19" s="1192" customFormat="1" ht="15.5">
      <c r="D263" s="193"/>
      <c r="E263" s="194"/>
      <c r="F263" s="194"/>
      <c r="G263" s="194"/>
      <c r="H263" s="194"/>
    </row>
    <row r="264" spans="1:19" ht="16" thickBot="1">
      <c r="D264" s="193"/>
      <c r="E264" s="194"/>
      <c r="F264" s="194"/>
      <c r="G264" s="194"/>
      <c r="H264" s="194"/>
    </row>
    <row r="265" spans="1:19" s="1192" customFormat="1" ht="18.5" thickBot="1">
      <c r="A265" s="1680" t="s">
        <v>1270</v>
      </c>
      <c r="B265" s="1211"/>
      <c r="C265" s="1211"/>
      <c r="D265" s="1211"/>
      <c r="E265" s="1211"/>
      <c r="F265" s="1211"/>
      <c r="G265" s="1211"/>
      <c r="H265" s="1211"/>
      <c r="I265" s="1211"/>
      <c r="J265" s="1212"/>
      <c r="K265" s="1212"/>
      <c r="L265" s="1212"/>
      <c r="M265" s="1212"/>
      <c r="N265" s="1212"/>
      <c r="O265" s="1212"/>
      <c r="P265" s="1212"/>
      <c r="Q265" s="1213"/>
      <c r="R265" s="172"/>
      <c r="S265" s="172"/>
    </row>
    <row r="266" spans="1:19" s="893" customFormat="1" ht="14">
      <c r="A266" s="1238"/>
      <c r="B266" s="1214"/>
      <c r="C266" s="1215"/>
      <c r="D266" s="1214"/>
      <c r="E266" s="1216"/>
      <c r="F266" s="1216"/>
      <c r="G266" s="1712"/>
      <c r="H266" s="1713" t="s">
        <v>229</v>
      </c>
      <c r="I266" s="1712"/>
      <c r="J266" s="1217"/>
      <c r="K266" s="1712"/>
      <c r="L266" s="1218"/>
      <c r="M266" s="1214"/>
      <c r="N266" s="1214"/>
      <c r="O266" s="1214"/>
      <c r="P266" s="1214"/>
      <c r="Q266" s="1219"/>
    </row>
    <row r="267" spans="1:19" s="893" customFormat="1" ht="14">
      <c r="A267" s="1238"/>
      <c r="B267" s="1220"/>
      <c r="C267" s="1214"/>
      <c r="D267" s="1221"/>
      <c r="E267" s="1222"/>
      <c r="F267" s="1222"/>
      <c r="G267" s="1712"/>
      <c r="H267" s="1713" t="s">
        <v>41</v>
      </c>
      <c r="I267" s="1713"/>
      <c r="J267" s="1713" t="s">
        <v>1271</v>
      </c>
      <c r="K267" s="1712"/>
      <c r="L267" s="1223"/>
      <c r="M267" s="1223"/>
      <c r="N267" s="1223"/>
      <c r="O267" s="1223"/>
      <c r="P267" s="1223"/>
      <c r="Q267" s="1224"/>
    </row>
    <row r="268" spans="1:19" s="893" customFormat="1" ht="14">
      <c r="A268" s="1239" t="s">
        <v>581</v>
      </c>
      <c r="B268" s="1220"/>
      <c r="C268" s="1225" t="s">
        <v>1272</v>
      </c>
      <c r="D268" s="1221"/>
      <c r="E268" s="1222"/>
      <c r="F268" s="1226" t="s">
        <v>1273</v>
      </c>
      <c r="G268" s="1712"/>
      <c r="H268" s="1227" t="s">
        <v>1274</v>
      </c>
      <c r="I268" s="1713"/>
      <c r="J268" s="1227" t="s">
        <v>1872</v>
      </c>
      <c r="K268" s="1712"/>
      <c r="L268" s="1227" t="s">
        <v>1873</v>
      </c>
      <c r="M268" s="1223"/>
      <c r="N268" s="1223"/>
      <c r="O268" s="1223"/>
      <c r="P268" s="1223"/>
      <c r="Q268" s="1224"/>
    </row>
    <row r="269" spans="1:19" s="893" customFormat="1" ht="14">
      <c r="A269" s="1238"/>
      <c r="B269" s="1220"/>
      <c r="C269" s="1228"/>
      <c r="D269" s="1221"/>
      <c r="E269" s="1222"/>
      <c r="F269" s="1222"/>
      <c r="G269" s="1712"/>
      <c r="H269" s="1713"/>
      <c r="I269" s="1713"/>
      <c r="J269" s="1713"/>
      <c r="K269" s="1712"/>
      <c r="L269" s="1714"/>
      <c r="M269" s="1223"/>
      <c r="N269" s="1223"/>
      <c r="O269" s="1223"/>
      <c r="P269" s="1223"/>
      <c r="Q269" s="1224"/>
    </row>
    <row r="270" spans="1:19" s="893" customFormat="1" ht="14">
      <c r="A270" s="1238" t="str">
        <f>'ATT H-3D'!A262</f>
        <v>136a</v>
      </c>
      <c r="B270" s="1214"/>
      <c r="C270" s="1215" t="s">
        <v>1234</v>
      </c>
      <c r="D270" s="1214"/>
      <c r="E270" s="1216"/>
      <c r="F270" s="1216" t="s">
        <v>1275</v>
      </c>
      <c r="G270" s="1712"/>
      <c r="H270" s="1518">
        <v>501429.0865549164</v>
      </c>
      <c r="I270" s="1715" t="s">
        <v>1054</v>
      </c>
      <c r="J270" s="1716">
        <f>'ATT H-3D'!H252</f>
        <v>0.2771499999999999</v>
      </c>
      <c r="K270" s="1717" t="s">
        <v>1276</v>
      </c>
      <c r="L270" s="1718">
        <f>H270*J270</f>
        <v>138971.07133869504</v>
      </c>
      <c r="M270" s="1719"/>
      <c r="N270" s="1223"/>
      <c r="O270" s="1719"/>
      <c r="P270" s="1223"/>
      <c r="Q270" s="1720"/>
    </row>
    <row r="271" spans="1:19" s="893" customFormat="1" ht="14">
      <c r="A271" s="1238"/>
      <c r="B271" s="1214"/>
      <c r="C271" s="1215" t="s">
        <v>1902</v>
      </c>
      <c r="D271" s="1214"/>
      <c r="E271" s="1216"/>
      <c r="F271" s="1216"/>
      <c r="G271" s="1712"/>
      <c r="H271" s="1712"/>
      <c r="I271" s="1712"/>
      <c r="J271" s="1712"/>
      <c r="K271" s="1712"/>
      <c r="L271" s="1718"/>
      <c r="M271" s="1223"/>
      <c r="N271" s="1223"/>
      <c r="O271" s="1223"/>
      <c r="P271" s="1223"/>
      <c r="Q271" s="1224"/>
    </row>
    <row r="272" spans="1:19" s="893" customFormat="1" ht="15.5">
      <c r="A272" s="1238" t="str">
        <f>'ATT H-3D'!A263</f>
        <v>136b</v>
      </c>
      <c r="B272" s="1214"/>
      <c r="C272" s="1772" t="s">
        <v>1235</v>
      </c>
      <c r="D272" s="1214"/>
      <c r="E272" s="1216"/>
      <c r="F272" s="1216" t="s">
        <v>1277</v>
      </c>
      <c r="G272" s="1712"/>
      <c r="H272" s="1712"/>
      <c r="I272" s="1712"/>
      <c r="J272" s="1712"/>
      <c r="K272" s="1712"/>
      <c r="L272" s="1721">
        <f>-'1E - EDIT Amortization'!O75</f>
        <v>-12065834.2608165</v>
      </c>
      <c r="M272" s="1722"/>
      <c r="N272" s="1223"/>
      <c r="O272" s="1722"/>
      <c r="P272" s="1223"/>
      <c r="Q272" s="1723"/>
    </row>
    <row r="273" spans="1:17" s="893" customFormat="1" ht="15.5">
      <c r="A273" s="1238" t="str">
        <f>'ATT H-3D'!A264</f>
        <v>136c</v>
      </c>
      <c r="B273" s="1214"/>
      <c r="C273" s="1772" t="s">
        <v>1237</v>
      </c>
      <c r="D273" s="1214"/>
      <c r="E273" s="1216"/>
      <c r="F273" s="1216" t="s">
        <v>1277</v>
      </c>
      <c r="G273" s="1712"/>
      <c r="H273" s="1712"/>
      <c r="I273" s="1712"/>
      <c r="J273" s="1712"/>
      <c r="K273" s="1712"/>
      <c r="L273" s="1721">
        <f>-'1E - EDIT Amortization'!O145</f>
        <v>0</v>
      </c>
      <c r="M273" s="1722"/>
      <c r="N273" s="1223"/>
      <c r="O273" s="1722"/>
      <c r="P273" s="1223"/>
      <c r="Q273" s="1723"/>
    </row>
    <row r="274" spans="1:17" s="893" customFormat="1" ht="14">
      <c r="A274" s="1238" t="str">
        <f>'ATT H-3D'!A265</f>
        <v>136d</v>
      </c>
      <c r="B274" s="1214"/>
      <c r="C274" s="1215" t="s">
        <v>1239</v>
      </c>
      <c r="D274" s="1214"/>
      <c r="E274" s="1216"/>
      <c r="F274" s="1216" t="s">
        <v>1278</v>
      </c>
      <c r="G274" s="1712"/>
      <c r="H274" s="1712"/>
      <c r="I274" s="1712"/>
      <c r="J274" s="1712"/>
      <c r="K274" s="1712"/>
      <c r="L274" s="1721">
        <v>0</v>
      </c>
      <c r="M274" s="1223"/>
      <c r="N274" s="1223"/>
      <c r="O274" s="1223"/>
      <c r="P274" s="1223"/>
      <c r="Q274" s="1224"/>
    </row>
    <row r="275" spans="1:17" s="893" customFormat="1" thickBot="1">
      <c r="A275" s="1238" t="str">
        <f>'ATT H-3D'!A266</f>
        <v>136e</v>
      </c>
      <c r="B275" s="1214"/>
      <c r="C275" s="1229" t="s">
        <v>1279</v>
      </c>
      <c r="D275" s="1214"/>
      <c r="E275" s="1216"/>
      <c r="F275" s="1216" t="s">
        <v>1280</v>
      </c>
      <c r="G275" s="1712"/>
      <c r="H275" s="1712"/>
      <c r="I275" s="1712"/>
      <c r="J275" s="1712"/>
      <c r="K275" s="1712"/>
      <c r="L275" s="1230">
        <f>SUM(L270:L274)</f>
        <v>-11926863.189477805</v>
      </c>
      <c r="M275" s="1223"/>
      <c r="N275" s="1223"/>
      <c r="O275" s="1223"/>
      <c r="P275" s="1223"/>
      <c r="Q275" s="1224"/>
    </row>
    <row r="276" spans="1:17" s="893" customFormat="1" thickTop="1">
      <c r="A276" s="1238"/>
      <c r="B276" s="1214"/>
      <c r="C276" s="1215"/>
      <c r="D276" s="1214"/>
      <c r="E276" s="1216"/>
      <c r="F276" s="1216"/>
      <c r="G276" s="1712"/>
      <c r="H276" s="1712"/>
      <c r="I276" s="1712"/>
      <c r="J276" s="1712"/>
      <c r="K276" s="1718"/>
      <c r="L276" s="1214"/>
      <c r="M276" s="1223"/>
      <c r="N276" s="1223"/>
      <c r="O276" s="1223"/>
      <c r="P276" s="1223"/>
      <c r="Q276" s="1224"/>
    </row>
    <row r="277" spans="1:17" s="893" customFormat="1" ht="14">
      <c r="A277" s="1240" t="s">
        <v>1281</v>
      </c>
      <c r="B277" s="1214"/>
      <c r="C277" s="1225" t="s">
        <v>1282</v>
      </c>
      <c r="D277" s="1228"/>
      <c r="E277" s="1228"/>
      <c r="F277" s="1216"/>
      <c r="G277" s="1712"/>
      <c r="H277" s="1712"/>
      <c r="I277" s="1217"/>
      <c r="J277" s="1712"/>
      <c r="K277" s="1218"/>
      <c r="L277" s="1214"/>
      <c r="M277" s="1223"/>
      <c r="N277" s="1223"/>
      <c r="O277" s="1223"/>
      <c r="P277" s="1223"/>
      <c r="Q277" s="1224"/>
    </row>
    <row r="278" spans="1:17" s="893" customFormat="1" ht="15" customHeight="1">
      <c r="A278" s="1241" t="s">
        <v>1283</v>
      </c>
      <c r="B278" s="1214"/>
      <c r="C278" s="1875" t="s">
        <v>1284</v>
      </c>
      <c r="D278" s="1875"/>
      <c r="E278" s="1875"/>
      <c r="F278" s="1875"/>
      <c r="G278" s="1712"/>
      <c r="H278" s="1712"/>
      <c r="I278" s="1217"/>
      <c r="J278" s="1712"/>
      <c r="K278" s="1218"/>
      <c r="L278" s="1214"/>
      <c r="M278" s="1214"/>
      <c r="N278" s="1214"/>
      <c r="O278" s="1214"/>
      <c r="P278" s="1214"/>
      <c r="Q278" s="1219"/>
    </row>
    <row r="279" spans="1:17" s="893" customFormat="1" ht="15" customHeight="1">
      <c r="A279" s="1241"/>
      <c r="B279" s="1214"/>
      <c r="C279" s="1875"/>
      <c r="D279" s="1875"/>
      <c r="E279" s="1875"/>
      <c r="F279" s="1875"/>
      <c r="G279" s="1712"/>
      <c r="H279" s="1712"/>
      <c r="I279" s="1217"/>
      <c r="J279" s="1712"/>
      <c r="K279" s="1218"/>
      <c r="L279" s="1214"/>
      <c r="M279" s="1214"/>
      <c r="N279" s="1214"/>
      <c r="O279" s="1214"/>
      <c r="P279" s="1214"/>
      <c r="Q279" s="1219"/>
    </row>
    <row r="280" spans="1:17" s="893" customFormat="1" ht="15" customHeight="1">
      <c r="A280" s="1241" t="s">
        <v>1285</v>
      </c>
      <c r="B280" s="1214"/>
      <c r="C280" s="1875" t="s">
        <v>1286</v>
      </c>
      <c r="D280" s="1875"/>
      <c r="E280" s="1875"/>
      <c r="F280" s="1875"/>
      <c r="G280" s="1712"/>
      <c r="H280" s="1712"/>
      <c r="I280" s="1217"/>
      <c r="J280" s="1712"/>
      <c r="K280" s="1218"/>
      <c r="L280" s="1214"/>
      <c r="M280" s="1214"/>
      <c r="N280" s="1214"/>
      <c r="O280" s="1214"/>
      <c r="P280" s="1214"/>
      <c r="Q280" s="1219"/>
    </row>
    <row r="281" spans="1:17" s="893" customFormat="1" ht="15" customHeight="1">
      <c r="A281" s="1241" t="s">
        <v>1287</v>
      </c>
      <c r="B281" s="1214"/>
      <c r="C281" s="1876" t="s">
        <v>1288</v>
      </c>
      <c r="D281" s="1876"/>
      <c r="E281" s="1876"/>
      <c r="F281" s="1876"/>
      <c r="G281" s="1712"/>
      <c r="H281" s="1712" t="s">
        <v>85</v>
      </c>
      <c r="I281" s="1217"/>
      <c r="J281" s="1712"/>
      <c r="K281" s="1218"/>
      <c r="L281" s="1214"/>
      <c r="M281" s="1214"/>
      <c r="N281" s="1214"/>
      <c r="O281" s="1214"/>
      <c r="P281" s="1214"/>
      <c r="Q281" s="1219"/>
    </row>
    <row r="282" spans="1:17" s="893" customFormat="1" ht="14">
      <c r="A282" s="1241"/>
      <c r="B282" s="1214"/>
      <c r="C282" s="1876"/>
      <c r="D282" s="1876"/>
      <c r="E282" s="1876"/>
      <c r="F282" s="1876"/>
      <c r="G282" s="1712"/>
      <c r="H282" s="1712"/>
      <c r="I282" s="1217"/>
      <c r="J282" s="1712"/>
      <c r="K282" s="1218"/>
      <c r="L282" s="1214"/>
      <c r="M282" s="1214"/>
      <c r="N282" s="1214"/>
      <c r="O282" s="1214"/>
      <c r="P282" s="1214"/>
      <c r="Q282" s="1219"/>
    </row>
    <row r="283" spans="1:17" s="893" customFormat="1" ht="15" customHeight="1">
      <c r="A283" s="1241" t="s">
        <v>1289</v>
      </c>
      <c r="B283" s="1214"/>
      <c r="C283" s="1877" t="s">
        <v>1290</v>
      </c>
      <c r="D283" s="1877"/>
      <c r="E283" s="1877"/>
      <c r="F283" s="1877"/>
      <c r="G283" s="1771"/>
      <c r="H283" s="1771"/>
      <c r="I283" s="1771"/>
      <c r="J283" s="1771"/>
      <c r="K283" s="1218"/>
      <c r="L283" s="1214"/>
      <c r="M283" s="1214"/>
      <c r="N283" s="1214"/>
      <c r="O283" s="1214"/>
      <c r="P283" s="1214"/>
      <c r="Q283" s="1219"/>
    </row>
    <row r="284" spans="1:17" s="893" customFormat="1" ht="14">
      <c r="A284" s="1241"/>
      <c r="B284" s="1214"/>
      <c r="C284" s="1877"/>
      <c r="D284" s="1877"/>
      <c r="E284" s="1877"/>
      <c r="F284" s="1877"/>
      <c r="G284" s="1771"/>
      <c r="H284" s="1771"/>
      <c r="I284" s="1771"/>
      <c r="J284" s="1771"/>
      <c r="K284" s="1218"/>
      <c r="L284" s="1214"/>
      <c r="M284" s="1214"/>
      <c r="N284" s="1214"/>
      <c r="O284" s="1214"/>
      <c r="P284" s="1214"/>
      <c r="Q284" s="1219"/>
    </row>
    <row r="285" spans="1:17" s="893" customFormat="1" ht="14">
      <c r="A285" s="1241"/>
      <c r="B285" s="1214"/>
      <c r="C285" s="1877"/>
      <c r="D285" s="1877"/>
      <c r="E285" s="1877"/>
      <c r="F285" s="1877"/>
      <c r="G285" s="1771"/>
      <c r="H285" s="1771"/>
      <c r="I285" s="1771"/>
      <c r="J285" s="1771"/>
      <c r="K285" s="1218"/>
      <c r="L285" s="1214"/>
      <c r="M285" s="1214"/>
      <c r="N285" s="1214"/>
      <c r="O285" s="1214"/>
      <c r="P285" s="1214"/>
      <c r="Q285" s="1219"/>
    </row>
    <row r="286" spans="1:17" s="893" customFormat="1" ht="14">
      <c r="A286" s="1241"/>
      <c r="B286" s="1214"/>
      <c r="C286" s="1877"/>
      <c r="D286" s="1877"/>
      <c r="E286" s="1877"/>
      <c r="F286" s="1877"/>
      <c r="G286" s="1771"/>
      <c r="H286" s="1771"/>
      <c r="I286" s="1771"/>
      <c r="J286" s="1771"/>
      <c r="K286" s="1218"/>
      <c r="L286" s="1214"/>
      <c r="M286" s="1214"/>
      <c r="N286" s="1214"/>
      <c r="O286" s="1214"/>
      <c r="P286" s="1214"/>
      <c r="Q286" s="1219"/>
    </row>
    <row r="287" spans="1:17" s="893" customFormat="1" ht="14">
      <c r="A287" s="1241"/>
      <c r="B287" s="1214"/>
      <c r="C287" s="1877"/>
      <c r="D287" s="1877"/>
      <c r="E287" s="1877"/>
      <c r="F287" s="1877"/>
      <c r="G287" s="1771"/>
      <c r="H287" s="1771"/>
      <c r="I287" s="1771"/>
      <c r="J287" s="1771"/>
      <c r="K287" s="1218"/>
      <c r="L287" s="1214"/>
      <c r="M287" s="1214"/>
      <c r="N287" s="1214"/>
      <c r="O287" s="1214"/>
      <c r="P287" s="1214"/>
      <c r="Q287" s="1219"/>
    </row>
    <row r="288" spans="1:17" s="893" customFormat="1" ht="15" customHeight="1">
      <c r="A288" s="1241" t="s">
        <v>1291</v>
      </c>
      <c r="B288" s="1214"/>
      <c r="C288" s="1877" t="s">
        <v>1292</v>
      </c>
      <c r="D288" s="1877"/>
      <c r="E288" s="1877"/>
      <c r="F288" s="1877"/>
      <c r="G288" s="1712"/>
      <c r="H288" s="1712"/>
      <c r="I288" s="1217"/>
      <c r="J288" s="1712"/>
      <c r="K288" s="1218"/>
      <c r="L288" s="1214"/>
      <c r="M288" s="1214"/>
      <c r="N288" s="1214"/>
      <c r="O288" s="1214"/>
      <c r="P288" s="1214"/>
      <c r="Q288" s="1219"/>
    </row>
    <row r="289" spans="1:17" s="893" customFormat="1" ht="14">
      <c r="A289" s="1241"/>
      <c r="B289" s="1214"/>
      <c r="C289" s="1877"/>
      <c r="D289" s="1877"/>
      <c r="E289" s="1877"/>
      <c r="F289" s="1877"/>
      <c r="G289" s="1712"/>
      <c r="H289" s="1712"/>
      <c r="I289" s="1217"/>
      <c r="J289" s="1712"/>
      <c r="K289" s="1218"/>
      <c r="L289" s="1214"/>
      <c r="M289" s="1214"/>
      <c r="N289" s="1214"/>
      <c r="O289" s="1214"/>
      <c r="P289" s="1214"/>
      <c r="Q289" s="1219"/>
    </row>
    <row r="290" spans="1:17" s="893" customFormat="1" ht="14">
      <c r="A290" s="1241"/>
      <c r="B290" s="1214"/>
      <c r="C290" s="1877"/>
      <c r="D290" s="1877"/>
      <c r="E290" s="1877"/>
      <c r="F290" s="1877"/>
      <c r="G290" s="1712"/>
      <c r="H290" s="1712"/>
      <c r="I290" s="1217"/>
      <c r="J290" s="1712"/>
      <c r="K290" s="1218"/>
      <c r="L290" s="1214"/>
      <c r="M290" s="1214"/>
      <c r="N290" s="1214"/>
      <c r="O290" s="1214"/>
      <c r="P290" s="1214"/>
      <c r="Q290" s="1219"/>
    </row>
    <row r="291" spans="1:17" s="893" customFormat="1" ht="14">
      <c r="A291" s="1241"/>
      <c r="B291" s="1214"/>
      <c r="C291" s="1877"/>
      <c r="D291" s="1877"/>
      <c r="E291" s="1877"/>
      <c r="F291" s="1877"/>
      <c r="G291" s="1712"/>
      <c r="H291" s="1712"/>
      <c r="I291" s="1217"/>
      <c r="J291" s="1712"/>
      <c r="K291" s="1218"/>
      <c r="L291" s="1214"/>
      <c r="M291" s="1214"/>
      <c r="N291" s="1214"/>
      <c r="O291" s="1214"/>
      <c r="P291" s="1214"/>
      <c r="Q291" s="1219"/>
    </row>
    <row r="292" spans="1:17" s="893" customFormat="1" ht="14">
      <c r="A292" s="1241"/>
      <c r="B292" s="1214"/>
      <c r="C292" s="1877"/>
      <c r="D292" s="1877"/>
      <c r="E292" s="1877"/>
      <c r="F292" s="1877"/>
      <c r="G292" s="1712"/>
      <c r="H292" s="1712"/>
      <c r="I292" s="1217"/>
      <c r="J292" s="1712"/>
      <c r="K292" s="1218"/>
      <c r="L292" s="1214"/>
      <c r="M292" s="1214"/>
      <c r="N292" s="1214"/>
      <c r="O292" s="1214"/>
      <c r="P292" s="1214"/>
      <c r="Q292" s="1219"/>
    </row>
    <row r="293" spans="1:17" s="893" customFormat="1" ht="14">
      <c r="A293" s="1241"/>
      <c r="B293" s="1214"/>
      <c r="C293" s="1877"/>
      <c r="D293" s="1877"/>
      <c r="E293" s="1877"/>
      <c r="F293" s="1877"/>
      <c r="G293" s="1712"/>
      <c r="H293" s="1712"/>
      <c r="I293" s="1217"/>
      <c r="J293" s="1712"/>
      <c r="K293" s="1218"/>
      <c r="L293" s="1214"/>
      <c r="M293" s="1214"/>
      <c r="N293" s="1214"/>
      <c r="O293" s="1214"/>
      <c r="P293" s="1214"/>
      <c r="Q293" s="1219"/>
    </row>
    <row r="294" spans="1:17" s="893" customFormat="1" ht="14">
      <c r="A294" s="1241"/>
      <c r="B294" s="1214"/>
      <c r="C294" s="1877"/>
      <c r="D294" s="1877"/>
      <c r="E294" s="1877"/>
      <c r="F294" s="1877"/>
      <c r="G294" s="1712"/>
      <c r="H294" s="1712"/>
      <c r="I294" s="1217"/>
      <c r="J294" s="1712"/>
      <c r="K294" s="1218"/>
      <c r="L294" s="1214"/>
      <c r="M294" s="1214"/>
      <c r="N294" s="1214"/>
      <c r="O294" s="1214"/>
      <c r="P294" s="1214"/>
      <c r="Q294" s="1219"/>
    </row>
    <row r="295" spans="1:17" s="893" customFormat="1" ht="15" customHeight="1">
      <c r="A295" s="1241" t="s">
        <v>1293</v>
      </c>
      <c r="B295" s="1214"/>
      <c r="C295" s="1877" t="s">
        <v>1294</v>
      </c>
      <c r="D295" s="1877"/>
      <c r="E295" s="1877"/>
      <c r="F295" s="1877"/>
      <c r="G295" s="1712"/>
      <c r="H295" s="1712"/>
      <c r="I295" s="1217"/>
      <c r="J295" s="1712"/>
      <c r="K295" s="1218"/>
      <c r="L295" s="1214"/>
      <c r="M295" s="1214"/>
      <c r="N295" s="1214"/>
      <c r="O295" s="1214"/>
      <c r="P295" s="1214"/>
      <c r="Q295" s="1219"/>
    </row>
    <row r="296" spans="1:17" s="893" customFormat="1" ht="14">
      <c r="A296" s="1241"/>
      <c r="B296" s="1214"/>
      <c r="C296" s="1877"/>
      <c r="D296" s="1877"/>
      <c r="E296" s="1877"/>
      <c r="F296" s="1877"/>
      <c r="G296" s="1712"/>
      <c r="H296" s="1712"/>
      <c r="I296" s="1217"/>
      <c r="J296" s="1712"/>
      <c r="K296" s="1218"/>
      <c r="L296" s="1214"/>
      <c r="M296" s="1214"/>
      <c r="N296" s="1214"/>
      <c r="O296" s="1214"/>
      <c r="P296" s="1214"/>
      <c r="Q296" s="1219"/>
    </row>
    <row r="297" spans="1:17" s="893" customFormat="1" thickBot="1">
      <c r="A297" s="1242"/>
      <c r="B297" s="1231"/>
      <c r="C297" s="1878"/>
      <c r="D297" s="1878"/>
      <c r="E297" s="1878"/>
      <c r="F297" s="1878"/>
      <c r="G297" s="1232"/>
      <c r="H297" s="1232"/>
      <c r="I297" s="1233"/>
      <c r="J297" s="1232"/>
      <c r="K297" s="1234"/>
      <c r="L297" s="1231"/>
      <c r="M297" s="1231"/>
      <c r="N297" s="1231"/>
      <c r="O297" s="1231"/>
      <c r="P297" s="1231"/>
      <c r="Q297" s="1235"/>
    </row>
    <row r="310" spans="3:3" ht="15.5">
      <c r="C310" s="8"/>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13">
    <mergeCell ref="J23:Q23"/>
    <mergeCell ref="J24:Q24"/>
    <mergeCell ref="J71:Q71"/>
    <mergeCell ref="A75:F75"/>
    <mergeCell ref="A5:F5"/>
    <mergeCell ref="J5:Q5"/>
    <mergeCell ref="J6:Q6"/>
    <mergeCell ref="J7:Q7"/>
    <mergeCell ref="J8:Q8"/>
    <mergeCell ref="J9:Q9"/>
    <mergeCell ref="A22:F22"/>
    <mergeCell ref="J22:Q22"/>
    <mergeCell ref="J11:Q11"/>
    <mergeCell ref="J13:Q13"/>
    <mergeCell ref="J15:Q15"/>
    <mergeCell ref="J18:Q18"/>
    <mergeCell ref="J35:Q35"/>
    <mergeCell ref="A31:F31"/>
    <mergeCell ref="J31:Q31"/>
    <mergeCell ref="J32:Q32"/>
    <mergeCell ref="J33:Q33"/>
    <mergeCell ref="A62:F62"/>
    <mergeCell ref="L62:Q62"/>
    <mergeCell ref="L64:Q64"/>
    <mergeCell ref="L65:Q65"/>
    <mergeCell ref="J36:Q36"/>
    <mergeCell ref="J34:Q34"/>
    <mergeCell ref="J38:Q38"/>
    <mergeCell ref="A42:F42"/>
    <mergeCell ref="J42:Q42"/>
    <mergeCell ref="J58:Q58"/>
    <mergeCell ref="J43:Q43"/>
    <mergeCell ref="J52:Q52"/>
    <mergeCell ref="A56:F56"/>
    <mergeCell ref="J44:Q44"/>
    <mergeCell ref="A48:F48"/>
    <mergeCell ref="J48:Q48"/>
    <mergeCell ref="J56:Q56"/>
    <mergeCell ref="H75:Q75"/>
    <mergeCell ref="H77:Q77"/>
    <mergeCell ref="H79:Q79"/>
    <mergeCell ref="A144:F144"/>
    <mergeCell ref="H144:Q144"/>
    <mergeCell ref="H146:Q146"/>
    <mergeCell ref="H148:Q148"/>
    <mergeCell ref="H149:Q149"/>
    <mergeCell ref="A93:F93"/>
    <mergeCell ref="H82:Q82"/>
    <mergeCell ref="H83:Q83"/>
    <mergeCell ref="H84:Q84"/>
    <mergeCell ref="H85:Q85"/>
    <mergeCell ref="H86:Q86"/>
    <mergeCell ref="H87:Q87"/>
    <mergeCell ref="H80:Q80"/>
    <mergeCell ref="A69:F69"/>
    <mergeCell ref="J69:Q69"/>
    <mergeCell ref="G191:H191"/>
    <mergeCell ref="I191:J191"/>
    <mergeCell ref="K191:L191"/>
    <mergeCell ref="A173:F173"/>
    <mergeCell ref="H173:Q173"/>
    <mergeCell ref="H175:Q175"/>
    <mergeCell ref="A195:F195"/>
    <mergeCell ref="H151:Q151"/>
    <mergeCell ref="H152:Q152"/>
    <mergeCell ref="A103:F103"/>
    <mergeCell ref="C105:F105"/>
    <mergeCell ref="C124:T126"/>
    <mergeCell ref="A130:F130"/>
    <mergeCell ref="H150:Q150"/>
    <mergeCell ref="H154:Q154"/>
    <mergeCell ref="H153:Q153"/>
    <mergeCell ref="H166:Q166"/>
    <mergeCell ref="H168:Q168"/>
    <mergeCell ref="H169:Q169"/>
    <mergeCell ref="G189:H189"/>
    <mergeCell ref="I189:J189"/>
    <mergeCell ref="K189:L189"/>
    <mergeCell ref="A205:F205"/>
    <mergeCell ref="A158:F158"/>
    <mergeCell ref="A164:F164"/>
    <mergeCell ref="H164:Q164"/>
    <mergeCell ref="G188:H188"/>
    <mergeCell ref="I188:J188"/>
    <mergeCell ref="K188:L188"/>
    <mergeCell ref="A181:F181"/>
    <mergeCell ref="H181:Q181"/>
    <mergeCell ref="H183:Q183"/>
    <mergeCell ref="G187:H187"/>
    <mergeCell ref="I187:J187"/>
    <mergeCell ref="K187:L187"/>
    <mergeCell ref="K243:Q243"/>
    <mergeCell ref="K245:Q245"/>
    <mergeCell ref="A250:F250"/>
    <mergeCell ref="A242:F242"/>
    <mergeCell ref="G242:H242"/>
    <mergeCell ref="I242:J242"/>
    <mergeCell ref="K242:L242"/>
    <mergeCell ref="A233:F233"/>
    <mergeCell ref="A224:F224"/>
    <mergeCell ref="G224:H224"/>
    <mergeCell ref="I224:J224"/>
    <mergeCell ref="A225:F225"/>
    <mergeCell ref="C278:F279"/>
    <mergeCell ref="C280:F280"/>
    <mergeCell ref="C281:F282"/>
    <mergeCell ref="C283:F287"/>
    <mergeCell ref="C288:F294"/>
    <mergeCell ref="C295:F296"/>
    <mergeCell ref="C297:F297"/>
    <mergeCell ref="A213:F213"/>
    <mergeCell ref="A214:F214"/>
    <mergeCell ref="A243:F243"/>
  </mergeCells>
  <phoneticPr fontId="97" type="noConversion"/>
  <pageMargins left="0.25" right="0.25" top="0.75" bottom="0.75" header="0.5" footer="0.5"/>
  <pageSetup scale="15" fitToHeight="3" orientation="portrait" r:id="rId2"/>
  <rowBreaks count="3" manualBreakCount="3">
    <brk id="45" max="17" man="1"/>
    <brk id="162" max="17" man="1"/>
    <brk id="247"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47"/>
  <sheetViews>
    <sheetView showGridLines="0" zoomScaleNormal="100" zoomScaleSheetLayoutView="99" workbookViewId="0">
      <selection activeCell="G87" sqref="G87"/>
    </sheetView>
  </sheetViews>
  <sheetFormatPr defaultColWidth="9.1796875" defaultRowHeight="12.5"/>
  <cols>
    <col min="1" max="1" width="37" style="571" customWidth="1"/>
    <col min="2" max="2" width="16" style="571" bestFit="1" customWidth="1"/>
    <col min="3" max="3" width="5.81640625" style="571" customWidth="1"/>
    <col min="4" max="4" width="16" style="571" bestFit="1" customWidth="1"/>
    <col min="5" max="5" width="6.54296875" style="571" customWidth="1"/>
    <col min="6" max="6" width="16" style="571" bestFit="1" customWidth="1"/>
    <col min="7" max="7" width="6" style="571" customWidth="1"/>
    <col min="8" max="8" width="8.7265625" style="571" bestFit="1" customWidth="1"/>
    <col min="9" max="9" width="5.81640625" style="571" customWidth="1"/>
    <col min="10" max="10" width="9.7265625" style="571" bestFit="1" customWidth="1"/>
    <col min="11" max="11" width="5.81640625" style="571" customWidth="1"/>
    <col min="12" max="12" width="10.1796875" style="571" customWidth="1"/>
    <col min="13" max="13" width="5.81640625" style="571" customWidth="1"/>
    <col min="14" max="14" width="15" style="571" bestFit="1" customWidth="1"/>
    <col min="15" max="15" width="5.453125" style="571" customWidth="1"/>
    <col min="16" max="16" width="16" style="571" bestFit="1" customWidth="1"/>
    <col min="17" max="16384" width="9.1796875" style="571"/>
  </cols>
  <sheetData>
    <row r="1" spans="1:17" ht="18">
      <c r="A1" s="1947" t="s">
        <v>1574</v>
      </c>
      <c r="B1" s="1948"/>
      <c r="C1" s="1948"/>
      <c r="D1" s="1948"/>
      <c r="E1" s="1948"/>
      <c r="F1" s="1948"/>
      <c r="G1" s="1948"/>
      <c r="H1" s="1948"/>
      <c r="I1" s="1060"/>
      <c r="J1" s="1060"/>
      <c r="K1" s="1060"/>
      <c r="L1" s="1060"/>
      <c r="M1" s="1060"/>
    </row>
    <row r="2" spans="1:17" ht="13">
      <c r="N2" s="572"/>
      <c r="O2" s="573"/>
      <c r="P2" s="574"/>
    </row>
    <row r="3" spans="1:17" ht="13">
      <c r="A3" s="575" t="s">
        <v>494</v>
      </c>
      <c r="N3" s="572"/>
      <c r="O3" s="573"/>
      <c r="P3" s="574"/>
    </row>
    <row r="4" spans="1:17" ht="13">
      <c r="A4" s="573"/>
      <c r="B4" s="573"/>
      <c r="C4" s="573"/>
      <c r="D4" s="573"/>
      <c r="E4" s="573"/>
      <c r="F4" s="573"/>
      <c r="G4" s="573"/>
      <c r="H4" s="573"/>
      <c r="I4" s="573"/>
      <c r="J4" s="573"/>
      <c r="K4" s="573"/>
      <c r="L4" s="573"/>
      <c r="M4" s="573"/>
      <c r="N4" s="573"/>
      <c r="O4" s="573"/>
      <c r="P4" s="574"/>
    </row>
    <row r="6" spans="1:17" ht="13">
      <c r="A6" s="574"/>
      <c r="B6" s="576" t="s">
        <v>495</v>
      </c>
      <c r="C6" s="576"/>
      <c r="D6" s="577" t="s">
        <v>496</v>
      </c>
      <c r="E6" s="577"/>
      <c r="F6" s="577"/>
      <c r="G6" s="577"/>
      <c r="H6" s="577"/>
      <c r="I6" s="577"/>
      <c r="J6" s="577"/>
      <c r="K6" s="577"/>
      <c r="L6" s="577"/>
      <c r="M6" s="577"/>
      <c r="N6" s="577"/>
      <c r="O6" s="577"/>
      <c r="P6" s="576"/>
    </row>
    <row r="7" spans="1:17" ht="13">
      <c r="A7" s="574"/>
      <c r="B7" s="576" t="s">
        <v>497</v>
      </c>
      <c r="C7" s="576"/>
      <c r="D7" s="577" t="s">
        <v>498</v>
      </c>
      <c r="E7" s="577"/>
      <c r="F7" s="577" t="s">
        <v>141</v>
      </c>
      <c r="G7" s="577"/>
      <c r="H7" s="576" t="s">
        <v>1077</v>
      </c>
      <c r="I7" s="1107"/>
      <c r="J7" s="576" t="s">
        <v>1078</v>
      </c>
      <c r="K7" s="1107"/>
      <c r="L7" s="576" t="s">
        <v>1079</v>
      </c>
      <c r="M7" s="576"/>
      <c r="N7" s="577" t="s">
        <v>499</v>
      </c>
      <c r="O7" s="577"/>
      <c r="P7" s="578" t="s">
        <v>44</v>
      </c>
    </row>
    <row r="8" spans="1:17">
      <c r="A8" s="574"/>
      <c r="B8" s="579"/>
      <c r="C8" s="579"/>
      <c r="D8" s="580"/>
      <c r="E8" s="580"/>
      <c r="F8" s="580"/>
      <c r="G8" s="580"/>
      <c r="H8" s="580"/>
      <c r="I8" s="580"/>
      <c r="J8" s="580"/>
      <c r="K8" s="580"/>
      <c r="L8" s="580"/>
      <c r="M8" s="580"/>
      <c r="N8" s="580"/>
      <c r="O8" s="580"/>
      <c r="P8" s="581"/>
    </row>
    <row r="9" spans="1:17" ht="14.5">
      <c r="A9" s="582" t="s">
        <v>500</v>
      </c>
      <c r="B9" s="1657">
        <v>2038205.6899999992</v>
      </c>
      <c r="C9" s="583"/>
      <c r="D9" s="1657">
        <v>1938277.47</v>
      </c>
      <c r="E9" s="584"/>
      <c r="F9" s="1657">
        <v>3587812.23</v>
      </c>
      <c r="G9" s="1657"/>
      <c r="H9" s="584">
        <v>0</v>
      </c>
      <c r="I9" s="584"/>
      <c r="J9" s="584">
        <v>0</v>
      </c>
      <c r="K9" s="584"/>
      <c r="L9" s="584">
        <v>0</v>
      </c>
      <c r="M9" s="584"/>
      <c r="N9" s="1657">
        <v>4487.6700000000019</v>
      </c>
      <c r="O9" s="585"/>
      <c r="P9" s="585">
        <f>SUM(B9:N9)</f>
        <v>7568783.0599999987</v>
      </c>
      <c r="Q9" s="586"/>
    </row>
    <row r="10" spans="1:17" ht="14">
      <c r="A10" s="582"/>
      <c r="B10" s="585"/>
      <c r="C10" s="585"/>
      <c r="D10" s="587"/>
      <c r="E10" s="587"/>
      <c r="F10" s="587"/>
      <c r="G10" s="587"/>
      <c r="H10" s="587"/>
      <c r="I10" s="587"/>
      <c r="J10" s="587"/>
      <c r="K10" s="587"/>
      <c r="L10" s="587"/>
      <c r="M10" s="587"/>
      <c r="N10" s="588"/>
      <c r="O10" s="587"/>
      <c r="P10" s="585">
        <v>0</v>
      </c>
      <c r="Q10" s="586"/>
    </row>
    <row r="11" spans="1:17" ht="14">
      <c r="A11" s="582" t="s">
        <v>1209</v>
      </c>
      <c r="B11" s="588">
        <v>9111711.5599999987</v>
      </c>
      <c r="C11" s="585"/>
      <c r="D11" s="588">
        <v>7429687.0899999999</v>
      </c>
      <c r="E11" s="587"/>
      <c r="F11" s="588">
        <v>17048294.220000003</v>
      </c>
      <c r="G11" s="588"/>
      <c r="H11" s="587">
        <v>0</v>
      </c>
      <c r="I11" s="587"/>
      <c r="J11" s="587">
        <v>0</v>
      </c>
      <c r="K11" s="587"/>
      <c r="L11" s="587">
        <v>0</v>
      </c>
      <c r="M11" s="587"/>
      <c r="N11" s="588">
        <v>8536253.4800000023</v>
      </c>
      <c r="O11" s="587"/>
      <c r="P11" s="585">
        <f>SUM(B11:N11)</f>
        <v>42125946.350000009</v>
      </c>
      <c r="Q11" s="586"/>
    </row>
    <row r="12" spans="1:17" ht="14">
      <c r="A12" s="582"/>
      <c r="B12" s="587"/>
      <c r="C12" s="585"/>
      <c r="D12" s="587"/>
      <c r="E12" s="587"/>
      <c r="F12" s="587"/>
      <c r="G12" s="587"/>
      <c r="H12" s="587"/>
      <c r="I12" s="587"/>
      <c r="J12" s="587"/>
      <c r="K12" s="587"/>
      <c r="L12" s="587"/>
      <c r="M12" s="587"/>
      <c r="N12" s="588"/>
      <c r="O12" s="587"/>
      <c r="P12" s="585">
        <v>0</v>
      </c>
      <c r="Q12" s="586"/>
    </row>
    <row r="13" spans="1:17" ht="14">
      <c r="A13" s="582" t="s">
        <v>1210</v>
      </c>
      <c r="B13" s="588">
        <v>6669096.790000001</v>
      </c>
      <c r="C13" s="585"/>
      <c r="D13" s="588">
        <v>5986599.0600000005</v>
      </c>
      <c r="E13" s="587"/>
      <c r="F13" s="588">
        <v>10832714.049999999</v>
      </c>
      <c r="G13" s="588"/>
      <c r="H13" s="587">
        <v>0</v>
      </c>
      <c r="I13" s="587"/>
      <c r="J13" s="587">
        <v>0</v>
      </c>
      <c r="K13" s="587"/>
      <c r="L13" s="587">
        <v>0</v>
      </c>
      <c r="M13" s="587"/>
      <c r="N13" s="588">
        <v>6024.48</v>
      </c>
      <c r="O13" s="587"/>
      <c r="P13" s="585">
        <f>SUM(B13:N13)</f>
        <v>23494434.379999999</v>
      </c>
      <c r="Q13" s="586"/>
    </row>
    <row r="14" spans="1:17" ht="14">
      <c r="A14" s="582"/>
      <c r="B14" s="587"/>
      <c r="C14" s="585"/>
      <c r="D14" s="587"/>
      <c r="E14" s="587"/>
      <c r="F14" s="587"/>
      <c r="G14" s="587"/>
      <c r="H14" s="587"/>
      <c r="I14" s="587"/>
      <c r="J14" s="587"/>
      <c r="K14" s="587"/>
      <c r="L14" s="587"/>
      <c r="M14" s="587"/>
      <c r="N14" s="588"/>
      <c r="O14" s="587"/>
      <c r="P14" s="585">
        <v>0</v>
      </c>
      <c r="Q14" s="586"/>
    </row>
    <row r="15" spans="1:17" ht="14">
      <c r="A15" s="582" t="s">
        <v>501</v>
      </c>
      <c r="B15" s="588">
        <v>2479793.5200000005</v>
      </c>
      <c r="C15" s="585"/>
      <c r="D15" s="588">
        <v>1735006.9100000004</v>
      </c>
      <c r="E15" s="587"/>
      <c r="F15" s="588">
        <v>3771913.75</v>
      </c>
      <c r="G15" s="588"/>
      <c r="H15" s="587">
        <v>0</v>
      </c>
      <c r="I15" s="587"/>
      <c r="J15" s="587">
        <v>0</v>
      </c>
      <c r="K15" s="587"/>
      <c r="L15" s="587">
        <v>0</v>
      </c>
      <c r="M15" s="587"/>
      <c r="N15" s="588">
        <v>0</v>
      </c>
      <c r="O15" s="587"/>
      <c r="P15" s="585">
        <f>SUM(B15:N15)</f>
        <v>7986714.1800000006</v>
      </c>
      <c r="Q15" s="586"/>
    </row>
    <row r="16" spans="1:17" ht="14">
      <c r="A16" s="582"/>
      <c r="B16" s="587"/>
      <c r="C16" s="585"/>
      <c r="D16" s="587"/>
      <c r="E16" s="587"/>
      <c r="F16" s="587"/>
      <c r="G16" s="587"/>
      <c r="H16" s="587"/>
      <c r="I16" s="587"/>
      <c r="J16" s="587"/>
      <c r="K16" s="587"/>
      <c r="L16" s="587"/>
      <c r="M16" s="587"/>
      <c r="N16" s="588"/>
      <c r="O16" s="587"/>
      <c r="P16" s="585">
        <v>0</v>
      </c>
      <c r="Q16" s="586"/>
    </row>
    <row r="17" spans="1:17" ht="14">
      <c r="A17" s="582" t="s">
        <v>502</v>
      </c>
      <c r="B17" s="588">
        <v>1312478.7400000002</v>
      </c>
      <c r="C17" s="585"/>
      <c r="D17" s="588">
        <v>1036746.6600000001</v>
      </c>
      <c r="E17" s="587"/>
      <c r="F17" s="588">
        <v>2040837.42</v>
      </c>
      <c r="G17" s="588"/>
      <c r="H17" s="587">
        <v>0</v>
      </c>
      <c r="I17" s="587"/>
      <c r="J17" s="587">
        <v>0</v>
      </c>
      <c r="K17" s="587"/>
      <c r="L17" s="587">
        <v>0</v>
      </c>
      <c r="M17" s="587"/>
      <c r="N17" s="588">
        <v>54520.62</v>
      </c>
      <c r="O17" s="587"/>
      <c r="P17" s="585">
        <f>SUM(B17:N17)</f>
        <v>4444583.4400000004</v>
      </c>
      <c r="Q17" s="586"/>
    </row>
    <row r="18" spans="1:17" ht="14">
      <c r="A18" s="582"/>
      <c r="B18" s="587"/>
      <c r="C18" s="585"/>
      <c r="D18" s="587"/>
      <c r="E18" s="587"/>
      <c r="F18" s="587"/>
      <c r="G18" s="587"/>
      <c r="H18" s="587"/>
      <c r="I18" s="587"/>
      <c r="J18" s="587"/>
      <c r="K18" s="587"/>
      <c r="L18" s="587"/>
      <c r="M18" s="587"/>
      <c r="N18" s="588"/>
      <c r="O18" s="587"/>
      <c r="P18" s="585">
        <v>0</v>
      </c>
      <c r="Q18" s="586"/>
    </row>
    <row r="19" spans="1:17" ht="14">
      <c r="A19" s="582" t="s">
        <v>503</v>
      </c>
      <c r="B19" s="588">
        <v>36193093.269999988</v>
      </c>
      <c r="C19" s="585"/>
      <c r="D19" s="588">
        <v>33375437.770000011</v>
      </c>
      <c r="E19" s="587"/>
      <c r="F19" s="588">
        <v>26420423.970000003</v>
      </c>
      <c r="G19" s="588"/>
      <c r="H19" s="587">
        <v>0</v>
      </c>
      <c r="I19" s="587"/>
      <c r="J19" s="587">
        <v>0</v>
      </c>
      <c r="K19" s="587"/>
      <c r="L19" s="587">
        <v>0</v>
      </c>
      <c r="M19" s="587"/>
      <c r="N19" s="588">
        <v>0</v>
      </c>
      <c r="O19" s="587"/>
      <c r="P19" s="585">
        <f>SUM(B19:N19)</f>
        <v>95988955.00999999</v>
      </c>
      <c r="Q19" s="586"/>
    </row>
    <row r="20" spans="1:17" ht="14">
      <c r="A20" s="582"/>
      <c r="B20" s="587"/>
      <c r="C20" s="585"/>
      <c r="D20" s="587"/>
      <c r="E20" s="587"/>
      <c r="F20" s="587"/>
      <c r="G20" s="587"/>
      <c r="H20" s="587"/>
      <c r="I20" s="587"/>
      <c r="J20" s="587"/>
      <c r="K20" s="587"/>
      <c r="L20" s="587"/>
      <c r="M20" s="587"/>
      <c r="N20" s="588"/>
      <c r="O20" s="587"/>
      <c r="P20" s="585">
        <v>0</v>
      </c>
      <c r="Q20" s="586"/>
    </row>
    <row r="21" spans="1:17" ht="14.5">
      <c r="A21" s="582" t="s">
        <v>504</v>
      </c>
      <c r="B21" s="1657">
        <v>12442508.27</v>
      </c>
      <c r="C21" s="584"/>
      <c r="D21" s="1657">
        <v>11917474.090000002</v>
      </c>
      <c r="E21" s="589"/>
      <c r="F21" s="1657">
        <v>19572162.379999995</v>
      </c>
      <c r="G21" s="1657"/>
      <c r="H21" s="589">
        <v>0</v>
      </c>
      <c r="I21" s="589"/>
      <c r="J21" s="589">
        <v>0</v>
      </c>
      <c r="K21" s="589"/>
      <c r="L21" s="589">
        <v>0</v>
      </c>
      <c r="M21" s="589"/>
      <c r="N21" s="1657">
        <v>4075.059999999999</v>
      </c>
      <c r="O21" s="587"/>
      <c r="P21" s="585">
        <f>SUM(B21:N21)</f>
        <v>43936219.799999997</v>
      </c>
      <c r="Q21" s="586"/>
    </row>
    <row r="22" spans="1:17" ht="14">
      <c r="A22" s="582"/>
      <c r="B22" s="587"/>
      <c r="C22" s="585"/>
      <c r="D22" s="587"/>
      <c r="E22" s="587"/>
      <c r="F22" s="587"/>
      <c r="G22" s="587"/>
      <c r="H22" s="587"/>
      <c r="I22" s="587"/>
      <c r="J22" s="587"/>
      <c r="K22" s="587"/>
      <c r="L22" s="587"/>
      <c r="M22" s="587"/>
      <c r="N22" s="588"/>
      <c r="O22" s="587"/>
      <c r="P22" s="585">
        <v>0</v>
      </c>
      <c r="Q22" s="586"/>
    </row>
    <row r="23" spans="1:17" ht="14.5">
      <c r="A23" s="582" t="s">
        <v>1566</v>
      </c>
      <c r="B23" s="1657">
        <v>3386930.8599999989</v>
      </c>
      <c r="C23" s="584"/>
      <c r="D23" s="1657">
        <v>4107303.1999999993</v>
      </c>
      <c r="E23" s="589"/>
      <c r="F23" s="1657">
        <v>5416256.0800000001</v>
      </c>
      <c r="G23" s="1657"/>
      <c r="H23" s="589">
        <v>0</v>
      </c>
      <c r="I23" s="589"/>
      <c r="J23" s="589">
        <v>0</v>
      </c>
      <c r="K23" s="589"/>
      <c r="L23" s="589">
        <v>0</v>
      </c>
      <c r="M23" s="589"/>
      <c r="N23" s="1657">
        <v>54858.7</v>
      </c>
      <c r="O23" s="587"/>
      <c r="P23" s="585">
        <f>SUM(B23:N23)</f>
        <v>12965348.839999998</v>
      </c>
      <c r="Q23" s="586"/>
    </row>
    <row r="24" spans="1:17" ht="14.5">
      <c r="A24" s="582"/>
      <c r="B24" s="589"/>
      <c r="C24" s="584"/>
      <c r="D24" s="589"/>
      <c r="E24" s="589"/>
      <c r="F24" s="589"/>
      <c r="G24" s="589"/>
      <c r="H24" s="589"/>
      <c r="I24" s="589"/>
      <c r="J24" s="589"/>
      <c r="K24" s="589"/>
      <c r="L24" s="589"/>
      <c r="M24" s="589"/>
      <c r="N24" s="1657"/>
      <c r="O24" s="587"/>
      <c r="P24" s="585">
        <v>0</v>
      </c>
      <c r="Q24" s="586"/>
    </row>
    <row r="25" spans="1:17" ht="14.5">
      <c r="A25" s="582" t="s">
        <v>1211</v>
      </c>
      <c r="B25" s="1657">
        <v>1677039.5099999998</v>
      </c>
      <c r="C25" s="584"/>
      <c r="D25" s="1657">
        <v>1561418.0499999998</v>
      </c>
      <c r="E25" s="589"/>
      <c r="F25" s="1657">
        <v>2867996.59</v>
      </c>
      <c r="G25" s="1657"/>
      <c r="H25" s="589">
        <v>0</v>
      </c>
      <c r="I25" s="589"/>
      <c r="J25" s="589">
        <v>0</v>
      </c>
      <c r="K25" s="589"/>
      <c r="L25" s="589">
        <v>0</v>
      </c>
      <c r="M25" s="589"/>
      <c r="N25" s="1657">
        <v>2997.6299999999992</v>
      </c>
      <c r="O25" s="587"/>
      <c r="P25" s="585">
        <f>SUM(B25:N25)</f>
        <v>6109451.7799999993</v>
      </c>
      <c r="Q25" s="586"/>
    </row>
    <row r="26" spans="1:17" ht="14.5">
      <c r="A26" s="582"/>
      <c r="B26" s="589"/>
      <c r="C26" s="584"/>
      <c r="D26" s="589"/>
      <c r="E26" s="589"/>
      <c r="F26" s="589"/>
      <c r="G26" s="589"/>
      <c r="H26" s="589"/>
      <c r="I26" s="589"/>
      <c r="J26" s="589"/>
      <c r="K26" s="589"/>
      <c r="L26" s="589"/>
      <c r="M26" s="589"/>
      <c r="N26" s="1657"/>
      <c r="O26" s="587"/>
      <c r="P26" s="585">
        <v>0</v>
      </c>
      <c r="Q26" s="586"/>
    </row>
    <row r="27" spans="1:17" ht="14.5">
      <c r="A27" s="582" t="s">
        <v>1212</v>
      </c>
      <c r="B27" s="1657">
        <v>7510383.3900000006</v>
      </c>
      <c r="C27" s="584"/>
      <c r="D27" s="1657">
        <v>6654154.0800000001</v>
      </c>
      <c r="E27" s="589"/>
      <c r="F27" s="1657">
        <v>10057483.6</v>
      </c>
      <c r="G27" s="1657"/>
      <c r="H27" s="589">
        <v>0</v>
      </c>
      <c r="I27" s="589"/>
      <c r="J27" s="589">
        <v>0</v>
      </c>
      <c r="K27" s="589"/>
      <c r="L27" s="589">
        <v>0</v>
      </c>
      <c r="M27" s="589"/>
      <c r="N27" s="1657">
        <v>2003.4499999999998</v>
      </c>
      <c r="O27" s="587"/>
      <c r="P27" s="585">
        <f>SUM(B27:N27)</f>
        <v>24224024.52</v>
      </c>
      <c r="Q27" s="586"/>
    </row>
    <row r="28" spans="1:17" ht="14.5">
      <c r="A28" s="582"/>
      <c r="B28" s="589"/>
      <c r="C28" s="584"/>
      <c r="D28" s="589"/>
      <c r="E28" s="589"/>
      <c r="F28" s="589"/>
      <c r="G28" s="589"/>
      <c r="H28" s="589"/>
      <c r="I28" s="589"/>
      <c r="J28" s="589"/>
      <c r="K28" s="589"/>
      <c r="L28" s="589"/>
      <c r="M28" s="589"/>
      <c r="N28" s="1657"/>
      <c r="O28" s="587"/>
      <c r="P28" s="585">
        <v>0</v>
      </c>
      <c r="Q28" s="586"/>
    </row>
    <row r="29" spans="1:17" ht="14.5">
      <c r="A29" s="582" t="s">
        <v>1213</v>
      </c>
      <c r="B29" s="1657">
        <v>31051003.279999997</v>
      </c>
      <c r="C29" s="584"/>
      <c r="D29" s="1657">
        <v>26469193.57</v>
      </c>
      <c r="E29" s="589"/>
      <c r="F29" s="1657">
        <v>42719818.580000028</v>
      </c>
      <c r="G29" s="1657"/>
      <c r="H29" s="1657">
        <v>25079.78</v>
      </c>
      <c r="I29" s="1657"/>
      <c r="J29" s="1657">
        <v>123596.63999999998</v>
      </c>
      <c r="K29" s="1657"/>
      <c r="L29" s="1657">
        <v>42921.280000000006</v>
      </c>
      <c r="M29" s="589"/>
      <c r="N29" s="1657">
        <v>7302.38</v>
      </c>
      <c r="O29" s="587"/>
      <c r="P29" s="585">
        <f>SUM(B29:N29)</f>
        <v>100438915.51000002</v>
      </c>
      <c r="Q29" s="586"/>
    </row>
    <row r="30" spans="1:17" ht="14.5">
      <c r="A30" s="582"/>
      <c r="B30" s="589"/>
      <c r="C30" s="584"/>
      <c r="D30" s="589"/>
      <c r="E30" s="589"/>
      <c r="F30" s="589"/>
      <c r="G30" s="589"/>
      <c r="H30" s="589"/>
      <c r="I30" s="589"/>
      <c r="J30" s="589"/>
      <c r="K30" s="589"/>
      <c r="L30" s="589"/>
      <c r="M30" s="589"/>
      <c r="N30" s="1657"/>
      <c r="O30" s="587"/>
      <c r="P30" s="585">
        <v>0</v>
      </c>
      <c r="Q30" s="586"/>
    </row>
    <row r="31" spans="1:17" ht="14.5">
      <c r="A31" s="582" t="s">
        <v>1214</v>
      </c>
      <c r="B31" s="1657">
        <v>705472.90999999992</v>
      </c>
      <c r="C31" s="584"/>
      <c r="D31" s="1657">
        <v>682680.09000000008</v>
      </c>
      <c r="E31" s="589"/>
      <c r="F31" s="1657">
        <v>1493661.3</v>
      </c>
      <c r="G31" s="1657"/>
      <c r="H31" s="589">
        <v>0</v>
      </c>
      <c r="I31" s="589"/>
      <c r="J31" s="589">
        <v>0</v>
      </c>
      <c r="K31" s="589"/>
      <c r="L31" s="589">
        <v>0</v>
      </c>
      <c r="M31" s="589"/>
      <c r="N31" s="1657">
        <v>179.19</v>
      </c>
      <c r="O31" s="587"/>
      <c r="P31" s="585">
        <f>SUM(B31:N31)</f>
        <v>2881993.4899999998</v>
      </c>
      <c r="Q31" s="586"/>
    </row>
    <row r="32" spans="1:17">
      <c r="A32" s="590"/>
      <c r="B32" s="591"/>
      <c r="C32" s="591"/>
      <c r="D32" s="591"/>
      <c r="E32" s="591"/>
      <c r="F32" s="591"/>
      <c r="G32" s="591"/>
      <c r="H32" s="591"/>
      <c r="I32" s="591"/>
      <c r="J32" s="591"/>
      <c r="K32" s="591"/>
      <c r="L32" s="591"/>
      <c r="M32" s="591"/>
      <c r="N32" s="592"/>
      <c r="O32" s="592"/>
      <c r="P32" s="591"/>
      <c r="Q32" s="593"/>
    </row>
    <row r="33" spans="1:17" ht="13.5" thickBot="1">
      <c r="A33" s="590" t="s">
        <v>44</v>
      </c>
      <c r="B33" s="594">
        <f>SUM(B9:B31)</f>
        <v>114577717.78999999</v>
      </c>
      <c r="C33" s="594">
        <f t="shared" ref="C33:P33" si="0">SUM(C9:C31)</f>
        <v>0</v>
      </c>
      <c r="D33" s="594">
        <f t="shared" si="0"/>
        <v>102893978.04000002</v>
      </c>
      <c r="E33" s="594">
        <f t="shared" si="0"/>
        <v>0</v>
      </c>
      <c r="F33" s="594">
        <f t="shared" si="0"/>
        <v>145829374.17000002</v>
      </c>
      <c r="G33" s="594">
        <f t="shared" si="0"/>
        <v>0</v>
      </c>
      <c r="H33" s="594">
        <f t="shared" si="0"/>
        <v>25079.78</v>
      </c>
      <c r="I33" s="594">
        <f t="shared" si="0"/>
        <v>0</v>
      </c>
      <c r="J33" s="594">
        <f t="shared" si="0"/>
        <v>123596.63999999998</v>
      </c>
      <c r="K33" s="594">
        <f t="shared" si="0"/>
        <v>0</v>
      </c>
      <c r="L33" s="594">
        <f t="shared" si="0"/>
        <v>42921.280000000006</v>
      </c>
      <c r="M33" s="594">
        <f t="shared" si="0"/>
        <v>0</v>
      </c>
      <c r="N33" s="594">
        <f t="shared" si="0"/>
        <v>8672702.660000002</v>
      </c>
      <c r="O33" s="594">
        <f t="shared" si="0"/>
        <v>0</v>
      </c>
      <c r="P33" s="594">
        <f t="shared" si="0"/>
        <v>372165370.36000001</v>
      </c>
      <c r="Q33" s="593"/>
    </row>
    <row r="34" spans="1:17" ht="13" thickTop="1">
      <c r="B34" s="591"/>
      <c r="C34" s="591"/>
      <c r="D34" s="591"/>
      <c r="E34" s="591"/>
      <c r="F34" s="591"/>
      <c r="G34" s="591"/>
      <c r="H34" s="591"/>
      <c r="I34" s="591"/>
      <c r="J34" s="591"/>
      <c r="K34" s="591"/>
      <c r="L34" s="591"/>
      <c r="M34" s="591"/>
      <c r="N34" s="592" t="s">
        <v>85</v>
      </c>
      <c r="O34" s="592"/>
      <c r="P34" s="591"/>
    </row>
    <row r="35" spans="1:17">
      <c r="B35" s="591"/>
      <c r="C35" s="591"/>
      <c r="D35" s="591"/>
      <c r="E35" s="591"/>
      <c r="F35" s="591"/>
      <c r="G35" s="591"/>
      <c r="H35" s="591"/>
      <c r="I35" s="591"/>
      <c r="J35" s="591"/>
      <c r="K35" s="591"/>
      <c r="L35" s="591"/>
      <c r="M35" s="591"/>
      <c r="N35" s="592"/>
      <c r="O35" s="592"/>
      <c r="P35" s="591"/>
    </row>
    <row r="36" spans="1:17">
      <c r="B36" s="591"/>
      <c r="C36" s="591"/>
      <c r="D36" s="591"/>
      <c r="E36" s="591"/>
      <c r="F36" s="591"/>
      <c r="G36" s="591"/>
      <c r="H36" s="591"/>
      <c r="I36" s="591"/>
      <c r="J36" s="591"/>
      <c r="K36" s="591"/>
      <c r="L36" s="591"/>
      <c r="M36" s="591"/>
      <c r="N36" s="592"/>
      <c r="O36" s="592"/>
      <c r="P36" s="591"/>
    </row>
    <row r="37" spans="1:17">
      <c r="B37" s="591"/>
      <c r="C37" s="591"/>
      <c r="D37" s="591"/>
      <c r="E37" s="591"/>
      <c r="F37" s="591"/>
      <c r="G37" s="591"/>
      <c r="H37" s="591"/>
      <c r="I37" s="591"/>
      <c r="J37" s="591"/>
      <c r="K37" s="591"/>
      <c r="L37" s="591"/>
      <c r="M37" s="591"/>
      <c r="N37" s="592"/>
      <c r="O37" s="592"/>
      <c r="P37" s="591"/>
    </row>
    <row r="38" spans="1:17">
      <c r="B38" s="591"/>
      <c r="C38" s="591"/>
      <c r="D38" s="591"/>
      <c r="E38" s="591"/>
      <c r="F38" s="591"/>
      <c r="G38" s="591"/>
      <c r="H38" s="591"/>
      <c r="I38" s="591"/>
      <c r="J38" s="591"/>
      <c r="K38" s="591"/>
      <c r="L38" s="591"/>
      <c r="M38" s="591"/>
      <c r="N38" s="592"/>
      <c r="O38" s="592"/>
      <c r="P38" s="591"/>
    </row>
    <row r="39" spans="1:17">
      <c r="B39" s="591"/>
      <c r="C39" s="591"/>
      <c r="D39" s="591"/>
      <c r="E39" s="591"/>
      <c r="F39" s="591"/>
      <c r="G39" s="591"/>
      <c r="H39" s="591"/>
      <c r="I39" s="591"/>
      <c r="J39" s="591"/>
      <c r="K39" s="591"/>
      <c r="L39" s="591"/>
      <c r="M39" s="591"/>
      <c r="N39" s="592"/>
      <c r="O39" s="592"/>
      <c r="P39" s="591"/>
    </row>
    <row r="40" spans="1:17">
      <c r="B40" s="591"/>
      <c r="C40" s="591"/>
      <c r="D40" s="591"/>
      <c r="E40" s="591"/>
      <c r="F40" s="591"/>
      <c r="G40" s="591"/>
      <c r="H40" s="591"/>
      <c r="I40" s="591"/>
      <c r="J40" s="591"/>
      <c r="K40" s="591"/>
      <c r="L40" s="591"/>
      <c r="M40" s="591"/>
      <c r="N40" s="592"/>
      <c r="O40" s="592"/>
      <c r="P40" s="591"/>
    </row>
    <row r="41" spans="1:17">
      <c r="B41" s="591"/>
      <c r="C41" s="591"/>
      <c r="D41" s="591"/>
      <c r="E41" s="591"/>
      <c r="F41" s="591"/>
      <c r="G41" s="591"/>
      <c r="H41" s="591"/>
      <c r="I41" s="591"/>
      <c r="J41" s="591"/>
      <c r="K41" s="591"/>
      <c r="L41" s="591"/>
      <c r="M41" s="591"/>
      <c r="N41" s="592"/>
      <c r="O41" s="592"/>
      <c r="P41" s="591"/>
    </row>
    <row r="42" spans="1:17">
      <c r="B42" s="591"/>
      <c r="C42" s="591"/>
      <c r="D42" s="591"/>
      <c r="E42" s="591"/>
      <c r="F42" s="591"/>
      <c r="G42" s="591"/>
      <c r="H42" s="591"/>
      <c r="I42" s="591"/>
      <c r="J42" s="591"/>
      <c r="K42" s="591"/>
      <c r="L42" s="591"/>
      <c r="M42" s="591"/>
      <c r="N42" s="592"/>
      <c r="O42" s="592"/>
      <c r="P42" s="591"/>
    </row>
    <row r="43" spans="1:17">
      <c r="B43" s="591"/>
      <c r="C43" s="591"/>
      <c r="D43" s="591"/>
      <c r="E43" s="591"/>
      <c r="F43" s="591"/>
      <c r="G43" s="591"/>
      <c r="H43" s="591"/>
      <c r="I43" s="591"/>
      <c r="J43" s="591"/>
      <c r="K43" s="591"/>
      <c r="L43" s="591"/>
      <c r="M43" s="591"/>
      <c r="N43" s="592"/>
      <c r="O43" s="592"/>
      <c r="P43" s="591"/>
    </row>
    <row r="44" spans="1:17">
      <c r="B44" s="591"/>
      <c r="C44" s="591"/>
      <c r="D44" s="591"/>
      <c r="E44" s="591"/>
      <c r="F44" s="591"/>
      <c r="G44" s="591"/>
      <c r="H44" s="591"/>
      <c r="I44" s="591"/>
      <c r="J44" s="591"/>
      <c r="K44" s="591"/>
      <c r="L44" s="591"/>
      <c r="M44" s="591"/>
      <c r="N44" s="592"/>
      <c r="O44" s="592"/>
      <c r="P44" s="591"/>
    </row>
    <row r="45" spans="1:17">
      <c r="B45" s="591"/>
      <c r="C45" s="591"/>
      <c r="D45" s="591"/>
      <c r="E45" s="591"/>
      <c r="F45" s="591"/>
      <c r="G45" s="591"/>
      <c r="H45" s="591"/>
      <c r="I45" s="591"/>
      <c r="J45" s="591"/>
      <c r="K45" s="591"/>
      <c r="L45" s="591"/>
      <c r="M45" s="591"/>
      <c r="N45" s="592"/>
      <c r="O45" s="592"/>
      <c r="P45" s="591"/>
    </row>
    <row r="46" spans="1:17">
      <c r="B46" s="591"/>
      <c r="C46" s="591"/>
      <c r="D46" s="591"/>
      <c r="E46" s="591"/>
      <c r="F46" s="591"/>
      <c r="G46" s="591"/>
      <c r="H46" s="591"/>
      <c r="I46" s="591"/>
      <c r="J46" s="591"/>
      <c r="K46" s="591"/>
      <c r="L46" s="591"/>
      <c r="M46" s="591"/>
      <c r="N46" s="592"/>
      <c r="O46" s="592"/>
      <c r="P46" s="591"/>
    </row>
    <row r="47" spans="1:17">
      <c r="B47" s="591"/>
      <c r="C47" s="591"/>
      <c r="D47" s="591"/>
      <c r="E47" s="591"/>
      <c r="F47" s="591"/>
      <c r="G47" s="591"/>
      <c r="H47" s="591"/>
      <c r="I47" s="591"/>
      <c r="J47" s="591"/>
      <c r="K47" s="591"/>
      <c r="L47" s="591"/>
      <c r="M47" s="591"/>
      <c r="N47" s="592"/>
      <c r="O47" s="592"/>
      <c r="P47" s="591"/>
    </row>
    <row r="48" spans="1:17">
      <c r="B48" s="591"/>
      <c r="C48" s="591"/>
      <c r="D48" s="591"/>
      <c r="E48" s="591"/>
      <c r="F48" s="591"/>
      <c r="G48" s="591"/>
      <c r="H48" s="591"/>
      <c r="I48" s="591"/>
      <c r="J48" s="591"/>
      <c r="K48" s="591"/>
      <c r="L48" s="591"/>
      <c r="M48" s="591"/>
      <c r="N48" s="592"/>
      <c r="O48" s="592"/>
      <c r="P48" s="591"/>
    </row>
    <row r="49" spans="2:16">
      <c r="B49" s="591"/>
      <c r="C49" s="591"/>
      <c r="D49" s="591"/>
      <c r="E49" s="591"/>
      <c r="F49" s="591"/>
      <c r="G49" s="591"/>
      <c r="H49" s="591"/>
      <c r="I49" s="591"/>
      <c r="J49" s="591"/>
      <c r="K49" s="591"/>
      <c r="L49" s="591"/>
      <c r="M49" s="591"/>
      <c r="N49" s="592"/>
      <c r="O49" s="592"/>
      <c r="P49" s="591"/>
    </row>
    <row r="50" spans="2:16">
      <c r="B50" s="591"/>
      <c r="C50" s="591"/>
      <c r="D50" s="591"/>
      <c r="E50" s="591"/>
      <c r="F50" s="591"/>
      <c r="G50" s="591"/>
      <c r="H50" s="591"/>
      <c r="I50" s="591"/>
      <c r="J50" s="591"/>
      <c r="K50" s="591"/>
      <c r="L50" s="591"/>
      <c r="M50" s="591"/>
      <c r="N50" s="592"/>
      <c r="O50" s="592"/>
      <c r="P50" s="591"/>
    </row>
    <row r="51" spans="2:16">
      <c r="B51" s="591"/>
      <c r="C51" s="591"/>
      <c r="D51" s="591"/>
      <c r="E51" s="591"/>
      <c r="F51" s="591"/>
      <c r="G51" s="591"/>
      <c r="H51" s="591"/>
      <c r="I51" s="591"/>
      <c r="J51" s="591"/>
      <c r="K51" s="591"/>
      <c r="L51" s="591"/>
      <c r="M51" s="591"/>
      <c r="N51" s="592"/>
      <c r="O51" s="592"/>
      <c r="P51" s="591"/>
    </row>
    <row r="52" spans="2:16">
      <c r="B52" s="591"/>
      <c r="C52" s="591"/>
      <c r="D52" s="591"/>
      <c r="E52" s="591"/>
      <c r="F52" s="591"/>
      <c r="G52" s="591"/>
      <c r="H52" s="591"/>
      <c r="I52" s="591"/>
      <c r="J52" s="591"/>
      <c r="K52" s="591"/>
      <c r="L52" s="591"/>
      <c r="M52" s="591"/>
      <c r="N52" s="592"/>
      <c r="O52" s="592"/>
      <c r="P52" s="591"/>
    </row>
    <row r="53" spans="2:16">
      <c r="B53" s="591"/>
      <c r="C53" s="591"/>
      <c r="D53" s="591"/>
      <c r="E53" s="591"/>
      <c r="F53" s="591"/>
      <c r="G53" s="591"/>
      <c r="H53" s="591"/>
      <c r="I53" s="591"/>
      <c r="J53" s="591"/>
      <c r="K53" s="591"/>
      <c r="L53" s="591"/>
      <c r="M53" s="591"/>
      <c r="N53" s="592"/>
      <c r="O53" s="592"/>
      <c r="P53" s="591"/>
    </row>
    <row r="54" spans="2:16">
      <c r="B54" s="591"/>
      <c r="C54" s="591"/>
      <c r="D54" s="591"/>
      <c r="E54" s="591"/>
      <c r="F54" s="591"/>
      <c r="G54" s="591"/>
      <c r="H54" s="591"/>
      <c r="I54" s="591"/>
      <c r="J54" s="591"/>
      <c r="K54" s="591"/>
      <c r="L54" s="591"/>
      <c r="M54" s="591"/>
      <c r="N54" s="592"/>
      <c r="O54" s="592"/>
      <c r="P54" s="591"/>
    </row>
    <row r="55" spans="2:16">
      <c r="B55" s="591"/>
      <c r="C55" s="591"/>
      <c r="D55" s="591"/>
      <c r="E55" s="591"/>
      <c r="F55" s="591"/>
      <c r="G55" s="591"/>
      <c r="H55" s="591"/>
      <c r="I55" s="591"/>
      <c r="J55" s="591"/>
      <c r="K55" s="591"/>
      <c r="L55" s="591"/>
      <c r="M55" s="591"/>
      <c r="N55" s="592"/>
      <c r="O55" s="592"/>
      <c r="P55" s="591"/>
    </row>
    <row r="56" spans="2:16">
      <c r="B56" s="591"/>
      <c r="C56" s="591"/>
      <c r="D56" s="591"/>
      <c r="E56" s="591"/>
      <c r="F56" s="591"/>
      <c r="G56" s="591"/>
      <c r="H56" s="591"/>
      <c r="I56" s="591"/>
      <c r="J56" s="591"/>
      <c r="K56" s="591"/>
      <c r="L56" s="591"/>
      <c r="M56" s="591"/>
      <c r="N56" s="592"/>
      <c r="O56" s="592"/>
      <c r="P56" s="591"/>
    </row>
    <row r="57" spans="2:16">
      <c r="B57" s="591"/>
      <c r="C57" s="591"/>
      <c r="D57" s="591"/>
      <c r="E57" s="591"/>
      <c r="F57" s="591"/>
      <c r="G57" s="591"/>
      <c r="H57" s="591"/>
      <c r="I57" s="591"/>
      <c r="J57" s="591"/>
      <c r="K57" s="591"/>
      <c r="L57" s="591"/>
      <c r="M57" s="591"/>
      <c r="N57" s="592"/>
      <c r="O57" s="592"/>
      <c r="P57" s="591"/>
    </row>
    <row r="58" spans="2:16">
      <c r="B58" s="591"/>
      <c r="C58" s="591"/>
      <c r="D58" s="591"/>
      <c r="E58" s="591"/>
      <c r="F58" s="591"/>
      <c r="G58" s="591"/>
      <c r="H58" s="591"/>
      <c r="I58" s="591"/>
      <c r="J58" s="591"/>
      <c r="K58" s="591"/>
      <c r="L58" s="591"/>
      <c r="M58" s="591"/>
      <c r="N58" s="592"/>
      <c r="O58" s="592"/>
      <c r="P58" s="591"/>
    </row>
    <row r="59" spans="2:16">
      <c r="B59" s="591"/>
      <c r="C59" s="591"/>
      <c r="D59" s="591"/>
      <c r="E59" s="591"/>
      <c r="F59" s="591"/>
      <c r="G59" s="591"/>
      <c r="H59" s="591"/>
      <c r="I59" s="591"/>
      <c r="J59" s="591"/>
      <c r="K59" s="591"/>
      <c r="L59" s="591"/>
      <c r="M59" s="591"/>
      <c r="N59" s="592"/>
      <c r="O59" s="592"/>
      <c r="P59" s="591"/>
    </row>
    <row r="60" spans="2:16">
      <c r="B60" s="591"/>
      <c r="C60" s="591"/>
      <c r="D60" s="591"/>
      <c r="E60" s="591"/>
      <c r="F60" s="591"/>
      <c r="G60" s="591"/>
      <c r="H60" s="591"/>
      <c r="I60" s="591"/>
      <c r="J60" s="591"/>
      <c r="K60" s="591"/>
      <c r="L60" s="591"/>
      <c r="M60" s="591"/>
      <c r="N60" s="592"/>
      <c r="O60" s="592"/>
      <c r="P60" s="591"/>
    </row>
    <row r="61" spans="2:16">
      <c r="B61" s="591"/>
      <c r="C61" s="591"/>
      <c r="D61" s="591"/>
      <c r="E61" s="591"/>
      <c r="F61" s="591"/>
      <c r="G61" s="591"/>
      <c r="H61" s="591"/>
      <c r="I61" s="591"/>
      <c r="J61" s="591"/>
      <c r="K61" s="591"/>
      <c r="L61" s="591"/>
      <c r="M61" s="591"/>
      <c r="N61" s="592"/>
      <c r="O61" s="592"/>
      <c r="P61" s="591"/>
    </row>
    <row r="62" spans="2:16">
      <c r="B62" s="591"/>
      <c r="C62" s="591"/>
      <c r="D62" s="591"/>
      <c r="E62" s="591"/>
      <c r="F62" s="591"/>
      <c r="G62" s="591"/>
      <c r="H62" s="591"/>
      <c r="I62" s="591"/>
      <c r="J62" s="591"/>
      <c r="K62" s="591"/>
      <c r="L62" s="591"/>
      <c r="M62" s="591"/>
      <c r="N62" s="592"/>
      <c r="O62" s="592"/>
      <c r="P62" s="591"/>
    </row>
    <row r="63" spans="2:16">
      <c r="B63" s="591"/>
      <c r="C63" s="591"/>
      <c r="D63" s="591"/>
      <c r="E63" s="591"/>
      <c r="F63" s="591"/>
      <c r="G63" s="591"/>
      <c r="H63" s="591"/>
      <c r="I63" s="591"/>
      <c r="J63" s="591"/>
      <c r="K63" s="591"/>
      <c r="L63" s="591"/>
      <c r="M63" s="591"/>
      <c r="N63" s="592"/>
      <c r="O63" s="592"/>
      <c r="P63" s="591"/>
    </row>
    <row r="64" spans="2:16">
      <c r="B64" s="591"/>
      <c r="C64" s="591"/>
      <c r="D64" s="591"/>
      <c r="E64" s="591"/>
      <c r="F64" s="591"/>
      <c r="G64" s="591"/>
      <c r="H64" s="591"/>
      <c r="I64" s="591"/>
      <c r="J64" s="591"/>
      <c r="K64" s="591"/>
      <c r="L64" s="591"/>
      <c r="M64" s="591"/>
      <c r="N64" s="592"/>
      <c r="O64" s="592"/>
      <c r="P64" s="591"/>
    </row>
    <row r="65" spans="2:16">
      <c r="B65" s="591"/>
      <c r="C65" s="591"/>
      <c r="D65" s="591"/>
      <c r="E65" s="591"/>
      <c r="F65" s="591"/>
      <c r="G65" s="591"/>
      <c r="H65" s="591"/>
      <c r="I65" s="591"/>
      <c r="J65" s="591"/>
      <c r="K65" s="591"/>
      <c r="L65" s="591"/>
      <c r="M65" s="591"/>
      <c r="N65" s="592"/>
      <c r="O65" s="592"/>
      <c r="P65" s="591"/>
    </row>
    <row r="66" spans="2:16">
      <c r="B66" s="591"/>
      <c r="C66" s="591"/>
      <c r="D66" s="591"/>
      <c r="E66" s="591"/>
      <c r="F66" s="591"/>
      <c r="G66" s="591"/>
      <c r="H66" s="591"/>
      <c r="I66" s="591"/>
      <c r="J66" s="591"/>
      <c r="K66" s="591"/>
      <c r="L66" s="591"/>
      <c r="M66" s="591"/>
      <c r="N66" s="592"/>
      <c r="O66" s="592"/>
      <c r="P66" s="591"/>
    </row>
    <row r="67" spans="2:16">
      <c r="B67" s="591"/>
      <c r="C67" s="591"/>
      <c r="D67" s="591"/>
      <c r="E67" s="591"/>
      <c r="F67" s="591"/>
      <c r="G67" s="591"/>
      <c r="H67" s="591"/>
      <c r="I67" s="591"/>
      <c r="J67" s="591"/>
      <c r="K67" s="591"/>
      <c r="L67" s="591"/>
      <c r="M67" s="591"/>
      <c r="N67" s="592"/>
      <c r="O67" s="592"/>
      <c r="P67" s="591"/>
    </row>
    <row r="68" spans="2:16">
      <c r="B68" s="591"/>
      <c r="C68" s="591"/>
      <c r="D68" s="591"/>
      <c r="E68" s="591"/>
      <c r="F68" s="591"/>
      <c r="G68" s="591"/>
      <c r="H68" s="591"/>
      <c r="I68" s="591"/>
      <c r="J68" s="591"/>
      <c r="K68" s="591"/>
      <c r="L68" s="591"/>
      <c r="M68" s="591"/>
      <c r="N68" s="592"/>
      <c r="O68" s="592"/>
      <c r="P68" s="591"/>
    </row>
    <row r="69" spans="2:16">
      <c r="B69" s="591"/>
      <c r="C69" s="591"/>
      <c r="D69" s="591"/>
      <c r="E69" s="591"/>
      <c r="F69" s="591"/>
      <c r="G69" s="591"/>
      <c r="H69" s="591"/>
      <c r="I69" s="591"/>
      <c r="J69" s="591"/>
      <c r="K69" s="591"/>
      <c r="L69" s="591"/>
      <c r="M69" s="591"/>
      <c r="N69" s="592"/>
      <c r="O69" s="592"/>
      <c r="P69" s="591"/>
    </row>
    <row r="70" spans="2:16">
      <c r="B70" s="591"/>
      <c r="C70" s="591"/>
      <c r="D70" s="591"/>
      <c r="E70" s="591"/>
      <c r="F70" s="591"/>
      <c r="G70" s="591"/>
      <c r="H70" s="591"/>
      <c r="I70" s="591"/>
      <c r="J70" s="591"/>
      <c r="K70" s="591"/>
      <c r="L70" s="591"/>
      <c r="M70" s="591"/>
      <c r="N70" s="592"/>
      <c r="O70" s="592"/>
      <c r="P70" s="591"/>
    </row>
    <row r="71" spans="2:16">
      <c r="B71" s="591"/>
      <c r="C71" s="591"/>
      <c r="D71" s="591"/>
      <c r="E71" s="591"/>
      <c r="F71" s="591"/>
      <c r="G71" s="591"/>
      <c r="H71" s="591"/>
      <c r="I71" s="591"/>
      <c r="J71" s="591"/>
      <c r="K71" s="591"/>
      <c r="L71" s="591"/>
      <c r="M71" s="591"/>
      <c r="N71" s="592"/>
      <c r="O71" s="592"/>
      <c r="P71" s="591"/>
    </row>
    <row r="72" spans="2:16">
      <c r="B72" s="591"/>
      <c r="C72" s="591"/>
      <c r="D72" s="591"/>
      <c r="E72" s="591"/>
      <c r="F72" s="591"/>
      <c r="G72" s="591"/>
      <c r="H72" s="591"/>
      <c r="I72" s="591"/>
      <c r="J72" s="591"/>
      <c r="K72" s="591"/>
      <c r="L72" s="591"/>
      <c r="M72" s="591"/>
      <c r="N72" s="592"/>
      <c r="O72" s="592"/>
      <c r="P72" s="591"/>
    </row>
    <row r="73" spans="2:16">
      <c r="B73" s="591"/>
      <c r="C73" s="591"/>
      <c r="D73" s="591"/>
      <c r="E73" s="591"/>
      <c r="F73" s="591"/>
      <c r="G73" s="591"/>
      <c r="H73" s="591"/>
      <c r="I73" s="591"/>
      <c r="J73" s="591"/>
      <c r="K73" s="591"/>
      <c r="L73" s="591"/>
      <c r="M73" s="591"/>
      <c r="N73" s="592"/>
      <c r="O73" s="592"/>
      <c r="P73" s="591"/>
    </row>
    <row r="74" spans="2:16">
      <c r="B74" s="591"/>
      <c r="C74" s="591"/>
      <c r="D74" s="591"/>
      <c r="E74" s="591"/>
      <c r="F74" s="591"/>
      <c r="G74" s="591"/>
      <c r="H74" s="591"/>
      <c r="I74" s="591"/>
      <c r="J74" s="591"/>
      <c r="K74" s="591"/>
      <c r="L74" s="591"/>
      <c r="M74" s="591"/>
      <c r="N74" s="592"/>
      <c r="O74" s="592"/>
      <c r="P74" s="591"/>
    </row>
    <row r="75" spans="2:16">
      <c r="B75" s="591"/>
      <c r="C75" s="591"/>
      <c r="D75" s="591"/>
      <c r="E75" s="591"/>
      <c r="F75" s="591"/>
      <c r="G75" s="591"/>
      <c r="H75" s="591"/>
      <c r="I75" s="591"/>
      <c r="J75" s="591"/>
      <c r="K75" s="591"/>
      <c r="L75" s="591"/>
      <c r="M75" s="591"/>
      <c r="N75" s="592"/>
      <c r="O75" s="592"/>
      <c r="P75" s="591"/>
    </row>
    <row r="76" spans="2:16">
      <c r="B76" s="591"/>
      <c r="C76" s="591"/>
      <c r="D76" s="591"/>
      <c r="E76" s="591"/>
      <c r="F76" s="591"/>
      <c r="G76" s="591"/>
      <c r="H76" s="591"/>
      <c r="I76" s="591"/>
      <c r="J76" s="591"/>
      <c r="K76" s="591"/>
      <c r="L76" s="591"/>
      <c r="M76" s="591"/>
      <c r="N76" s="592"/>
      <c r="O76" s="592"/>
      <c r="P76" s="591"/>
    </row>
    <row r="77" spans="2:16">
      <c r="B77" s="591"/>
      <c r="C77" s="591"/>
      <c r="D77" s="591"/>
      <c r="E77" s="591"/>
      <c r="F77" s="591"/>
      <c r="G77" s="591"/>
      <c r="H77" s="591"/>
      <c r="I77" s="591"/>
      <c r="J77" s="591"/>
      <c r="K77" s="591"/>
      <c r="L77" s="591"/>
      <c r="M77" s="591"/>
      <c r="N77" s="592"/>
      <c r="O77" s="592"/>
      <c r="P77" s="591"/>
    </row>
    <row r="78" spans="2:16">
      <c r="B78" s="591"/>
      <c r="C78" s="591"/>
      <c r="D78" s="591"/>
      <c r="E78" s="591"/>
      <c r="F78" s="591"/>
      <c r="G78" s="591"/>
      <c r="H78" s="591"/>
      <c r="I78" s="591"/>
      <c r="J78" s="591"/>
      <c r="K78" s="591"/>
      <c r="L78" s="591"/>
      <c r="M78" s="591"/>
      <c r="N78" s="592"/>
      <c r="O78" s="592"/>
      <c r="P78" s="591"/>
    </row>
    <row r="79" spans="2:16">
      <c r="B79" s="591"/>
      <c r="C79" s="591"/>
      <c r="D79" s="591"/>
      <c r="E79" s="591"/>
      <c r="F79" s="591"/>
      <c r="G79" s="591"/>
      <c r="H79" s="591"/>
      <c r="I79" s="591"/>
      <c r="J79" s="591"/>
      <c r="K79" s="591"/>
      <c r="L79" s="591"/>
      <c r="M79" s="591"/>
      <c r="N79" s="592"/>
      <c r="O79" s="592"/>
      <c r="P79" s="591"/>
    </row>
    <row r="80" spans="2:16">
      <c r="B80" s="591"/>
      <c r="C80" s="591"/>
      <c r="D80" s="591"/>
      <c r="E80" s="591"/>
      <c r="F80" s="591"/>
      <c r="G80" s="591"/>
      <c r="H80" s="591"/>
      <c r="I80" s="591"/>
      <c r="J80" s="591"/>
      <c r="K80" s="591"/>
      <c r="L80" s="591"/>
      <c r="M80" s="591"/>
      <c r="N80" s="592"/>
      <c r="O80" s="592"/>
      <c r="P80" s="591"/>
    </row>
    <row r="81" spans="2:16">
      <c r="B81" s="591"/>
      <c r="C81" s="591"/>
      <c r="D81" s="591"/>
      <c r="E81" s="591"/>
      <c r="F81" s="591"/>
      <c r="G81" s="591"/>
      <c r="H81" s="591"/>
      <c r="I81" s="591"/>
      <c r="J81" s="591"/>
      <c r="K81" s="591"/>
      <c r="L81" s="591"/>
      <c r="M81" s="591"/>
      <c r="N81" s="592"/>
      <c r="O81" s="592"/>
      <c r="P81" s="591"/>
    </row>
    <row r="82" spans="2:16">
      <c r="B82" s="591"/>
      <c r="C82" s="591"/>
      <c r="D82" s="591"/>
      <c r="E82" s="591"/>
      <c r="F82" s="591"/>
      <c r="G82" s="591"/>
      <c r="H82" s="591"/>
      <c r="I82" s="591"/>
      <c r="J82" s="591"/>
      <c r="K82" s="591"/>
      <c r="L82" s="591"/>
      <c r="M82" s="591"/>
      <c r="N82" s="592"/>
      <c r="O82" s="592"/>
      <c r="P82" s="591"/>
    </row>
    <row r="83" spans="2:16">
      <c r="B83" s="591"/>
      <c r="C83" s="591"/>
      <c r="D83" s="591"/>
      <c r="E83" s="591"/>
      <c r="F83" s="591"/>
      <c r="G83" s="591"/>
      <c r="H83" s="591"/>
      <c r="I83" s="591"/>
      <c r="J83" s="591"/>
      <c r="K83" s="591"/>
      <c r="L83" s="591"/>
      <c r="M83" s="591"/>
      <c r="N83" s="592"/>
      <c r="O83" s="592"/>
      <c r="P83" s="591"/>
    </row>
    <row r="84" spans="2:16">
      <c r="B84" s="591"/>
      <c r="C84" s="591"/>
      <c r="D84" s="591"/>
      <c r="E84" s="591"/>
      <c r="F84" s="591"/>
      <c r="G84" s="591"/>
      <c r="H84" s="591"/>
      <c r="I84" s="591"/>
      <c r="J84" s="591"/>
      <c r="K84" s="591"/>
      <c r="L84" s="591"/>
      <c r="M84" s="591"/>
      <c r="N84" s="592"/>
      <c r="O84" s="592"/>
      <c r="P84" s="591"/>
    </row>
    <row r="85" spans="2:16">
      <c r="B85" s="591"/>
      <c r="C85" s="591"/>
      <c r="D85" s="591"/>
      <c r="E85" s="591"/>
      <c r="F85" s="591"/>
      <c r="G85" s="591"/>
      <c r="H85" s="591"/>
      <c r="I85" s="591"/>
      <c r="J85" s="591"/>
      <c r="K85" s="591"/>
      <c r="L85" s="591"/>
      <c r="M85" s="591"/>
      <c r="N85" s="592"/>
      <c r="O85" s="592"/>
      <c r="P85" s="591"/>
    </row>
    <row r="86" spans="2:16">
      <c r="B86" s="591"/>
      <c r="C86" s="591"/>
      <c r="D86" s="591"/>
      <c r="E86" s="591"/>
      <c r="F86" s="591"/>
      <c r="G86" s="591"/>
      <c r="H86" s="591"/>
      <c r="I86" s="591"/>
      <c r="J86" s="591"/>
      <c r="K86" s="591"/>
      <c r="L86" s="591"/>
      <c r="M86" s="591"/>
      <c r="N86" s="592"/>
      <c r="O86" s="592"/>
      <c r="P86" s="591"/>
    </row>
    <row r="87" spans="2:16">
      <c r="B87" s="591"/>
      <c r="C87" s="591"/>
      <c r="D87" s="591"/>
      <c r="E87" s="591"/>
      <c r="F87" s="591"/>
      <c r="G87" s="591"/>
      <c r="H87" s="591"/>
      <c r="I87" s="591"/>
      <c r="J87" s="591"/>
      <c r="K87" s="591"/>
      <c r="L87" s="591"/>
      <c r="M87" s="591"/>
      <c r="N87" s="592"/>
      <c r="O87" s="592"/>
      <c r="P87" s="591"/>
    </row>
    <row r="88" spans="2:16">
      <c r="B88" s="591"/>
      <c r="C88" s="591"/>
      <c r="D88" s="591"/>
      <c r="E88" s="591"/>
      <c r="F88" s="591"/>
      <c r="G88" s="591"/>
      <c r="H88" s="591"/>
      <c r="I88" s="591"/>
      <c r="J88" s="591"/>
      <c r="K88" s="591"/>
      <c r="L88" s="591"/>
      <c r="M88" s="591"/>
      <c r="N88" s="592"/>
      <c r="O88" s="592"/>
      <c r="P88" s="591"/>
    </row>
    <row r="89" spans="2:16">
      <c r="B89" s="591"/>
      <c r="C89" s="591"/>
      <c r="D89" s="591"/>
      <c r="E89" s="591"/>
      <c r="F89" s="591"/>
      <c r="G89" s="591"/>
      <c r="H89" s="591"/>
      <c r="I89" s="591"/>
      <c r="J89" s="591"/>
      <c r="K89" s="591"/>
      <c r="L89" s="591"/>
      <c r="M89" s="591"/>
      <c r="N89" s="592"/>
      <c r="O89" s="592"/>
      <c r="P89" s="591"/>
    </row>
    <row r="90" spans="2:16">
      <c r="B90" s="591"/>
      <c r="C90" s="591"/>
      <c r="D90" s="591"/>
      <c r="E90" s="591"/>
      <c r="F90" s="591"/>
      <c r="G90" s="591"/>
      <c r="H90" s="591"/>
      <c r="I90" s="591"/>
      <c r="J90" s="591"/>
      <c r="K90" s="591"/>
      <c r="L90" s="591"/>
      <c r="M90" s="591"/>
      <c r="N90" s="592"/>
      <c r="O90" s="592"/>
      <c r="P90" s="591"/>
    </row>
    <row r="91" spans="2:16">
      <c r="B91" s="591"/>
      <c r="C91" s="591"/>
      <c r="D91" s="591"/>
      <c r="E91" s="591"/>
      <c r="F91" s="591"/>
      <c r="G91" s="591"/>
      <c r="H91" s="591"/>
      <c r="I91" s="591"/>
      <c r="J91" s="591"/>
      <c r="K91" s="591"/>
      <c r="L91" s="591"/>
      <c r="M91" s="591"/>
      <c r="N91" s="592"/>
      <c r="O91" s="592"/>
      <c r="P91" s="591"/>
    </row>
    <row r="92" spans="2:16">
      <c r="B92" s="591"/>
      <c r="C92" s="591"/>
      <c r="D92" s="591"/>
      <c r="E92" s="591"/>
      <c r="F92" s="591"/>
      <c r="G92" s="591"/>
      <c r="H92" s="591"/>
      <c r="I92" s="591"/>
      <c r="J92" s="591"/>
      <c r="K92" s="591"/>
      <c r="L92" s="591"/>
      <c r="M92" s="591"/>
      <c r="N92" s="592"/>
      <c r="O92" s="592"/>
      <c r="P92" s="591"/>
    </row>
    <row r="93" spans="2:16">
      <c r="B93" s="591"/>
      <c r="C93" s="591"/>
      <c r="D93" s="591"/>
      <c r="E93" s="591"/>
      <c r="F93" s="591"/>
      <c r="G93" s="591"/>
      <c r="H93" s="591"/>
      <c r="I93" s="591"/>
      <c r="J93" s="591"/>
      <c r="K93" s="591"/>
      <c r="L93" s="591"/>
      <c r="M93" s="591"/>
      <c r="N93" s="592"/>
      <c r="O93" s="592"/>
      <c r="P93" s="591"/>
    </row>
    <row r="94" spans="2:16">
      <c r="B94" s="591"/>
      <c r="C94" s="591"/>
      <c r="D94" s="591"/>
      <c r="E94" s="591"/>
      <c r="F94" s="591"/>
      <c r="G94" s="591"/>
      <c r="H94" s="591"/>
      <c r="I94" s="591"/>
      <c r="J94" s="591"/>
      <c r="K94" s="591"/>
      <c r="L94" s="591"/>
      <c r="M94" s="591"/>
      <c r="N94" s="592"/>
      <c r="O94" s="592"/>
      <c r="P94" s="591"/>
    </row>
    <row r="95" spans="2:16">
      <c r="B95" s="591"/>
      <c r="C95" s="591"/>
      <c r="D95" s="591"/>
      <c r="E95" s="591"/>
      <c r="F95" s="591"/>
      <c r="G95" s="591"/>
      <c r="H95" s="591"/>
      <c r="I95" s="591"/>
      <c r="J95" s="591"/>
      <c r="K95" s="591"/>
      <c r="L95" s="591"/>
      <c r="M95" s="591"/>
      <c r="N95" s="592"/>
      <c r="O95" s="592"/>
      <c r="P95" s="591"/>
    </row>
    <row r="96" spans="2:16">
      <c r="B96" s="591"/>
      <c r="C96" s="591"/>
      <c r="D96" s="591"/>
      <c r="E96" s="591"/>
      <c r="F96" s="591"/>
      <c r="G96" s="591"/>
      <c r="H96" s="591"/>
      <c r="I96" s="591"/>
      <c r="J96" s="591"/>
      <c r="K96" s="591"/>
      <c r="L96" s="591"/>
      <c r="M96" s="591"/>
      <c r="N96" s="592"/>
      <c r="O96" s="592"/>
      <c r="P96" s="591"/>
    </row>
    <row r="97" spans="2:16">
      <c r="B97" s="591"/>
      <c r="C97" s="591"/>
      <c r="D97" s="591"/>
      <c r="E97" s="591"/>
      <c r="F97" s="591"/>
      <c r="G97" s="591"/>
      <c r="H97" s="591"/>
      <c r="I97" s="591"/>
      <c r="J97" s="591"/>
      <c r="K97" s="591"/>
      <c r="L97" s="591"/>
      <c r="M97" s="591"/>
      <c r="N97" s="592"/>
      <c r="O97" s="592"/>
      <c r="P97" s="591"/>
    </row>
    <row r="98" spans="2:16">
      <c r="B98" s="591"/>
      <c r="C98" s="591"/>
      <c r="D98" s="591"/>
      <c r="E98" s="591"/>
      <c r="F98" s="591"/>
      <c r="G98" s="591"/>
      <c r="H98" s="591"/>
      <c r="I98" s="591"/>
      <c r="J98" s="591"/>
      <c r="K98" s="591"/>
      <c r="L98" s="591"/>
      <c r="M98" s="591"/>
      <c r="N98" s="592"/>
      <c r="O98" s="592"/>
      <c r="P98" s="591"/>
    </row>
    <row r="99" spans="2:16">
      <c r="B99" s="591"/>
      <c r="C99" s="591"/>
      <c r="D99" s="591"/>
      <c r="E99" s="591"/>
      <c r="F99" s="591"/>
      <c r="G99" s="591"/>
      <c r="H99" s="591"/>
      <c r="I99" s="591"/>
      <c r="J99" s="591"/>
      <c r="K99" s="591"/>
      <c r="L99" s="591"/>
      <c r="M99" s="591"/>
      <c r="N99" s="592"/>
      <c r="O99" s="592"/>
      <c r="P99" s="591"/>
    </row>
    <row r="100" spans="2:16">
      <c r="B100" s="591"/>
      <c r="C100" s="591"/>
      <c r="D100" s="591"/>
      <c r="E100" s="591"/>
      <c r="F100" s="591"/>
      <c r="G100" s="591"/>
      <c r="H100" s="591"/>
      <c r="I100" s="591"/>
      <c r="J100" s="591"/>
      <c r="K100" s="591"/>
      <c r="L100" s="591"/>
      <c r="M100" s="591"/>
      <c r="N100" s="592"/>
      <c r="O100" s="592"/>
      <c r="P100" s="591"/>
    </row>
    <row r="101" spans="2:16">
      <c r="B101" s="591"/>
      <c r="C101" s="591"/>
      <c r="D101" s="591"/>
      <c r="E101" s="591"/>
      <c r="F101" s="591"/>
      <c r="G101" s="591"/>
      <c r="H101" s="591"/>
      <c r="I101" s="591"/>
      <c r="J101" s="591"/>
      <c r="K101" s="591"/>
      <c r="L101" s="591"/>
      <c r="M101" s="591"/>
      <c r="N101" s="592"/>
      <c r="O101" s="592"/>
      <c r="P101" s="591"/>
    </row>
    <row r="102" spans="2:16">
      <c r="B102" s="591"/>
      <c r="C102" s="591"/>
      <c r="D102" s="591"/>
      <c r="E102" s="591"/>
      <c r="F102" s="591"/>
      <c r="G102" s="591"/>
      <c r="H102" s="591"/>
      <c r="I102" s="591"/>
      <c r="J102" s="591"/>
      <c r="K102" s="591"/>
      <c r="L102" s="591"/>
      <c r="M102" s="591"/>
      <c r="N102" s="592"/>
      <c r="O102" s="592"/>
      <c r="P102" s="591"/>
    </row>
    <row r="103" spans="2:16">
      <c r="B103" s="591"/>
      <c r="C103" s="591"/>
      <c r="D103" s="591"/>
      <c r="E103" s="591"/>
      <c r="F103" s="591"/>
      <c r="G103" s="591"/>
      <c r="H103" s="591"/>
      <c r="I103" s="591"/>
      <c r="J103" s="591"/>
      <c r="K103" s="591"/>
      <c r="L103" s="591"/>
      <c r="M103" s="591"/>
      <c r="N103" s="592"/>
      <c r="O103" s="592"/>
      <c r="P103" s="591"/>
    </row>
    <row r="104" spans="2:16">
      <c r="B104" s="591"/>
      <c r="C104" s="591"/>
      <c r="D104" s="591"/>
      <c r="E104" s="591"/>
      <c r="F104" s="591"/>
      <c r="G104" s="591"/>
      <c r="H104" s="591"/>
      <c r="I104" s="591"/>
      <c r="J104" s="591"/>
      <c r="K104" s="591"/>
      <c r="L104" s="591"/>
      <c r="M104" s="591"/>
      <c r="N104" s="592"/>
      <c r="O104" s="592"/>
      <c r="P104" s="591"/>
    </row>
    <row r="105" spans="2:16">
      <c r="B105" s="591"/>
      <c r="C105" s="591"/>
      <c r="D105" s="591"/>
      <c r="E105" s="591"/>
      <c r="F105" s="591"/>
      <c r="G105" s="591"/>
      <c r="H105" s="591"/>
      <c r="I105" s="591"/>
      <c r="J105" s="591"/>
      <c r="K105" s="591"/>
      <c r="L105" s="591"/>
      <c r="M105" s="591"/>
      <c r="N105" s="592"/>
      <c r="O105" s="592"/>
      <c r="P105" s="591"/>
    </row>
    <row r="106" spans="2:16">
      <c r="B106" s="591"/>
      <c r="C106" s="591"/>
      <c r="D106" s="591"/>
      <c r="E106" s="591"/>
      <c r="F106" s="591"/>
      <c r="G106" s="591"/>
      <c r="H106" s="591"/>
      <c r="I106" s="591"/>
      <c r="J106" s="591"/>
      <c r="K106" s="591"/>
      <c r="L106" s="591"/>
      <c r="M106" s="591"/>
      <c r="N106" s="592"/>
      <c r="O106" s="592"/>
      <c r="P106" s="591"/>
    </row>
    <row r="107" spans="2:16">
      <c r="B107" s="591"/>
      <c r="C107" s="591"/>
      <c r="D107" s="591"/>
      <c r="E107" s="591"/>
      <c r="F107" s="591"/>
      <c r="G107" s="591"/>
      <c r="H107" s="591"/>
      <c r="I107" s="591"/>
      <c r="J107" s="591"/>
      <c r="K107" s="591"/>
      <c r="L107" s="591"/>
      <c r="M107" s="591"/>
      <c r="N107" s="592"/>
      <c r="O107" s="592"/>
      <c r="P107" s="591"/>
    </row>
    <row r="108" spans="2:16">
      <c r="B108" s="591"/>
      <c r="C108" s="591"/>
      <c r="D108" s="591"/>
      <c r="E108" s="591"/>
      <c r="F108" s="591"/>
      <c r="G108" s="591"/>
      <c r="H108" s="591"/>
      <c r="I108" s="591"/>
      <c r="J108" s="591"/>
      <c r="K108" s="591"/>
      <c r="L108" s="591"/>
      <c r="M108" s="591"/>
      <c r="N108" s="592"/>
      <c r="O108" s="592"/>
      <c r="P108" s="591"/>
    </row>
    <row r="109" spans="2:16">
      <c r="B109" s="591"/>
      <c r="C109" s="591"/>
      <c r="D109" s="591"/>
      <c r="E109" s="591"/>
      <c r="F109" s="591"/>
      <c r="G109" s="591"/>
      <c r="H109" s="591"/>
      <c r="I109" s="591"/>
      <c r="J109" s="591"/>
      <c r="K109" s="591"/>
      <c r="L109" s="591"/>
      <c r="M109" s="591"/>
      <c r="N109" s="592"/>
      <c r="O109" s="592"/>
      <c r="P109" s="591"/>
    </row>
    <row r="110" spans="2:16">
      <c r="B110" s="591"/>
      <c r="C110" s="591"/>
      <c r="D110" s="591"/>
      <c r="E110" s="591"/>
      <c r="F110" s="591"/>
      <c r="G110" s="591"/>
      <c r="H110" s="591"/>
      <c r="I110" s="591"/>
      <c r="J110" s="591"/>
      <c r="K110" s="591"/>
      <c r="L110" s="591"/>
      <c r="M110" s="591"/>
      <c r="N110" s="592"/>
      <c r="O110" s="592"/>
      <c r="P110" s="591"/>
    </row>
    <row r="111" spans="2:16">
      <c r="B111" s="591"/>
      <c r="C111" s="591"/>
      <c r="D111" s="591"/>
      <c r="E111" s="591"/>
      <c r="F111" s="591"/>
      <c r="G111" s="591"/>
      <c r="H111" s="591"/>
      <c r="I111" s="591"/>
      <c r="J111" s="591"/>
      <c r="K111" s="591"/>
      <c r="L111" s="591"/>
      <c r="M111" s="591"/>
      <c r="N111" s="592"/>
      <c r="O111" s="592"/>
      <c r="P111" s="591"/>
    </row>
    <row r="112" spans="2:16">
      <c r="B112" s="591"/>
      <c r="C112" s="591"/>
      <c r="D112" s="591"/>
      <c r="E112" s="591"/>
      <c r="F112" s="591"/>
      <c r="G112" s="591"/>
      <c r="H112" s="591"/>
      <c r="I112" s="591"/>
      <c r="J112" s="591"/>
      <c r="K112" s="591"/>
      <c r="L112" s="591"/>
      <c r="M112" s="591"/>
      <c r="N112" s="592"/>
      <c r="O112" s="592"/>
      <c r="P112" s="591"/>
    </row>
    <row r="113" spans="2:16">
      <c r="B113" s="591"/>
      <c r="C113" s="591"/>
      <c r="D113" s="591"/>
      <c r="E113" s="591"/>
      <c r="F113" s="591"/>
      <c r="G113" s="591"/>
      <c r="H113" s="591"/>
      <c r="I113" s="591"/>
      <c r="J113" s="591"/>
      <c r="K113" s="591"/>
      <c r="L113" s="591"/>
      <c r="M113" s="591"/>
      <c r="N113" s="592"/>
      <c r="O113" s="592"/>
      <c r="P113" s="591"/>
    </row>
    <row r="114" spans="2:16">
      <c r="B114" s="591"/>
      <c r="C114" s="591"/>
      <c r="D114" s="591"/>
      <c r="E114" s="591"/>
      <c r="F114" s="591"/>
      <c r="G114" s="591"/>
      <c r="H114" s="591"/>
      <c r="I114" s="591"/>
      <c r="J114" s="591"/>
      <c r="K114" s="591"/>
      <c r="L114" s="591"/>
      <c r="M114" s="591"/>
      <c r="N114" s="592"/>
      <c r="O114" s="592"/>
      <c r="P114" s="591"/>
    </row>
    <row r="115" spans="2:16">
      <c r="B115" s="591"/>
      <c r="C115" s="591"/>
      <c r="D115" s="591"/>
      <c r="E115" s="591"/>
      <c r="F115" s="591"/>
      <c r="G115" s="591"/>
      <c r="H115" s="591"/>
      <c r="I115" s="591"/>
      <c r="J115" s="591"/>
      <c r="K115" s="591"/>
      <c r="L115" s="591"/>
      <c r="M115" s="591"/>
      <c r="N115" s="592"/>
      <c r="O115" s="592"/>
      <c r="P115" s="591"/>
    </row>
    <row r="116" spans="2:16">
      <c r="B116" s="591"/>
      <c r="C116" s="591"/>
      <c r="D116" s="591"/>
      <c r="E116" s="591"/>
      <c r="F116" s="591"/>
      <c r="G116" s="591"/>
      <c r="H116" s="591"/>
      <c r="I116" s="591"/>
      <c r="J116" s="591"/>
      <c r="K116" s="591"/>
      <c r="L116" s="591"/>
      <c r="M116" s="591"/>
      <c r="N116" s="592"/>
      <c r="O116" s="592"/>
      <c r="P116" s="591"/>
    </row>
    <row r="117" spans="2:16">
      <c r="B117" s="591"/>
      <c r="C117" s="591"/>
      <c r="D117" s="591"/>
      <c r="E117" s="591"/>
      <c r="F117" s="591"/>
      <c r="G117" s="591"/>
      <c r="H117" s="591"/>
      <c r="I117" s="591"/>
      <c r="J117" s="591"/>
      <c r="K117" s="591"/>
      <c r="L117" s="591"/>
      <c r="M117" s="591"/>
      <c r="N117" s="592"/>
      <c r="O117" s="592"/>
      <c r="P117" s="591"/>
    </row>
    <row r="118" spans="2:16">
      <c r="B118" s="591"/>
      <c r="C118" s="591"/>
      <c r="D118" s="591"/>
      <c r="E118" s="591"/>
      <c r="F118" s="591"/>
      <c r="G118" s="591"/>
      <c r="H118" s="591"/>
      <c r="I118" s="591"/>
      <c r="J118" s="591"/>
      <c r="K118" s="591"/>
      <c r="L118" s="591"/>
      <c r="M118" s="591"/>
      <c r="N118" s="592"/>
      <c r="O118" s="592"/>
      <c r="P118" s="591"/>
    </row>
    <row r="119" spans="2:16">
      <c r="B119" s="591"/>
      <c r="C119" s="591"/>
      <c r="D119" s="591"/>
      <c r="E119" s="591"/>
      <c r="F119" s="591"/>
      <c r="G119" s="591"/>
      <c r="H119" s="591"/>
      <c r="I119" s="591"/>
      <c r="J119" s="591"/>
      <c r="K119" s="591"/>
      <c r="L119" s="591"/>
      <c r="M119" s="591"/>
      <c r="N119" s="592"/>
      <c r="O119" s="592"/>
      <c r="P119" s="591"/>
    </row>
    <row r="120" spans="2:16">
      <c r="B120" s="591"/>
      <c r="C120" s="591"/>
      <c r="D120" s="591"/>
      <c r="E120" s="591"/>
      <c r="F120" s="591"/>
      <c r="G120" s="591"/>
      <c r="H120" s="591"/>
      <c r="I120" s="591"/>
      <c r="J120" s="591"/>
      <c r="K120" s="591"/>
      <c r="L120" s="591"/>
      <c r="M120" s="591"/>
      <c r="N120" s="592"/>
      <c r="O120" s="592"/>
      <c r="P120" s="591"/>
    </row>
    <row r="121" spans="2:16">
      <c r="B121" s="591"/>
      <c r="C121" s="591"/>
      <c r="D121" s="591"/>
      <c r="E121" s="591"/>
      <c r="F121" s="591"/>
      <c r="G121" s="591"/>
      <c r="H121" s="591"/>
      <c r="I121" s="591"/>
      <c r="J121" s="591"/>
      <c r="K121" s="591"/>
      <c r="L121" s="591"/>
      <c r="M121" s="591"/>
      <c r="N121" s="592"/>
      <c r="O121" s="592"/>
      <c r="P121" s="591"/>
    </row>
    <row r="122" spans="2:16">
      <c r="B122" s="591"/>
      <c r="C122" s="591"/>
      <c r="D122" s="591"/>
      <c r="E122" s="591"/>
      <c r="F122" s="591"/>
      <c r="G122" s="591"/>
      <c r="H122" s="591"/>
      <c r="I122" s="591"/>
      <c r="J122" s="591"/>
      <c r="K122" s="591"/>
      <c r="L122" s="591"/>
      <c r="M122" s="591"/>
      <c r="N122" s="592"/>
      <c r="O122" s="592"/>
      <c r="P122" s="591"/>
    </row>
    <row r="123" spans="2:16">
      <c r="B123" s="591"/>
      <c r="C123" s="591"/>
      <c r="D123" s="591"/>
      <c r="E123" s="591"/>
      <c r="F123" s="591"/>
      <c r="G123" s="591"/>
      <c r="H123" s="591"/>
      <c r="I123" s="591"/>
      <c r="J123" s="591"/>
      <c r="K123" s="591"/>
      <c r="L123" s="591"/>
      <c r="M123" s="591"/>
      <c r="N123" s="592"/>
      <c r="O123" s="592"/>
      <c r="P123" s="591"/>
    </row>
    <row r="124" spans="2:16">
      <c r="B124" s="591"/>
      <c r="C124" s="591"/>
      <c r="D124" s="591"/>
      <c r="E124" s="591"/>
      <c r="F124" s="591"/>
      <c r="G124" s="591"/>
      <c r="H124" s="591"/>
      <c r="I124" s="591"/>
      <c r="J124" s="591"/>
      <c r="K124" s="591"/>
      <c r="L124" s="591"/>
      <c r="M124" s="591"/>
      <c r="N124" s="592"/>
      <c r="O124" s="592"/>
      <c r="P124" s="591"/>
    </row>
    <row r="125" spans="2:16">
      <c r="B125" s="591"/>
      <c r="C125" s="591"/>
      <c r="D125" s="591"/>
      <c r="E125" s="591"/>
      <c r="F125" s="591"/>
      <c r="G125" s="591"/>
      <c r="H125" s="591"/>
      <c r="I125" s="591"/>
      <c r="J125" s="591"/>
      <c r="K125" s="591"/>
      <c r="L125" s="591"/>
      <c r="M125" s="591"/>
      <c r="N125" s="592"/>
      <c r="O125" s="592"/>
      <c r="P125" s="591"/>
    </row>
    <row r="126" spans="2:16">
      <c r="B126" s="591"/>
      <c r="C126" s="591"/>
      <c r="D126" s="591"/>
      <c r="E126" s="591"/>
      <c r="F126" s="591"/>
      <c r="G126" s="591"/>
      <c r="H126" s="591"/>
      <c r="I126" s="591"/>
      <c r="J126" s="591"/>
      <c r="K126" s="591"/>
      <c r="L126" s="591"/>
      <c r="M126" s="591"/>
      <c r="N126" s="592"/>
      <c r="O126" s="592"/>
      <c r="P126" s="591"/>
    </row>
    <row r="127" spans="2:16">
      <c r="B127" s="591"/>
      <c r="C127" s="591"/>
      <c r="D127" s="591"/>
      <c r="E127" s="591"/>
      <c r="F127" s="591"/>
      <c r="G127" s="591"/>
      <c r="H127" s="591"/>
      <c r="I127" s="591"/>
      <c r="J127" s="591"/>
      <c r="K127" s="591"/>
      <c r="L127" s="591"/>
      <c r="M127" s="591"/>
      <c r="N127" s="592"/>
      <c r="O127" s="592"/>
      <c r="P127" s="591"/>
    </row>
    <row r="128" spans="2:16">
      <c r="B128" s="591"/>
      <c r="C128" s="591"/>
      <c r="D128" s="591"/>
      <c r="E128" s="591"/>
      <c r="F128" s="591"/>
      <c r="G128" s="591"/>
      <c r="H128" s="591"/>
      <c r="I128" s="591"/>
      <c r="J128" s="591"/>
      <c r="K128" s="591"/>
      <c r="L128" s="591"/>
      <c r="M128" s="591"/>
      <c r="N128" s="592"/>
      <c r="O128" s="592"/>
      <c r="P128" s="591"/>
    </row>
    <row r="129" spans="2:16">
      <c r="B129" s="591"/>
      <c r="C129" s="591"/>
      <c r="D129" s="591"/>
      <c r="E129" s="591"/>
      <c r="F129" s="591"/>
      <c r="G129" s="591"/>
      <c r="H129" s="591"/>
      <c r="I129" s="591"/>
      <c r="J129" s="591"/>
      <c r="K129" s="591"/>
      <c r="L129" s="591"/>
      <c r="M129" s="591"/>
      <c r="N129" s="592"/>
      <c r="O129" s="592"/>
      <c r="P129" s="591"/>
    </row>
    <row r="130" spans="2:16">
      <c r="B130" s="591"/>
      <c r="C130" s="591"/>
      <c r="D130" s="591"/>
      <c r="E130" s="591"/>
      <c r="F130" s="591"/>
      <c r="G130" s="591"/>
      <c r="H130" s="591"/>
      <c r="I130" s="591"/>
      <c r="J130" s="591"/>
      <c r="K130" s="591"/>
      <c r="L130" s="591"/>
      <c r="M130" s="591"/>
      <c r="N130" s="592"/>
      <c r="O130" s="592"/>
      <c r="P130" s="591"/>
    </row>
    <row r="131" spans="2:16">
      <c r="B131" s="591"/>
      <c r="C131" s="591"/>
      <c r="D131" s="591"/>
      <c r="E131" s="591"/>
      <c r="F131" s="591"/>
      <c r="G131" s="591"/>
      <c r="H131" s="591"/>
      <c r="I131" s="591"/>
      <c r="J131" s="591"/>
      <c r="K131" s="591"/>
      <c r="L131" s="591"/>
      <c r="M131" s="591"/>
      <c r="N131" s="592"/>
      <c r="O131" s="592"/>
      <c r="P131" s="591"/>
    </row>
    <row r="132" spans="2:16">
      <c r="B132" s="591"/>
      <c r="C132" s="591"/>
      <c r="D132" s="591"/>
      <c r="E132" s="591"/>
      <c r="F132" s="591"/>
      <c r="G132" s="591"/>
      <c r="H132" s="591"/>
      <c r="I132" s="591"/>
      <c r="J132" s="591"/>
      <c r="K132" s="591"/>
      <c r="L132" s="591"/>
      <c r="M132" s="591"/>
      <c r="N132" s="592"/>
      <c r="O132" s="592"/>
      <c r="P132" s="591"/>
    </row>
    <row r="133" spans="2:16">
      <c r="B133" s="591"/>
      <c r="C133" s="591"/>
      <c r="D133" s="591"/>
      <c r="E133" s="591"/>
      <c r="F133" s="591"/>
      <c r="G133" s="591"/>
      <c r="H133" s="591"/>
      <c r="I133" s="591"/>
      <c r="J133" s="591"/>
      <c r="K133" s="591"/>
      <c r="L133" s="591"/>
      <c r="M133" s="591"/>
      <c r="N133" s="592"/>
      <c r="O133" s="592"/>
      <c r="P133" s="591"/>
    </row>
    <row r="134" spans="2:16">
      <c r="B134" s="591"/>
      <c r="C134" s="591"/>
      <c r="D134" s="591"/>
      <c r="E134" s="591"/>
      <c r="F134" s="591"/>
      <c r="G134" s="591"/>
      <c r="H134" s="591"/>
      <c r="I134" s="591"/>
      <c r="J134" s="591"/>
      <c r="K134" s="591"/>
      <c r="L134" s="591"/>
      <c r="M134" s="591"/>
      <c r="N134" s="592"/>
      <c r="O134" s="592"/>
      <c r="P134" s="591"/>
    </row>
    <row r="135" spans="2:16">
      <c r="B135" s="591"/>
      <c r="C135" s="591"/>
      <c r="D135" s="591"/>
      <c r="E135" s="591"/>
      <c r="F135" s="591"/>
      <c r="G135" s="591"/>
      <c r="H135" s="591"/>
      <c r="I135" s="591"/>
      <c r="J135" s="591"/>
      <c r="K135" s="591"/>
      <c r="L135" s="591"/>
      <c r="M135" s="591"/>
      <c r="N135" s="592"/>
      <c r="O135" s="592"/>
      <c r="P135" s="591"/>
    </row>
    <row r="136" spans="2:16">
      <c r="B136" s="591"/>
      <c r="C136" s="591"/>
      <c r="D136" s="591"/>
      <c r="E136" s="591"/>
      <c r="F136" s="591"/>
      <c r="G136" s="591"/>
      <c r="H136" s="591"/>
      <c r="I136" s="591"/>
      <c r="J136" s="591"/>
      <c r="K136" s="591"/>
      <c r="L136" s="591"/>
      <c r="M136" s="591"/>
      <c r="N136" s="592"/>
      <c r="O136" s="592"/>
      <c r="P136" s="591"/>
    </row>
    <row r="137" spans="2:16">
      <c r="B137" s="591"/>
      <c r="C137" s="591"/>
      <c r="D137" s="591"/>
      <c r="E137" s="591"/>
      <c r="F137" s="591"/>
      <c r="G137" s="591"/>
      <c r="H137" s="591"/>
      <c r="I137" s="591"/>
      <c r="J137" s="591"/>
      <c r="K137" s="591"/>
      <c r="L137" s="591"/>
      <c r="M137" s="591"/>
      <c r="N137" s="592"/>
      <c r="O137" s="592"/>
      <c r="P137" s="591"/>
    </row>
    <row r="138" spans="2:16">
      <c r="B138" s="591"/>
      <c r="C138" s="591"/>
      <c r="D138" s="591"/>
      <c r="E138" s="591"/>
      <c r="F138" s="591"/>
      <c r="G138" s="591"/>
      <c r="H138" s="591"/>
      <c r="I138" s="591"/>
      <c r="J138" s="591"/>
      <c r="K138" s="591"/>
      <c r="L138" s="591"/>
      <c r="M138" s="591"/>
      <c r="N138" s="592"/>
      <c r="O138" s="592"/>
      <c r="P138" s="591"/>
    </row>
    <row r="139" spans="2:16">
      <c r="B139" s="591"/>
      <c r="C139" s="591"/>
      <c r="D139" s="591"/>
      <c r="E139" s="591"/>
      <c r="F139" s="591"/>
      <c r="G139" s="591"/>
      <c r="H139" s="591"/>
      <c r="I139" s="591"/>
      <c r="J139" s="591"/>
      <c r="K139" s="591"/>
      <c r="L139" s="591"/>
      <c r="M139" s="591"/>
      <c r="N139" s="592"/>
      <c r="O139" s="592"/>
      <c r="P139" s="591"/>
    </row>
    <row r="140" spans="2:16">
      <c r="B140" s="591"/>
      <c r="C140" s="591"/>
      <c r="D140" s="591"/>
      <c r="E140" s="591"/>
      <c r="F140" s="591"/>
      <c r="G140" s="591"/>
      <c r="H140" s="591"/>
      <c r="I140" s="591"/>
      <c r="J140" s="591"/>
      <c r="K140" s="591"/>
      <c r="L140" s="591"/>
      <c r="M140" s="591"/>
      <c r="N140" s="592"/>
      <c r="O140" s="592"/>
      <c r="P140" s="591"/>
    </row>
    <row r="141" spans="2:16">
      <c r="B141" s="591"/>
      <c r="C141" s="591"/>
      <c r="D141" s="591"/>
      <c r="E141" s="591"/>
      <c r="F141" s="591"/>
      <c r="G141" s="591"/>
      <c r="H141" s="591"/>
      <c r="I141" s="591"/>
      <c r="J141" s="591"/>
      <c r="K141" s="591"/>
      <c r="L141" s="591"/>
      <c r="M141" s="591"/>
      <c r="N141" s="592"/>
      <c r="O141" s="592"/>
      <c r="P141" s="591"/>
    </row>
    <row r="142" spans="2:16">
      <c r="B142" s="591"/>
      <c r="C142" s="591"/>
      <c r="D142" s="591"/>
      <c r="E142" s="591"/>
      <c r="F142" s="591"/>
      <c r="G142" s="591"/>
      <c r="H142" s="591"/>
      <c r="I142" s="591"/>
      <c r="J142" s="591"/>
      <c r="K142" s="591"/>
      <c r="L142" s="591"/>
      <c r="M142" s="591"/>
      <c r="N142" s="592"/>
      <c r="O142" s="592"/>
      <c r="P142" s="591"/>
    </row>
    <row r="143" spans="2:16">
      <c r="B143" s="591"/>
      <c r="C143" s="591"/>
      <c r="D143" s="591"/>
      <c r="E143" s="591"/>
      <c r="F143" s="591"/>
      <c r="G143" s="591"/>
      <c r="H143" s="591"/>
      <c r="I143" s="591"/>
      <c r="J143" s="591"/>
      <c r="K143" s="591"/>
      <c r="L143" s="591"/>
      <c r="M143" s="591"/>
      <c r="N143" s="592"/>
      <c r="O143" s="592"/>
      <c r="P143" s="591"/>
    </row>
    <row r="144" spans="2:16">
      <c r="B144" s="591"/>
      <c r="C144" s="591"/>
      <c r="D144" s="591"/>
      <c r="E144" s="591"/>
      <c r="F144" s="591"/>
      <c r="G144" s="591"/>
      <c r="H144" s="591"/>
      <c r="I144" s="591"/>
      <c r="J144" s="591"/>
      <c r="K144" s="591"/>
      <c r="L144" s="591"/>
      <c r="M144" s="591"/>
      <c r="N144" s="592"/>
      <c r="O144" s="592"/>
      <c r="P144" s="591"/>
    </row>
    <row r="145" spans="2:16">
      <c r="B145" s="591"/>
      <c r="C145" s="591"/>
      <c r="D145" s="591"/>
      <c r="E145" s="591"/>
      <c r="F145" s="591"/>
      <c r="G145" s="591"/>
      <c r="H145" s="591"/>
      <c r="I145" s="591"/>
      <c r="J145" s="591"/>
      <c r="K145" s="591"/>
      <c r="L145" s="591"/>
      <c r="M145" s="591"/>
      <c r="N145" s="592"/>
      <c r="O145" s="592"/>
      <c r="P145" s="591"/>
    </row>
    <row r="146" spans="2:16">
      <c r="B146" s="591"/>
      <c r="C146" s="591"/>
      <c r="D146" s="591"/>
      <c r="E146" s="591"/>
      <c r="F146" s="591"/>
      <c r="G146" s="591"/>
      <c r="H146" s="591"/>
      <c r="I146" s="591"/>
      <c r="J146" s="591"/>
      <c r="K146" s="591"/>
      <c r="L146" s="591"/>
      <c r="M146" s="591"/>
      <c r="N146" s="592"/>
      <c r="O146" s="592"/>
      <c r="P146" s="591"/>
    </row>
    <row r="147" spans="2:16">
      <c r="B147" s="591"/>
      <c r="C147" s="591"/>
      <c r="D147" s="591"/>
      <c r="E147" s="591"/>
      <c r="F147" s="591"/>
      <c r="G147" s="591"/>
      <c r="H147" s="591"/>
      <c r="I147" s="591"/>
      <c r="J147" s="591"/>
      <c r="K147" s="591"/>
      <c r="L147" s="591"/>
      <c r="M147" s="591"/>
      <c r="N147" s="592"/>
      <c r="O147" s="592"/>
      <c r="P147" s="591"/>
    </row>
    <row r="148" spans="2:16">
      <c r="B148" s="591"/>
      <c r="C148" s="591"/>
      <c r="D148" s="591"/>
      <c r="E148" s="591"/>
      <c r="F148" s="591"/>
      <c r="G148" s="591"/>
      <c r="H148" s="591"/>
      <c r="I148" s="591"/>
      <c r="J148" s="591"/>
      <c r="K148" s="591"/>
      <c r="L148" s="591"/>
      <c r="M148" s="591"/>
      <c r="N148" s="592"/>
      <c r="O148" s="592"/>
      <c r="P148" s="591"/>
    </row>
    <row r="149" spans="2:16">
      <c r="B149" s="591"/>
      <c r="C149" s="591"/>
      <c r="D149" s="591"/>
      <c r="E149" s="591"/>
      <c r="F149" s="591"/>
      <c r="G149" s="591"/>
      <c r="H149" s="591"/>
      <c r="I149" s="591"/>
      <c r="J149" s="591"/>
      <c r="K149" s="591"/>
      <c r="L149" s="591"/>
      <c r="M149" s="591"/>
      <c r="N149" s="592"/>
      <c r="O149" s="592"/>
      <c r="P149" s="591"/>
    </row>
    <row r="150" spans="2:16">
      <c r="B150" s="591"/>
      <c r="C150" s="591"/>
      <c r="D150" s="591"/>
      <c r="E150" s="591"/>
      <c r="F150" s="591"/>
      <c r="G150" s="591"/>
      <c r="H150" s="591"/>
      <c r="I150" s="591"/>
      <c r="J150" s="591"/>
      <c r="K150" s="591"/>
      <c r="L150" s="591"/>
      <c r="M150" s="591"/>
      <c r="N150" s="592"/>
      <c r="O150" s="592"/>
      <c r="P150" s="591"/>
    </row>
    <row r="151" spans="2:16">
      <c r="B151" s="591"/>
      <c r="C151" s="591"/>
      <c r="D151" s="591"/>
      <c r="E151" s="591"/>
      <c r="F151" s="591"/>
      <c r="G151" s="591"/>
      <c r="H151" s="591"/>
      <c r="I151" s="591"/>
      <c r="J151" s="591"/>
      <c r="K151" s="591"/>
      <c r="L151" s="591"/>
      <c r="M151" s="591"/>
      <c r="N151" s="592"/>
      <c r="O151" s="592"/>
      <c r="P151" s="591"/>
    </row>
    <row r="152" spans="2:16">
      <c r="B152" s="591"/>
      <c r="C152" s="591"/>
      <c r="D152" s="591"/>
      <c r="E152" s="591"/>
      <c r="F152" s="591"/>
      <c r="G152" s="591"/>
      <c r="H152" s="591"/>
      <c r="I152" s="591"/>
      <c r="J152" s="591"/>
      <c r="K152" s="591"/>
      <c r="L152" s="591"/>
      <c r="M152" s="591"/>
      <c r="N152" s="592"/>
      <c r="O152" s="592"/>
      <c r="P152" s="591"/>
    </row>
    <row r="153" spans="2:16">
      <c r="B153" s="591"/>
      <c r="C153" s="591"/>
      <c r="D153" s="591"/>
      <c r="E153" s="591"/>
      <c r="F153" s="591"/>
      <c r="G153" s="591"/>
      <c r="H153" s="591"/>
      <c r="I153" s="591"/>
      <c r="J153" s="591"/>
      <c r="K153" s="591"/>
      <c r="L153" s="591"/>
      <c r="M153" s="591"/>
      <c r="N153" s="592"/>
      <c r="O153" s="592"/>
      <c r="P153" s="591"/>
    </row>
    <row r="154" spans="2:16">
      <c r="B154" s="591"/>
      <c r="C154" s="591"/>
      <c r="D154" s="591"/>
      <c r="E154" s="591"/>
      <c r="F154" s="591"/>
      <c r="G154" s="591"/>
      <c r="H154" s="591"/>
      <c r="I154" s="591"/>
      <c r="J154" s="591"/>
      <c r="K154" s="591"/>
      <c r="L154" s="591"/>
      <c r="M154" s="591"/>
      <c r="N154" s="592"/>
      <c r="O154" s="592"/>
      <c r="P154" s="591"/>
    </row>
    <row r="155" spans="2:16">
      <c r="B155" s="591"/>
      <c r="C155" s="591"/>
      <c r="D155" s="591"/>
      <c r="E155" s="591"/>
      <c r="F155" s="591"/>
      <c r="G155" s="591"/>
      <c r="H155" s="591"/>
      <c r="I155" s="591"/>
      <c r="J155" s="591"/>
      <c r="K155" s="591"/>
      <c r="L155" s="591"/>
      <c r="M155" s="591"/>
      <c r="N155" s="592"/>
      <c r="O155" s="592"/>
      <c r="P155" s="591"/>
    </row>
    <row r="156" spans="2:16">
      <c r="B156" s="591"/>
      <c r="C156" s="591"/>
      <c r="D156" s="591"/>
      <c r="E156" s="591"/>
      <c r="F156" s="591"/>
      <c r="G156" s="591"/>
      <c r="H156" s="591"/>
      <c r="I156" s="591"/>
      <c r="J156" s="591"/>
      <c r="K156" s="591"/>
      <c r="L156" s="591"/>
      <c r="M156" s="591"/>
      <c r="N156" s="592"/>
      <c r="O156" s="592"/>
      <c r="P156" s="591"/>
    </row>
    <row r="157" spans="2:16">
      <c r="B157" s="591"/>
      <c r="C157" s="591"/>
      <c r="D157" s="591"/>
      <c r="E157" s="591"/>
      <c r="F157" s="591"/>
      <c r="G157" s="591"/>
      <c r="H157" s="591"/>
      <c r="I157" s="591"/>
      <c r="J157" s="591"/>
      <c r="K157" s="591"/>
      <c r="L157" s="591"/>
      <c r="M157" s="591"/>
      <c r="N157" s="592"/>
      <c r="O157" s="592"/>
      <c r="P157" s="591"/>
    </row>
    <row r="158" spans="2:16">
      <c r="B158" s="591"/>
      <c r="C158" s="591"/>
      <c r="D158" s="591"/>
      <c r="E158" s="591"/>
      <c r="F158" s="591"/>
      <c r="G158" s="591"/>
      <c r="H158" s="591"/>
      <c r="I158" s="591"/>
      <c r="J158" s="591"/>
      <c r="K158" s="591"/>
      <c r="L158" s="591"/>
      <c r="M158" s="591"/>
      <c r="N158" s="592"/>
      <c r="O158" s="592"/>
      <c r="P158" s="591"/>
    </row>
    <row r="159" spans="2:16">
      <c r="B159" s="591"/>
      <c r="C159" s="591"/>
      <c r="D159" s="591"/>
      <c r="E159" s="591"/>
      <c r="F159" s="591"/>
      <c r="G159" s="591"/>
      <c r="H159" s="591"/>
      <c r="I159" s="591"/>
      <c r="J159" s="591"/>
      <c r="K159" s="591"/>
      <c r="L159" s="591"/>
      <c r="M159" s="591"/>
      <c r="N159" s="592"/>
      <c r="O159" s="592"/>
      <c r="P159" s="591"/>
    </row>
    <row r="160" spans="2:16">
      <c r="B160" s="591"/>
      <c r="C160" s="591"/>
      <c r="D160" s="591"/>
      <c r="E160" s="591"/>
      <c r="F160" s="591"/>
      <c r="G160" s="591"/>
      <c r="H160" s="591"/>
      <c r="I160" s="591"/>
      <c r="J160" s="591"/>
      <c r="K160" s="591"/>
      <c r="L160" s="591"/>
      <c r="M160" s="591"/>
      <c r="N160" s="592"/>
      <c r="O160" s="592"/>
      <c r="P160" s="591"/>
    </row>
    <row r="161" spans="2:16">
      <c r="B161" s="591"/>
      <c r="C161" s="591"/>
      <c r="D161" s="591"/>
      <c r="E161" s="591"/>
      <c r="F161" s="591"/>
      <c r="G161" s="591"/>
      <c r="H161" s="591"/>
      <c r="I161" s="591"/>
      <c r="J161" s="591"/>
      <c r="K161" s="591"/>
      <c r="L161" s="591"/>
      <c r="M161" s="591"/>
      <c r="N161" s="592"/>
      <c r="O161" s="592"/>
      <c r="P161" s="591"/>
    </row>
    <row r="162" spans="2:16">
      <c r="B162" s="591"/>
      <c r="C162" s="591"/>
      <c r="D162" s="591"/>
      <c r="E162" s="591"/>
      <c r="F162" s="591"/>
      <c r="G162" s="591"/>
      <c r="H162" s="591"/>
      <c r="I162" s="591"/>
      <c r="J162" s="591"/>
      <c r="K162" s="591"/>
      <c r="L162" s="591"/>
      <c r="M162" s="591"/>
      <c r="N162" s="592"/>
      <c r="O162" s="592"/>
      <c r="P162" s="591"/>
    </row>
    <row r="163" spans="2:16">
      <c r="B163" s="591"/>
      <c r="C163" s="591"/>
      <c r="D163" s="591"/>
      <c r="E163" s="591"/>
      <c r="F163" s="591"/>
      <c r="G163" s="591"/>
      <c r="H163" s="591"/>
      <c r="I163" s="591"/>
      <c r="J163" s="591"/>
      <c r="K163" s="591"/>
      <c r="L163" s="591"/>
      <c r="M163" s="591"/>
      <c r="N163" s="592"/>
      <c r="O163" s="592"/>
      <c r="P163" s="591"/>
    </row>
    <row r="164" spans="2:16">
      <c r="B164" s="591"/>
      <c r="C164" s="591"/>
      <c r="D164" s="591"/>
      <c r="E164" s="591"/>
      <c r="F164" s="591"/>
      <c r="G164" s="591"/>
      <c r="H164" s="591"/>
      <c r="I164" s="591"/>
      <c r="J164" s="591"/>
      <c r="K164" s="591"/>
      <c r="L164" s="591"/>
      <c r="M164" s="591"/>
      <c r="N164" s="592"/>
      <c r="O164" s="592"/>
      <c r="P164" s="591"/>
    </row>
    <row r="165" spans="2:16">
      <c r="B165" s="591"/>
      <c r="C165" s="591"/>
      <c r="D165" s="591"/>
      <c r="E165" s="591"/>
      <c r="F165" s="591"/>
      <c r="G165" s="591"/>
      <c r="H165" s="591"/>
      <c r="I165" s="591"/>
      <c r="J165" s="591"/>
      <c r="K165" s="591"/>
      <c r="L165" s="591"/>
      <c r="M165" s="591"/>
      <c r="N165" s="592"/>
      <c r="O165" s="592"/>
      <c r="P165" s="591"/>
    </row>
    <row r="166" spans="2:16">
      <c r="B166" s="591"/>
      <c r="C166" s="591"/>
      <c r="D166" s="591"/>
      <c r="E166" s="591"/>
      <c r="F166" s="591"/>
      <c r="G166" s="591"/>
      <c r="H166" s="591"/>
      <c r="I166" s="591"/>
      <c r="J166" s="591"/>
      <c r="K166" s="591"/>
      <c r="L166" s="591"/>
      <c r="M166" s="591"/>
      <c r="N166" s="592"/>
      <c r="O166" s="592"/>
      <c r="P166" s="591"/>
    </row>
    <row r="167" spans="2:16">
      <c r="B167" s="591"/>
      <c r="C167" s="591"/>
      <c r="D167" s="591"/>
      <c r="E167" s="591"/>
      <c r="F167" s="591"/>
      <c r="G167" s="591"/>
      <c r="H167" s="591"/>
      <c r="I167" s="591"/>
      <c r="J167" s="591"/>
      <c r="K167" s="591"/>
      <c r="L167" s="591"/>
      <c r="M167" s="591"/>
      <c r="N167" s="592"/>
      <c r="O167" s="592"/>
      <c r="P167" s="591"/>
    </row>
    <row r="168" spans="2:16">
      <c r="B168" s="591"/>
      <c r="C168" s="591"/>
      <c r="D168" s="591"/>
      <c r="E168" s="591"/>
      <c r="F168" s="591"/>
      <c r="G168" s="591"/>
      <c r="H168" s="591"/>
      <c r="I168" s="591"/>
      <c r="J168" s="591"/>
      <c r="K168" s="591"/>
      <c r="L168" s="591"/>
      <c r="M168" s="591"/>
      <c r="N168" s="592"/>
      <c r="O168" s="592"/>
      <c r="P168" s="591"/>
    </row>
    <row r="169" spans="2:16">
      <c r="B169" s="591"/>
      <c r="C169" s="591"/>
      <c r="D169" s="591"/>
      <c r="E169" s="591"/>
      <c r="F169" s="591"/>
      <c r="G169" s="591"/>
      <c r="H169" s="591"/>
      <c r="I169" s="591"/>
      <c r="J169" s="591"/>
      <c r="K169" s="591"/>
      <c r="L169" s="591"/>
      <c r="M169" s="591"/>
      <c r="N169" s="592"/>
      <c r="O169" s="592"/>
      <c r="P169" s="591"/>
    </row>
    <row r="170" spans="2:16">
      <c r="B170" s="591"/>
      <c r="C170" s="591"/>
      <c r="D170" s="591"/>
      <c r="E170" s="591"/>
      <c r="F170" s="591"/>
      <c r="G170" s="591"/>
      <c r="H170" s="591"/>
      <c r="I170" s="591"/>
      <c r="J170" s="591"/>
      <c r="K170" s="591"/>
      <c r="L170" s="591"/>
      <c r="M170" s="591"/>
      <c r="N170" s="592"/>
      <c r="O170" s="592"/>
      <c r="P170" s="591"/>
    </row>
    <row r="171" spans="2:16">
      <c r="B171" s="591"/>
      <c r="C171" s="591"/>
      <c r="D171" s="591"/>
      <c r="E171" s="591"/>
      <c r="F171" s="591"/>
      <c r="G171" s="591"/>
      <c r="H171" s="591"/>
      <c r="I171" s="591"/>
      <c r="J171" s="591"/>
      <c r="K171" s="591"/>
      <c r="L171" s="591"/>
      <c r="M171" s="591"/>
      <c r="N171" s="592"/>
      <c r="O171" s="592"/>
      <c r="P171" s="591"/>
    </row>
    <row r="172" spans="2:16">
      <c r="B172" s="591"/>
      <c r="C172" s="591"/>
      <c r="D172" s="591"/>
      <c r="E172" s="591"/>
      <c r="F172" s="591"/>
      <c r="G172" s="591"/>
      <c r="H172" s="591"/>
      <c r="I172" s="591"/>
      <c r="J172" s="591"/>
      <c r="K172" s="591"/>
      <c r="L172" s="591"/>
      <c r="M172" s="591"/>
      <c r="N172" s="592"/>
      <c r="O172" s="592"/>
      <c r="P172" s="591"/>
    </row>
    <row r="173" spans="2:16">
      <c r="B173" s="591"/>
      <c r="C173" s="591"/>
      <c r="D173" s="591"/>
      <c r="E173" s="591"/>
      <c r="F173" s="591"/>
      <c r="G173" s="591"/>
      <c r="H173" s="591"/>
      <c r="I173" s="591"/>
      <c r="J173" s="591"/>
      <c r="K173" s="591"/>
      <c r="L173" s="591"/>
      <c r="M173" s="591"/>
      <c r="N173" s="592"/>
      <c r="O173" s="592"/>
      <c r="P173" s="591"/>
    </row>
    <row r="174" spans="2:16">
      <c r="B174" s="591"/>
      <c r="C174" s="591"/>
      <c r="D174" s="591"/>
      <c r="E174" s="591"/>
      <c r="F174" s="591"/>
      <c r="G174" s="591"/>
      <c r="H174" s="591"/>
      <c r="I174" s="591"/>
      <c r="J174" s="591"/>
      <c r="K174" s="591"/>
      <c r="L174" s="591"/>
      <c r="M174" s="591"/>
      <c r="N174" s="592"/>
      <c r="O174" s="592"/>
      <c r="P174" s="591"/>
    </row>
    <row r="175" spans="2:16">
      <c r="B175" s="591"/>
      <c r="C175" s="591"/>
      <c r="D175" s="591"/>
      <c r="E175" s="591"/>
      <c r="F175" s="591"/>
      <c r="G175" s="591"/>
      <c r="H175" s="591"/>
      <c r="I175" s="591"/>
      <c r="J175" s="591"/>
      <c r="K175" s="591"/>
      <c r="L175" s="591"/>
      <c r="M175" s="591"/>
      <c r="N175" s="592"/>
      <c r="O175" s="592"/>
      <c r="P175" s="591"/>
    </row>
    <row r="176" spans="2:16">
      <c r="B176" s="591"/>
      <c r="C176" s="591"/>
      <c r="D176" s="591"/>
      <c r="E176" s="591"/>
      <c r="F176" s="591"/>
      <c r="G176" s="591"/>
      <c r="H176" s="591"/>
      <c r="I176" s="591"/>
      <c r="J176" s="591"/>
      <c r="K176" s="591"/>
      <c r="L176" s="591"/>
      <c r="M176" s="591"/>
      <c r="N176" s="592"/>
      <c r="O176" s="592"/>
      <c r="P176" s="591"/>
    </row>
    <row r="177" spans="2:16">
      <c r="B177" s="591"/>
      <c r="C177" s="591"/>
      <c r="D177" s="591"/>
      <c r="E177" s="591"/>
      <c r="F177" s="591"/>
      <c r="G177" s="591"/>
      <c r="H177" s="591"/>
      <c r="I177" s="591"/>
      <c r="J177" s="591"/>
      <c r="K177" s="591"/>
      <c r="L177" s="591"/>
      <c r="M177" s="591"/>
      <c r="N177" s="592"/>
      <c r="O177" s="592"/>
      <c r="P177" s="591"/>
    </row>
    <row r="178" spans="2:16">
      <c r="B178" s="591"/>
      <c r="C178" s="591"/>
      <c r="D178" s="591"/>
      <c r="E178" s="591"/>
      <c r="F178" s="591"/>
      <c r="G178" s="591"/>
      <c r="H178" s="591"/>
      <c r="I178" s="591"/>
      <c r="J178" s="591"/>
      <c r="K178" s="591"/>
      <c r="L178" s="591"/>
      <c r="M178" s="591"/>
      <c r="N178" s="592"/>
      <c r="O178" s="592"/>
      <c r="P178" s="591"/>
    </row>
    <row r="179" spans="2:16">
      <c r="B179" s="591"/>
      <c r="C179" s="591"/>
      <c r="D179" s="591"/>
      <c r="E179" s="591"/>
      <c r="F179" s="591"/>
      <c r="G179" s="591"/>
      <c r="H179" s="591"/>
      <c r="I179" s="591"/>
      <c r="J179" s="591"/>
      <c r="K179" s="591"/>
      <c r="L179" s="591"/>
      <c r="M179" s="591"/>
      <c r="N179" s="592"/>
      <c r="O179" s="592"/>
      <c r="P179" s="591"/>
    </row>
    <row r="180" spans="2:16">
      <c r="B180" s="591"/>
      <c r="C180" s="591"/>
      <c r="D180" s="591"/>
      <c r="E180" s="591"/>
      <c r="F180" s="591"/>
      <c r="G180" s="591"/>
      <c r="H180" s="591"/>
      <c r="I180" s="591"/>
      <c r="J180" s="591"/>
      <c r="K180" s="591"/>
      <c r="L180" s="591"/>
      <c r="M180" s="591"/>
      <c r="N180" s="592"/>
      <c r="O180" s="592"/>
      <c r="P180" s="591"/>
    </row>
    <row r="181" spans="2:16">
      <c r="B181" s="591"/>
      <c r="C181" s="591"/>
      <c r="D181" s="591"/>
      <c r="E181" s="591"/>
      <c r="F181" s="591"/>
      <c r="G181" s="591"/>
      <c r="H181" s="591"/>
      <c r="I181" s="591"/>
      <c r="J181" s="591"/>
      <c r="K181" s="591"/>
      <c r="L181" s="591"/>
      <c r="M181" s="591"/>
      <c r="N181" s="592"/>
      <c r="O181" s="592"/>
      <c r="P181" s="591"/>
    </row>
    <row r="182" spans="2:16">
      <c r="B182" s="591"/>
      <c r="C182" s="591"/>
      <c r="D182" s="591"/>
      <c r="E182" s="591"/>
      <c r="F182" s="591"/>
      <c r="G182" s="591"/>
      <c r="H182" s="591"/>
      <c r="I182" s="591"/>
      <c r="J182" s="591"/>
      <c r="K182" s="591"/>
      <c r="L182" s="591"/>
      <c r="M182" s="591"/>
      <c r="N182" s="592"/>
      <c r="O182" s="592"/>
      <c r="P182" s="591"/>
    </row>
    <row r="183" spans="2:16">
      <c r="B183" s="591"/>
      <c r="C183" s="591"/>
      <c r="D183" s="591"/>
      <c r="E183" s="591"/>
      <c r="F183" s="591"/>
      <c r="G183" s="591"/>
      <c r="H183" s="591"/>
      <c r="I183" s="591"/>
      <c r="J183" s="591"/>
      <c r="K183" s="591"/>
      <c r="L183" s="591"/>
      <c r="M183" s="591"/>
      <c r="N183" s="592"/>
      <c r="O183" s="592"/>
      <c r="P183" s="591"/>
    </row>
    <row r="184" spans="2:16">
      <c r="B184" s="591"/>
      <c r="C184" s="591"/>
      <c r="D184" s="591"/>
      <c r="E184" s="591"/>
      <c r="F184" s="591"/>
      <c r="G184" s="591"/>
      <c r="H184" s="591"/>
      <c r="I184" s="591"/>
      <c r="J184" s="591"/>
      <c r="K184" s="591"/>
      <c r="L184" s="591"/>
      <c r="M184" s="591"/>
      <c r="N184" s="592"/>
      <c r="O184" s="592"/>
      <c r="P184" s="591"/>
    </row>
    <row r="185" spans="2:16">
      <c r="B185" s="591"/>
      <c r="C185" s="591"/>
      <c r="D185" s="591"/>
      <c r="E185" s="591"/>
      <c r="F185" s="591"/>
      <c r="G185" s="591"/>
      <c r="H185" s="591"/>
      <c r="I185" s="591"/>
      <c r="J185" s="591"/>
      <c r="K185" s="591"/>
      <c r="L185" s="591"/>
      <c r="M185" s="591"/>
      <c r="N185" s="592"/>
      <c r="O185" s="592"/>
      <c r="P185" s="591"/>
    </row>
    <row r="186" spans="2:16">
      <c r="B186" s="591"/>
      <c r="C186" s="591"/>
      <c r="D186" s="591"/>
      <c r="E186" s="591"/>
      <c r="F186" s="591"/>
      <c r="G186" s="591"/>
      <c r="H186" s="591"/>
      <c r="I186" s="591"/>
      <c r="J186" s="591"/>
      <c r="K186" s="591"/>
      <c r="L186" s="591"/>
      <c r="M186" s="591"/>
      <c r="N186" s="592"/>
      <c r="O186" s="592"/>
      <c r="P186" s="591"/>
    </row>
    <row r="187" spans="2:16">
      <c r="B187" s="591"/>
      <c r="C187" s="591"/>
      <c r="D187" s="591"/>
      <c r="E187" s="591"/>
      <c r="F187" s="591"/>
      <c r="G187" s="591"/>
      <c r="H187" s="591"/>
      <c r="I187" s="591"/>
      <c r="J187" s="591"/>
      <c r="K187" s="591"/>
      <c r="L187" s="591"/>
      <c r="M187" s="591"/>
      <c r="N187" s="592"/>
      <c r="O187" s="592"/>
      <c r="P187" s="591"/>
    </row>
    <row r="188" spans="2:16">
      <c r="B188" s="591"/>
      <c r="C188" s="591"/>
      <c r="D188" s="591"/>
      <c r="E188" s="591"/>
      <c r="F188" s="591"/>
      <c r="G188" s="591"/>
      <c r="H188" s="591"/>
      <c r="I188" s="591"/>
      <c r="J188" s="591"/>
      <c r="K188" s="591"/>
      <c r="L188" s="591"/>
      <c r="M188" s="591"/>
      <c r="N188" s="592"/>
      <c r="O188" s="592"/>
      <c r="P188" s="591"/>
    </row>
    <row r="189" spans="2:16">
      <c r="B189" s="591"/>
      <c r="C189" s="591"/>
      <c r="D189" s="591"/>
      <c r="E189" s="591"/>
      <c r="F189" s="591"/>
      <c r="G189" s="591"/>
      <c r="H189" s="591"/>
      <c r="I189" s="591"/>
      <c r="J189" s="591"/>
      <c r="K189" s="591"/>
      <c r="L189" s="591"/>
      <c r="M189" s="591"/>
      <c r="N189" s="592"/>
      <c r="O189" s="592"/>
      <c r="P189" s="591"/>
    </row>
    <row r="190" spans="2:16">
      <c r="B190" s="591"/>
      <c r="C190" s="591"/>
      <c r="D190" s="591"/>
      <c r="E190" s="591"/>
      <c r="F190" s="591"/>
      <c r="G190" s="591"/>
      <c r="H190" s="591"/>
      <c r="I190" s="591"/>
      <c r="J190" s="591"/>
      <c r="K190" s="591"/>
      <c r="L190" s="591"/>
      <c r="M190" s="591"/>
      <c r="N190" s="592"/>
      <c r="O190" s="592"/>
      <c r="P190" s="591"/>
    </row>
    <row r="191" spans="2:16">
      <c r="B191" s="591"/>
      <c r="C191" s="591"/>
      <c r="D191" s="591"/>
      <c r="E191" s="591"/>
      <c r="F191" s="591"/>
      <c r="G191" s="591"/>
      <c r="H191" s="591"/>
      <c r="I191" s="591"/>
      <c r="J191" s="591"/>
      <c r="K191" s="591"/>
      <c r="L191" s="591"/>
      <c r="M191" s="591"/>
      <c r="N191" s="592"/>
      <c r="O191" s="592"/>
      <c r="P191" s="591"/>
    </row>
    <row r="192" spans="2:16">
      <c r="B192" s="591"/>
      <c r="C192" s="591"/>
      <c r="D192" s="591"/>
      <c r="E192" s="591"/>
      <c r="F192" s="591"/>
      <c r="G192" s="591"/>
      <c r="H192" s="591"/>
      <c r="I192" s="591"/>
      <c r="J192" s="591"/>
      <c r="K192" s="591"/>
      <c r="L192" s="591"/>
      <c r="M192" s="591"/>
      <c r="N192" s="592"/>
      <c r="O192" s="592"/>
      <c r="P192" s="591"/>
    </row>
    <row r="193" spans="2:16">
      <c r="B193" s="591"/>
      <c r="C193" s="591"/>
      <c r="D193" s="591"/>
      <c r="E193" s="591"/>
      <c r="F193" s="591"/>
      <c r="G193" s="591"/>
      <c r="H193" s="591"/>
      <c r="I193" s="591"/>
      <c r="J193" s="591"/>
      <c r="K193" s="591"/>
      <c r="L193" s="591"/>
      <c r="M193" s="591"/>
      <c r="N193" s="592"/>
      <c r="O193" s="592"/>
      <c r="P193" s="591"/>
    </row>
    <row r="194" spans="2:16">
      <c r="B194" s="591"/>
      <c r="C194" s="591"/>
      <c r="D194" s="591"/>
      <c r="E194" s="591"/>
      <c r="F194" s="591"/>
      <c r="G194" s="591"/>
      <c r="H194" s="591"/>
      <c r="I194" s="591"/>
      <c r="J194" s="591"/>
      <c r="K194" s="591"/>
      <c r="L194" s="591"/>
      <c r="M194" s="591"/>
      <c r="N194" s="592"/>
      <c r="O194" s="592"/>
      <c r="P194" s="591"/>
    </row>
    <row r="195" spans="2:16">
      <c r="B195" s="591"/>
      <c r="C195" s="591"/>
      <c r="D195" s="591"/>
      <c r="E195" s="591"/>
      <c r="F195" s="591"/>
      <c r="G195" s="591"/>
      <c r="H195" s="591"/>
      <c r="I195" s="591"/>
      <c r="J195" s="591"/>
      <c r="K195" s="591"/>
      <c r="L195" s="591"/>
      <c r="M195" s="591"/>
      <c r="N195" s="592"/>
      <c r="O195" s="592"/>
      <c r="P195" s="591"/>
    </row>
    <row r="196" spans="2:16">
      <c r="B196" s="591"/>
      <c r="C196" s="591"/>
      <c r="D196" s="591"/>
      <c r="E196" s="591"/>
      <c r="F196" s="591"/>
      <c r="G196" s="591"/>
      <c r="H196" s="591"/>
      <c r="I196" s="591"/>
      <c r="J196" s="591"/>
      <c r="K196" s="591"/>
      <c r="L196" s="591"/>
      <c r="M196" s="591"/>
      <c r="N196" s="592"/>
      <c r="O196" s="592"/>
      <c r="P196" s="591"/>
    </row>
    <row r="197" spans="2:16">
      <c r="B197" s="591"/>
      <c r="C197" s="591"/>
      <c r="D197" s="591"/>
      <c r="E197" s="591"/>
      <c r="F197" s="591"/>
      <c r="G197" s="591"/>
      <c r="H197" s="591"/>
      <c r="I197" s="591"/>
      <c r="J197" s="591"/>
      <c r="K197" s="591"/>
      <c r="L197" s="591"/>
      <c r="M197" s="591"/>
      <c r="N197" s="592"/>
      <c r="O197" s="592"/>
      <c r="P197" s="591"/>
    </row>
    <row r="198" spans="2:16">
      <c r="B198" s="591"/>
      <c r="C198" s="591"/>
      <c r="D198" s="591"/>
      <c r="E198" s="591"/>
      <c r="F198" s="591"/>
      <c r="G198" s="591"/>
      <c r="H198" s="591"/>
      <c r="I198" s="591"/>
      <c r="J198" s="591"/>
      <c r="K198" s="591"/>
      <c r="L198" s="591"/>
      <c r="M198" s="591"/>
      <c r="N198" s="592"/>
      <c r="O198" s="592"/>
      <c r="P198" s="591"/>
    </row>
    <row r="199" spans="2:16">
      <c r="B199" s="591"/>
      <c r="C199" s="591"/>
      <c r="D199" s="591"/>
      <c r="E199" s="591"/>
      <c r="F199" s="591"/>
      <c r="G199" s="591"/>
      <c r="H199" s="591"/>
      <c r="I199" s="591"/>
      <c r="J199" s="591"/>
      <c r="K199" s="591"/>
      <c r="L199" s="591"/>
      <c r="M199" s="591"/>
      <c r="N199" s="592"/>
      <c r="O199" s="592"/>
      <c r="P199" s="591"/>
    </row>
    <row r="200" spans="2:16">
      <c r="B200" s="591"/>
      <c r="C200" s="591"/>
      <c r="D200" s="591"/>
      <c r="E200" s="591"/>
      <c r="F200" s="591"/>
      <c r="G200" s="591"/>
      <c r="H200" s="591"/>
      <c r="I200" s="591"/>
      <c r="J200" s="591"/>
      <c r="K200" s="591"/>
      <c r="L200" s="591"/>
      <c r="M200" s="591"/>
      <c r="N200" s="592"/>
      <c r="O200" s="592"/>
      <c r="P200" s="591"/>
    </row>
    <row r="201" spans="2:16">
      <c r="B201" s="591"/>
      <c r="C201" s="591"/>
      <c r="D201" s="591"/>
      <c r="E201" s="591"/>
      <c r="F201" s="591"/>
      <c r="G201" s="591"/>
      <c r="H201" s="591"/>
      <c r="I201" s="591"/>
      <c r="J201" s="591"/>
      <c r="K201" s="591"/>
      <c r="L201" s="591"/>
      <c r="M201" s="591"/>
      <c r="N201" s="592"/>
      <c r="O201" s="592"/>
      <c r="P201" s="591"/>
    </row>
    <row r="202" spans="2:16">
      <c r="B202" s="591"/>
      <c r="C202" s="591"/>
      <c r="D202" s="591"/>
      <c r="E202" s="591"/>
      <c r="F202" s="591"/>
      <c r="G202" s="591"/>
      <c r="H202" s="591"/>
      <c r="I202" s="591"/>
      <c r="J202" s="591"/>
      <c r="K202" s="591"/>
      <c r="L202" s="591"/>
      <c r="M202" s="591"/>
      <c r="N202" s="592"/>
      <c r="O202" s="592"/>
      <c r="P202" s="591"/>
    </row>
    <row r="203" spans="2:16">
      <c r="B203" s="591"/>
      <c r="C203" s="591"/>
      <c r="D203" s="591"/>
      <c r="E203" s="591"/>
      <c r="F203" s="591"/>
      <c r="G203" s="591"/>
      <c r="H203" s="591"/>
      <c r="I203" s="591"/>
      <c r="J203" s="591"/>
      <c r="K203" s="591"/>
      <c r="L203" s="591"/>
      <c r="M203" s="591"/>
      <c r="N203" s="592"/>
      <c r="O203" s="592"/>
      <c r="P203" s="591"/>
    </row>
    <row r="204" spans="2:16">
      <c r="B204" s="591"/>
      <c r="C204" s="591"/>
      <c r="D204" s="591"/>
      <c r="E204" s="591"/>
      <c r="F204" s="591"/>
      <c r="G204" s="591"/>
      <c r="H204" s="591"/>
      <c r="I204" s="591"/>
      <c r="J204" s="591"/>
      <c r="K204" s="591"/>
      <c r="L204" s="591"/>
      <c r="M204" s="591"/>
      <c r="N204" s="592"/>
      <c r="O204" s="592"/>
      <c r="P204" s="591"/>
    </row>
    <row r="205" spans="2:16">
      <c r="B205" s="591"/>
      <c r="C205" s="591"/>
      <c r="D205" s="591"/>
      <c r="E205" s="591"/>
      <c r="F205" s="591"/>
      <c r="G205" s="591"/>
      <c r="H205" s="591"/>
      <c r="I205" s="591"/>
      <c r="J205" s="591"/>
      <c r="K205" s="591"/>
      <c r="L205" s="591"/>
      <c r="M205" s="591"/>
      <c r="N205" s="592"/>
      <c r="O205" s="592"/>
      <c r="P205" s="591"/>
    </row>
    <row r="206" spans="2:16">
      <c r="B206" s="591"/>
      <c r="C206" s="591"/>
      <c r="D206" s="591"/>
      <c r="E206" s="591"/>
      <c r="F206" s="591"/>
      <c r="G206" s="591"/>
      <c r="H206" s="591"/>
      <c r="I206" s="591"/>
      <c r="J206" s="591"/>
      <c r="K206" s="591"/>
      <c r="L206" s="591"/>
      <c r="M206" s="591"/>
      <c r="N206" s="592"/>
      <c r="O206" s="592"/>
      <c r="P206" s="591"/>
    </row>
    <row r="207" spans="2:16">
      <c r="B207" s="591"/>
      <c r="C207" s="591"/>
      <c r="D207" s="591"/>
      <c r="E207" s="591"/>
      <c r="F207" s="591"/>
      <c r="G207" s="591"/>
      <c r="H207" s="591"/>
      <c r="I207" s="591"/>
      <c r="J207" s="591"/>
      <c r="K207" s="591"/>
      <c r="L207" s="591"/>
      <c r="M207" s="591"/>
      <c r="N207" s="592"/>
      <c r="O207" s="592"/>
      <c r="P207" s="591"/>
    </row>
    <row r="208" spans="2:16">
      <c r="B208" s="591"/>
      <c r="C208" s="591"/>
      <c r="D208" s="591"/>
      <c r="E208" s="591"/>
      <c r="F208" s="591"/>
      <c r="G208" s="591"/>
      <c r="H208" s="591"/>
      <c r="I208" s="591"/>
      <c r="J208" s="591"/>
      <c r="K208" s="591"/>
      <c r="L208" s="591"/>
      <c r="M208" s="591"/>
      <c r="N208" s="592"/>
      <c r="O208" s="592"/>
      <c r="P208" s="591"/>
    </row>
    <row r="209" spans="1:16">
      <c r="B209" s="591"/>
      <c r="C209" s="591"/>
      <c r="D209" s="591"/>
      <c r="E209" s="591"/>
      <c r="F209" s="591"/>
      <c r="G209" s="591"/>
      <c r="H209" s="591"/>
      <c r="I209" s="591"/>
      <c r="J209" s="591"/>
      <c r="K209" s="591"/>
      <c r="L209" s="591"/>
      <c r="M209" s="591"/>
      <c r="N209" s="592"/>
      <c r="O209" s="592"/>
      <c r="P209" s="591"/>
    </row>
    <row r="210" spans="1:16">
      <c r="B210" s="591"/>
      <c r="C210" s="591"/>
      <c r="D210" s="591"/>
      <c r="E210" s="591"/>
      <c r="F210" s="591"/>
      <c r="G210" s="591"/>
      <c r="H210" s="591"/>
      <c r="I210" s="591"/>
      <c r="J210" s="591"/>
      <c r="K210" s="591"/>
      <c r="L210" s="591"/>
      <c r="M210" s="591"/>
      <c r="N210" s="592"/>
      <c r="O210" s="592"/>
      <c r="P210" s="591"/>
    </row>
    <row r="211" spans="1:16">
      <c r="B211" s="591"/>
      <c r="C211" s="591"/>
      <c r="D211" s="591"/>
      <c r="E211" s="591"/>
      <c r="F211" s="591"/>
      <c r="G211" s="591"/>
      <c r="H211" s="591"/>
      <c r="I211" s="591"/>
      <c r="J211" s="591"/>
      <c r="K211" s="591"/>
      <c r="L211" s="591"/>
      <c r="M211" s="591"/>
      <c r="N211" s="592"/>
      <c r="O211" s="592"/>
      <c r="P211" s="591"/>
    </row>
    <row r="212" spans="1:16">
      <c r="B212" s="591"/>
      <c r="C212" s="591"/>
      <c r="D212" s="591"/>
      <c r="E212" s="591"/>
      <c r="F212" s="591"/>
      <c r="G212" s="591"/>
      <c r="H212" s="591"/>
      <c r="I212" s="591"/>
      <c r="J212" s="591"/>
      <c r="K212" s="591"/>
      <c r="L212" s="591"/>
      <c r="M212" s="591"/>
      <c r="N212" s="592"/>
      <c r="O212" s="592"/>
      <c r="P212" s="591"/>
    </row>
    <row r="213" spans="1:16">
      <c r="B213" s="591"/>
      <c r="C213" s="591"/>
      <c r="D213" s="591"/>
      <c r="E213" s="591"/>
      <c r="F213" s="591"/>
      <c r="G213" s="591"/>
      <c r="H213" s="591"/>
      <c r="I213" s="591"/>
      <c r="J213" s="591"/>
      <c r="K213" s="591"/>
      <c r="L213" s="591"/>
      <c r="M213" s="591"/>
      <c r="N213" s="592"/>
      <c r="O213" s="592"/>
      <c r="P213" s="591"/>
    </row>
    <row r="214" spans="1:16">
      <c r="B214" s="591"/>
      <c r="C214" s="591"/>
      <c r="D214" s="591"/>
      <c r="E214" s="591"/>
      <c r="F214" s="591"/>
      <c r="G214" s="591"/>
      <c r="H214" s="591"/>
      <c r="I214" s="591"/>
      <c r="J214" s="591"/>
      <c r="K214" s="591"/>
      <c r="L214" s="591"/>
      <c r="M214" s="591"/>
      <c r="N214" s="592"/>
      <c r="O214" s="592"/>
      <c r="P214" s="591"/>
    </row>
    <row r="215" spans="1:16">
      <c r="B215" s="591"/>
      <c r="C215" s="591"/>
      <c r="D215" s="591"/>
      <c r="E215" s="591"/>
      <c r="F215" s="591"/>
      <c r="G215" s="591"/>
      <c r="H215" s="591"/>
      <c r="I215" s="591"/>
      <c r="J215" s="591"/>
      <c r="K215" s="591"/>
      <c r="L215" s="591"/>
      <c r="M215" s="591"/>
      <c r="N215" s="592"/>
      <c r="O215" s="592"/>
      <c r="P215" s="591"/>
    </row>
    <row r="216" spans="1:16">
      <c r="B216" s="591"/>
      <c r="C216" s="591"/>
      <c r="D216" s="591"/>
      <c r="E216" s="591"/>
      <c r="F216" s="591"/>
      <c r="G216" s="591"/>
      <c r="H216" s="591"/>
      <c r="I216" s="591"/>
      <c r="J216" s="591"/>
      <c r="K216" s="591"/>
      <c r="L216" s="591"/>
      <c r="M216" s="591"/>
      <c r="N216" s="592"/>
      <c r="O216" s="592"/>
      <c r="P216" s="591"/>
    </row>
    <row r="217" spans="1:16">
      <c r="A217" s="590"/>
      <c r="B217" s="591"/>
      <c r="C217" s="591"/>
      <c r="D217" s="591"/>
      <c r="E217" s="591"/>
      <c r="F217" s="591"/>
      <c r="G217" s="591"/>
      <c r="H217" s="591"/>
      <c r="I217" s="591"/>
      <c r="J217" s="591"/>
      <c r="K217" s="591"/>
      <c r="L217" s="591"/>
      <c r="M217" s="591"/>
      <c r="N217" s="591"/>
      <c r="O217" s="591"/>
      <c r="P217" s="591"/>
    </row>
    <row r="218" spans="1:16">
      <c r="A218" s="590"/>
      <c r="B218" s="591"/>
      <c r="C218" s="591"/>
      <c r="D218" s="591"/>
      <c r="E218" s="591"/>
      <c r="F218" s="591"/>
      <c r="G218" s="591"/>
      <c r="H218" s="591"/>
      <c r="I218" s="591"/>
      <c r="J218" s="591"/>
      <c r="K218" s="591"/>
      <c r="L218" s="591"/>
      <c r="M218" s="591"/>
      <c r="N218" s="591"/>
      <c r="O218" s="591"/>
      <c r="P218" s="591"/>
    </row>
    <row r="219" spans="1:16">
      <c r="A219" s="590"/>
      <c r="B219" s="595"/>
      <c r="C219" s="595"/>
      <c r="D219" s="595"/>
      <c r="E219" s="595"/>
      <c r="F219" s="595"/>
      <c r="G219" s="595"/>
      <c r="H219" s="595"/>
      <c r="I219" s="595"/>
      <c r="J219" s="595"/>
      <c r="K219" s="595"/>
      <c r="L219" s="595"/>
      <c r="M219" s="595"/>
      <c r="N219" s="591"/>
      <c r="O219" s="591"/>
      <c r="P219" s="591"/>
    </row>
    <row r="220" spans="1:16">
      <c r="A220" s="590"/>
      <c r="B220" s="591"/>
      <c r="C220" s="591"/>
      <c r="D220" s="591"/>
      <c r="E220" s="591"/>
      <c r="F220" s="591"/>
      <c r="G220" s="591"/>
      <c r="H220" s="591"/>
      <c r="I220" s="591"/>
      <c r="J220" s="591"/>
      <c r="K220" s="591"/>
      <c r="L220" s="591"/>
      <c r="M220" s="591"/>
      <c r="N220" s="591"/>
      <c r="O220" s="591"/>
      <c r="P220" s="591"/>
    </row>
    <row r="221" spans="1:16">
      <c r="A221" s="590"/>
      <c r="B221" s="591"/>
      <c r="C221" s="591"/>
      <c r="D221" s="591"/>
      <c r="E221" s="591"/>
      <c r="F221" s="591"/>
      <c r="G221" s="591"/>
      <c r="H221" s="591"/>
      <c r="I221" s="591"/>
      <c r="J221" s="591"/>
      <c r="K221" s="591"/>
      <c r="L221" s="591"/>
      <c r="M221" s="591"/>
      <c r="N221" s="591"/>
      <c r="O221" s="591"/>
      <c r="P221" s="591"/>
    </row>
    <row r="222" spans="1:16">
      <c r="A222" s="590"/>
      <c r="B222" s="591"/>
      <c r="C222" s="591"/>
      <c r="D222" s="591"/>
      <c r="E222" s="591"/>
      <c r="F222" s="591"/>
      <c r="G222" s="591"/>
      <c r="H222" s="591"/>
      <c r="I222" s="591"/>
      <c r="J222" s="591"/>
      <c r="K222" s="591"/>
      <c r="L222" s="591"/>
      <c r="M222" s="591"/>
      <c r="N222" s="591"/>
      <c r="O222" s="591"/>
      <c r="P222" s="591"/>
    </row>
    <row r="223" spans="1:16">
      <c r="A223" s="590"/>
      <c r="B223" s="591"/>
      <c r="C223" s="591"/>
      <c r="D223" s="591"/>
      <c r="E223" s="591"/>
      <c r="F223" s="591"/>
      <c r="G223" s="591"/>
      <c r="H223" s="591"/>
      <c r="I223" s="591"/>
      <c r="J223" s="591"/>
      <c r="K223" s="591"/>
      <c r="L223" s="591"/>
      <c r="M223" s="591"/>
      <c r="N223" s="591"/>
      <c r="O223" s="591"/>
      <c r="P223" s="591"/>
    </row>
    <row r="224" spans="1:16">
      <c r="A224" s="590"/>
      <c r="B224" s="591"/>
      <c r="C224" s="591"/>
      <c r="D224" s="591"/>
      <c r="E224" s="591"/>
      <c r="F224" s="591"/>
      <c r="G224" s="591"/>
      <c r="H224" s="591"/>
      <c r="I224" s="591"/>
      <c r="J224" s="591"/>
      <c r="K224" s="591"/>
      <c r="L224" s="591"/>
      <c r="M224" s="591"/>
      <c r="N224" s="591"/>
      <c r="O224" s="591"/>
      <c r="P224" s="591"/>
    </row>
    <row r="225" spans="1:16">
      <c r="A225" s="590"/>
      <c r="B225" s="591"/>
      <c r="C225" s="591"/>
      <c r="D225" s="591"/>
      <c r="E225" s="591"/>
      <c r="F225" s="591"/>
      <c r="G225" s="591"/>
      <c r="H225" s="591"/>
      <c r="I225" s="591"/>
      <c r="J225" s="591"/>
      <c r="K225" s="591"/>
      <c r="L225" s="591"/>
      <c r="M225" s="591"/>
      <c r="N225" s="591"/>
      <c r="O225" s="591"/>
      <c r="P225" s="591"/>
    </row>
    <row r="226" spans="1:16">
      <c r="A226" s="590"/>
      <c r="B226" s="591"/>
      <c r="C226" s="591"/>
      <c r="D226" s="591"/>
      <c r="E226" s="591"/>
      <c r="F226" s="591"/>
      <c r="G226" s="591"/>
      <c r="H226" s="591"/>
      <c r="I226" s="591"/>
      <c r="J226" s="591"/>
      <c r="K226" s="591"/>
      <c r="L226" s="591"/>
      <c r="M226" s="591"/>
      <c r="N226" s="591"/>
      <c r="O226" s="591"/>
      <c r="P226" s="591"/>
    </row>
    <row r="227" spans="1:16">
      <c r="A227" s="590"/>
      <c r="B227" s="591"/>
      <c r="C227" s="591"/>
      <c r="D227" s="591"/>
      <c r="E227" s="591"/>
      <c r="F227" s="591"/>
      <c r="G227" s="591"/>
      <c r="H227" s="591"/>
      <c r="I227" s="591"/>
      <c r="J227" s="591"/>
      <c r="K227" s="591"/>
      <c r="L227" s="591"/>
      <c r="M227" s="591"/>
      <c r="N227" s="591"/>
      <c r="O227" s="591"/>
      <c r="P227" s="591"/>
    </row>
    <row r="228" spans="1:16">
      <c r="A228" s="590"/>
      <c r="B228" s="591"/>
      <c r="C228" s="591"/>
      <c r="D228" s="591"/>
      <c r="E228" s="591"/>
      <c r="F228" s="591"/>
      <c r="G228" s="591"/>
      <c r="H228" s="591"/>
      <c r="I228" s="591"/>
      <c r="J228" s="591"/>
      <c r="K228" s="591"/>
      <c r="L228" s="591"/>
      <c r="M228" s="591"/>
      <c r="N228" s="591"/>
      <c r="O228" s="591"/>
      <c r="P228" s="591"/>
    </row>
    <row r="229" spans="1:16">
      <c r="A229" s="590"/>
      <c r="B229" s="591"/>
      <c r="C229" s="591"/>
      <c r="D229" s="591"/>
      <c r="E229" s="591"/>
      <c r="F229" s="591"/>
      <c r="G229" s="591"/>
      <c r="H229" s="591"/>
      <c r="I229" s="591"/>
      <c r="J229" s="591"/>
      <c r="K229" s="591"/>
      <c r="L229" s="591"/>
      <c r="M229" s="591"/>
      <c r="N229" s="591"/>
      <c r="O229" s="591"/>
      <c r="P229" s="591"/>
    </row>
    <row r="230" spans="1:16">
      <c r="A230" s="590"/>
      <c r="B230" s="591"/>
      <c r="C230" s="591"/>
      <c r="D230" s="591"/>
      <c r="E230" s="591"/>
      <c r="F230" s="591"/>
      <c r="G230" s="591"/>
      <c r="H230" s="591"/>
      <c r="I230" s="591"/>
      <c r="J230" s="591"/>
      <c r="K230" s="591"/>
      <c r="L230" s="591"/>
      <c r="M230" s="591"/>
      <c r="N230" s="591"/>
      <c r="O230" s="591"/>
      <c r="P230" s="591"/>
    </row>
    <row r="231" spans="1:16">
      <c r="A231" s="590"/>
      <c r="B231" s="591"/>
      <c r="C231" s="591"/>
      <c r="D231" s="591"/>
      <c r="E231" s="591"/>
      <c r="F231" s="591"/>
      <c r="G231" s="591"/>
      <c r="H231" s="591"/>
      <c r="I231" s="591"/>
      <c r="J231" s="591"/>
      <c r="K231" s="591"/>
      <c r="L231" s="591"/>
      <c r="M231" s="591"/>
      <c r="N231" s="591"/>
      <c r="O231" s="591"/>
      <c r="P231" s="591"/>
    </row>
    <row r="232" spans="1:16">
      <c r="A232" s="590"/>
      <c r="B232" s="591"/>
      <c r="C232" s="591"/>
      <c r="D232" s="591"/>
      <c r="E232" s="591"/>
      <c r="F232" s="591"/>
      <c r="G232" s="591"/>
      <c r="H232" s="591"/>
      <c r="I232" s="591"/>
      <c r="J232" s="591"/>
      <c r="K232" s="591"/>
      <c r="L232" s="591"/>
      <c r="M232" s="591"/>
      <c r="N232" s="591"/>
      <c r="O232" s="591"/>
      <c r="P232" s="591"/>
    </row>
    <row r="233" spans="1:16">
      <c r="A233" s="590"/>
      <c r="B233" s="591"/>
      <c r="C233" s="591"/>
      <c r="D233" s="591"/>
      <c r="E233" s="591"/>
      <c r="F233" s="591"/>
      <c r="G233" s="591"/>
      <c r="H233" s="591"/>
      <c r="I233" s="591"/>
      <c r="J233" s="591"/>
      <c r="K233" s="591"/>
      <c r="L233" s="591"/>
      <c r="M233" s="591"/>
      <c r="N233" s="591"/>
      <c r="O233" s="591"/>
      <c r="P233" s="591"/>
    </row>
    <row r="234" spans="1:16">
      <c r="A234" s="590"/>
      <c r="B234" s="591"/>
      <c r="C234" s="591"/>
      <c r="D234" s="591"/>
      <c r="E234" s="591"/>
      <c r="F234" s="591"/>
      <c r="G234" s="591"/>
      <c r="H234" s="591"/>
      <c r="I234" s="591"/>
      <c r="J234" s="591"/>
      <c r="K234" s="591"/>
      <c r="L234" s="591"/>
      <c r="M234" s="591"/>
      <c r="N234" s="591"/>
      <c r="O234" s="591"/>
      <c r="P234" s="591"/>
    </row>
    <row r="235" spans="1:16">
      <c r="A235" s="590"/>
      <c r="B235" s="591"/>
      <c r="C235" s="591"/>
      <c r="D235" s="591"/>
      <c r="E235" s="591"/>
      <c r="F235" s="591"/>
      <c r="G235" s="591"/>
      <c r="H235" s="591"/>
      <c r="I235" s="591"/>
      <c r="J235" s="591"/>
      <c r="K235" s="591"/>
      <c r="L235" s="591"/>
      <c r="M235" s="591"/>
      <c r="N235" s="591"/>
      <c r="O235" s="591"/>
      <c r="P235" s="591"/>
    </row>
    <row r="236" spans="1:16">
      <c r="A236" s="590"/>
      <c r="B236" s="591"/>
      <c r="C236" s="591"/>
      <c r="D236" s="591"/>
      <c r="E236" s="591"/>
      <c r="F236" s="591"/>
      <c r="G236" s="591"/>
      <c r="H236" s="591"/>
      <c r="I236" s="591"/>
      <c r="J236" s="591"/>
      <c r="K236" s="591"/>
      <c r="L236" s="591"/>
      <c r="M236" s="591"/>
      <c r="N236" s="591"/>
      <c r="O236" s="591"/>
      <c r="P236" s="591"/>
    </row>
    <row r="237" spans="1:16">
      <c r="A237" s="590"/>
      <c r="B237" s="591"/>
      <c r="C237" s="591"/>
      <c r="D237" s="591"/>
      <c r="E237" s="591"/>
      <c r="F237" s="591"/>
      <c r="G237" s="591"/>
      <c r="H237" s="591"/>
      <c r="I237" s="591"/>
      <c r="J237" s="591"/>
      <c r="K237" s="591"/>
      <c r="L237" s="591"/>
      <c r="M237" s="591"/>
      <c r="N237" s="591"/>
      <c r="O237" s="591"/>
      <c r="P237" s="591"/>
    </row>
    <row r="238" spans="1:16">
      <c r="A238" s="590"/>
      <c r="B238" s="591"/>
      <c r="C238" s="591"/>
      <c r="D238" s="591"/>
      <c r="E238" s="591"/>
      <c r="F238" s="591"/>
      <c r="G238" s="591"/>
      <c r="H238" s="591"/>
      <c r="I238" s="591"/>
      <c r="J238" s="591"/>
      <c r="K238" s="591"/>
      <c r="L238" s="591"/>
      <c r="M238" s="591"/>
      <c r="N238" s="591"/>
      <c r="O238" s="591"/>
      <c r="P238" s="591"/>
    </row>
    <row r="239" spans="1:16">
      <c r="A239" s="590"/>
      <c r="B239" s="591"/>
      <c r="C239" s="591"/>
      <c r="D239" s="591"/>
      <c r="E239" s="591"/>
      <c r="F239" s="591"/>
      <c r="G239" s="591"/>
      <c r="H239" s="591"/>
      <c r="I239" s="591"/>
      <c r="J239" s="591"/>
      <c r="K239" s="591"/>
      <c r="L239" s="591"/>
      <c r="M239" s="591"/>
      <c r="N239" s="591"/>
      <c r="O239" s="591"/>
      <c r="P239" s="591"/>
    </row>
    <row r="240" spans="1:16">
      <c r="A240" s="590"/>
      <c r="B240" s="591"/>
      <c r="C240" s="591"/>
      <c r="D240" s="591"/>
      <c r="E240" s="591"/>
      <c r="F240" s="591"/>
      <c r="G240" s="591"/>
      <c r="H240" s="591"/>
      <c r="I240" s="591"/>
      <c r="J240" s="591"/>
      <c r="K240" s="591"/>
      <c r="L240" s="591"/>
      <c r="M240" s="591"/>
      <c r="N240" s="591"/>
      <c r="O240" s="591"/>
      <c r="P240" s="591"/>
    </row>
    <row r="241" spans="1:16">
      <c r="A241" s="590"/>
      <c r="B241" s="591"/>
      <c r="C241" s="591"/>
      <c r="D241" s="591"/>
      <c r="E241" s="591"/>
      <c r="F241" s="591"/>
      <c r="G241" s="591"/>
      <c r="H241" s="591"/>
      <c r="I241" s="591"/>
      <c r="J241" s="591"/>
      <c r="K241" s="591"/>
      <c r="L241" s="591"/>
      <c r="M241" s="591"/>
      <c r="N241" s="591"/>
      <c r="O241" s="591"/>
      <c r="P241" s="591"/>
    </row>
    <row r="242" spans="1:16">
      <c r="A242" s="590"/>
      <c r="B242" s="591"/>
      <c r="C242" s="591"/>
      <c r="D242" s="591"/>
      <c r="E242" s="591"/>
      <c r="F242" s="591"/>
      <c r="G242" s="591"/>
      <c r="H242" s="591"/>
      <c r="I242" s="591"/>
      <c r="J242" s="591"/>
      <c r="K242" s="591"/>
      <c r="L242" s="591"/>
      <c r="M242" s="591"/>
      <c r="N242" s="591"/>
      <c r="O242" s="591"/>
      <c r="P242" s="591"/>
    </row>
    <row r="243" spans="1:16">
      <c r="A243" s="590"/>
      <c r="B243" s="591"/>
      <c r="C243" s="591"/>
      <c r="D243" s="591"/>
      <c r="E243" s="591"/>
      <c r="F243" s="591"/>
      <c r="G243" s="591"/>
      <c r="H243" s="591"/>
      <c r="I243" s="591"/>
      <c r="J243" s="591"/>
      <c r="K243" s="591"/>
      <c r="L243" s="591"/>
      <c r="M243" s="591"/>
      <c r="N243" s="591"/>
      <c r="O243" s="591"/>
      <c r="P243" s="591"/>
    </row>
    <row r="244" spans="1:16">
      <c r="A244" s="590"/>
      <c r="B244" s="591"/>
      <c r="C244" s="591"/>
      <c r="D244" s="591"/>
      <c r="E244" s="591"/>
      <c r="F244" s="591"/>
      <c r="G244" s="591"/>
      <c r="H244" s="591"/>
      <c r="I244" s="591"/>
      <c r="J244" s="591"/>
      <c r="K244" s="591"/>
      <c r="L244" s="591"/>
      <c r="M244" s="591"/>
      <c r="N244" s="591"/>
      <c r="O244" s="591"/>
      <c r="P244" s="591"/>
    </row>
    <row r="245" spans="1:16">
      <c r="A245" s="590"/>
      <c r="B245" s="591"/>
      <c r="C245" s="591"/>
      <c r="D245" s="591"/>
      <c r="E245" s="591"/>
      <c r="F245" s="591"/>
      <c r="G245" s="591"/>
      <c r="H245" s="591"/>
      <c r="I245" s="591"/>
      <c r="J245" s="591"/>
      <c r="K245" s="591"/>
      <c r="L245" s="591"/>
      <c r="M245" s="591"/>
      <c r="N245" s="591"/>
      <c r="O245" s="591"/>
      <c r="P245" s="591"/>
    </row>
    <row r="246" spans="1:16">
      <c r="A246" s="596"/>
      <c r="B246" s="597"/>
      <c r="C246" s="597"/>
      <c r="D246" s="597"/>
      <c r="E246" s="597"/>
      <c r="F246" s="597"/>
      <c r="G246" s="597"/>
      <c r="H246" s="597"/>
      <c r="I246" s="597"/>
      <c r="J246" s="597"/>
      <c r="K246" s="597"/>
      <c r="L246" s="597"/>
      <c r="M246" s="597"/>
      <c r="N246" s="597"/>
      <c r="O246" s="597"/>
      <c r="P246" s="597"/>
    </row>
    <row r="247" spans="1:16">
      <c r="A247" s="590"/>
      <c r="B247" s="591"/>
      <c r="C247" s="591"/>
      <c r="D247" s="591"/>
      <c r="E247" s="591"/>
      <c r="F247" s="591"/>
      <c r="G247" s="591"/>
      <c r="H247" s="591"/>
      <c r="I247" s="591"/>
      <c r="J247" s="591"/>
      <c r="K247" s="591"/>
      <c r="L247" s="591"/>
      <c r="M247" s="591"/>
      <c r="N247" s="591"/>
      <c r="O247" s="591"/>
      <c r="P247" s="591"/>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1" manualBreakCount="1">
    <brk id="93"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200"/>
  <sheetViews>
    <sheetView showGridLines="0" zoomScaleNormal="100" zoomScaleSheetLayoutView="99" workbookViewId="0">
      <selection activeCell="G87" sqref="G87"/>
    </sheetView>
  </sheetViews>
  <sheetFormatPr defaultColWidth="9.1796875" defaultRowHeight="12.5"/>
  <cols>
    <col min="1" max="1" width="32.7265625" style="1107" customWidth="1"/>
    <col min="2" max="2" width="16" style="1107" bestFit="1" customWidth="1"/>
    <col min="3" max="3" width="5.1796875" style="1107" customWidth="1"/>
    <col min="4" max="4" width="16" style="1107" bestFit="1" customWidth="1"/>
    <col min="5" max="5" width="4.7265625" style="1107" customWidth="1"/>
    <col min="6" max="6" width="17" style="1107" bestFit="1" customWidth="1"/>
    <col min="7" max="7" width="3.26953125" style="1107" customWidth="1"/>
    <col min="8" max="8" width="17" style="1107" bestFit="1" customWidth="1"/>
    <col min="9" max="9" width="4.453125" style="1107" customWidth="1"/>
    <col min="10" max="10" width="17" style="1107" bestFit="1" customWidth="1"/>
    <col min="11" max="11" width="3.7265625" style="1107" customWidth="1"/>
    <col min="12" max="12" width="17" style="1107" bestFit="1" customWidth="1"/>
    <col min="13" max="13" width="4.1796875" style="1107" customWidth="1"/>
    <col min="14" max="14" width="17" style="1107" bestFit="1" customWidth="1"/>
    <col min="15" max="15" width="3.54296875" style="1107" customWidth="1"/>
    <col min="16" max="16" width="18.7265625" style="1107" bestFit="1" customWidth="1"/>
    <col min="17" max="16384" width="9.1796875" style="1107"/>
  </cols>
  <sheetData>
    <row r="1" spans="1:16" ht="18">
      <c r="A1" s="1949" t="s">
        <v>1574</v>
      </c>
      <c r="B1" s="1950"/>
      <c r="C1" s="1950"/>
      <c r="D1" s="1950"/>
      <c r="E1" s="1950"/>
      <c r="F1" s="1950"/>
      <c r="G1" s="1950"/>
      <c r="H1" s="1950"/>
    </row>
    <row r="2" spans="1:16" ht="13">
      <c r="H2" s="1654"/>
      <c r="I2" s="1655"/>
      <c r="J2" s="187"/>
    </row>
    <row r="3" spans="1:16" ht="13">
      <c r="A3" s="1656" t="s">
        <v>1076</v>
      </c>
      <c r="H3" s="1654"/>
      <c r="I3" s="1655"/>
      <c r="J3" s="187"/>
    </row>
    <row r="4" spans="1:16" ht="13">
      <c r="A4" s="1655"/>
      <c r="B4" s="1655"/>
      <c r="C4" s="1655"/>
      <c r="D4" s="1655"/>
      <c r="E4" s="1655"/>
      <c r="F4" s="1655"/>
      <c r="G4" s="1655"/>
      <c r="H4" s="1655"/>
      <c r="I4" s="1655"/>
      <c r="J4" s="187"/>
    </row>
    <row r="5" spans="1:16" ht="13">
      <c r="A5" s="576" t="s">
        <v>1684</v>
      </c>
      <c r="B5" s="576" t="s">
        <v>495</v>
      </c>
      <c r="C5" s="576"/>
      <c r="D5" s="576" t="s">
        <v>496</v>
      </c>
      <c r="E5" s="576"/>
      <c r="F5" s="576"/>
      <c r="G5" s="576"/>
      <c r="H5" s="576"/>
      <c r="I5" s="576"/>
      <c r="J5" s="576"/>
      <c r="K5" s="576"/>
      <c r="L5" s="576"/>
      <c r="M5" s="576"/>
      <c r="N5" s="576"/>
      <c r="O5" s="576"/>
      <c r="P5" s="576"/>
    </row>
    <row r="6" spans="1:16" ht="13">
      <c r="A6" s="576"/>
      <c r="B6" s="576" t="s">
        <v>497</v>
      </c>
      <c r="C6" s="576"/>
      <c r="D6" s="576" t="s">
        <v>498</v>
      </c>
      <c r="E6" s="576"/>
      <c r="F6" s="576" t="s">
        <v>141</v>
      </c>
      <c r="G6" s="576"/>
      <c r="H6" s="576" t="s">
        <v>1077</v>
      </c>
      <c r="J6" s="576" t="s">
        <v>1078</v>
      </c>
      <c r="L6" s="576" t="s">
        <v>1079</v>
      </c>
      <c r="M6" s="576"/>
      <c r="N6" s="576" t="s">
        <v>499</v>
      </c>
      <c r="O6" s="576"/>
      <c r="P6" s="576" t="s">
        <v>44</v>
      </c>
    </row>
    <row r="7" spans="1:16" ht="14.5">
      <c r="A7" s="1192" t="s">
        <v>1685</v>
      </c>
      <c r="B7" s="1130">
        <v>127845.55</v>
      </c>
      <c r="C7" s="1131"/>
      <c r="D7" s="1130">
        <v>109738.86000000002</v>
      </c>
      <c r="E7" s="1131"/>
      <c r="F7" s="1130">
        <v>215654.97</v>
      </c>
      <c r="G7" s="1131"/>
      <c r="H7" s="1130">
        <v>339703</v>
      </c>
      <c r="I7" s="1131"/>
      <c r="J7" s="1130">
        <v>990316.23</v>
      </c>
      <c r="K7" s="1131"/>
      <c r="L7" s="1130">
        <v>363895.57</v>
      </c>
      <c r="M7" s="1131"/>
      <c r="N7" s="1130">
        <v>6426377.4000000022</v>
      </c>
      <c r="O7" s="1131"/>
      <c r="P7" s="1130">
        <f>SUM(B7:O7)</f>
        <v>8573531.5800000019</v>
      </c>
    </row>
    <row r="8" spans="1:16" ht="14.5">
      <c r="A8" s="1192" t="s">
        <v>1686</v>
      </c>
      <c r="B8" s="1783">
        <v>762650.69</v>
      </c>
      <c r="C8" s="1784"/>
      <c r="D8" s="1783">
        <v>654901.55999999994</v>
      </c>
      <c r="E8" s="1785"/>
      <c r="F8" s="1783">
        <v>1286512.97</v>
      </c>
      <c r="G8" s="1785"/>
      <c r="H8" s="1783">
        <v>2052892.3800000001</v>
      </c>
      <c r="I8" s="1133"/>
      <c r="J8" s="1783">
        <v>4973716.7299999995</v>
      </c>
      <c r="K8" s="1133"/>
      <c r="L8" s="1783">
        <v>1997392.6500000001</v>
      </c>
      <c r="M8" s="1133"/>
      <c r="N8" s="1783">
        <v>16154224.849999992</v>
      </c>
      <c r="O8" s="1658"/>
      <c r="P8" s="1130">
        <f t="shared" ref="P8:P26" si="0">SUM(B8:O8)</f>
        <v>27882291.829999991</v>
      </c>
    </row>
    <row r="9" spans="1:16" ht="14.5">
      <c r="A9" s="1192" t="s">
        <v>1687</v>
      </c>
      <c r="B9" s="1786">
        <v>352004.43999999994</v>
      </c>
      <c r="C9" s="1787"/>
      <c r="D9" s="1786">
        <v>302172.3</v>
      </c>
      <c r="E9" s="1788"/>
      <c r="F9" s="1786">
        <v>593742.24</v>
      </c>
      <c r="G9" s="1788"/>
      <c r="H9" s="1786">
        <v>935143.71000000008</v>
      </c>
      <c r="I9" s="1133"/>
      <c r="J9" s="1786">
        <v>2215929.44</v>
      </c>
      <c r="K9" s="1133"/>
      <c r="L9" s="1786">
        <v>921360.33000000007</v>
      </c>
      <c r="M9" s="1133"/>
      <c r="N9" s="1786">
        <v>12714357.409999996</v>
      </c>
      <c r="O9" s="1658"/>
      <c r="P9" s="1130">
        <f t="shared" si="0"/>
        <v>18034709.869999997</v>
      </c>
    </row>
    <row r="10" spans="1:16" ht="14.5">
      <c r="A10" s="1192" t="s">
        <v>1688</v>
      </c>
      <c r="B10" s="1783">
        <v>298181.89999999997</v>
      </c>
      <c r="C10" s="1787"/>
      <c r="D10" s="1783">
        <v>256756.37</v>
      </c>
      <c r="E10" s="1788"/>
      <c r="F10" s="1783">
        <v>500862.14999999997</v>
      </c>
      <c r="G10" s="1788"/>
      <c r="H10" s="1783">
        <v>809575</v>
      </c>
      <c r="I10" s="1133"/>
      <c r="J10" s="1783">
        <v>1975065.6200000003</v>
      </c>
      <c r="K10" s="1133"/>
      <c r="L10" s="1783">
        <v>807952.26</v>
      </c>
      <c r="M10" s="1133"/>
      <c r="N10" s="1783">
        <v>4213000.3899999997</v>
      </c>
      <c r="O10" s="1658"/>
      <c r="P10" s="1130">
        <f t="shared" si="0"/>
        <v>8861393.6899999995</v>
      </c>
    </row>
    <row r="11" spans="1:16" ht="14.5">
      <c r="A11" s="1192" t="s">
        <v>1689</v>
      </c>
      <c r="B11" s="1786">
        <v>1067186.94</v>
      </c>
      <c r="C11" s="1787"/>
      <c r="D11" s="1786">
        <v>916339</v>
      </c>
      <c r="E11" s="1788"/>
      <c r="F11" s="1786">
        <v>1800076.41</v>
      </c>
      <c r="G11" s="1788"/>
      <c r="H11" s="1786">
        <v>2837221.7300000004</v>
      </c>
      <c r="I11" s="1133"/>
      <c r="J11" s="1786">
        <v>6718398.2699999996</v>
      </c>
      <c r="K11" s="1133"/>
      <c r="L11" s="1786">
        <v>2796164.86</v>
      </c>
      <c r="M11" s="1133"/>
      <c r="N11" s="1786">
        <v>32760795.57</v>
      </c>
      <c r="O11" s="1658"/>
      <c r="P11" s="1130">
        <f t="shared" si="0"/>
        <v>48896182.780000001</v>
      </c>
    </row>
    <row r="12" spans="1:16" ht="14.5">
      <c r="A12" s="1192" t="s">
        <v>1690</v>
      </c>
      <c r="B12" s="1783">
        <v>258169.36999999997</v>
      </c>
      <c r="C12" s="1787"/>
      <c r="D12" s="1783">
        <v>221605.49000000002</v>
      </c>
      <c r="E12" s="1788"/>
      <c r="F12" s="1783">
        <v>435218.57999999996</v>
      </c>
      <c r="G12" s="1788"/>
      <c r="H12" s="1783">
        <v>686234.03999999992</v>
      </c>
      <c r="I12" s="1133"/>
      <c r="J12" s="1783">
        <v>1621421.88</v>
      </c>
      <c r="K12" s="1133"/>
      <c r="L12" s="1783">
        <v>675344.63</v>
      </c>
      <c r="M12" s="1133"/>
      <c r="N12" s="1783">
        <v>3863095.310000001</v>
      </c>
      <c r="O12" s="1658"/>
      <c r="P12" s="1130">
        <f t="shared" si="0"/>
        <v>7761089.3000000007</v>
      </c>
    </row>
    <row r="13" spans="1:16" ht="14.5">
      <c r="A13" s="1192" t="s">
        <v>1691</v>
      </c>
      <c r="B13" s="1786">
        <v>2310436.96</v>
      </c>
      <c r="C13" s="1787"/>
      <c r="D13" s="1786">
        <v>1983376.51</v>
      </c>
      <c r="E13" s="1788"/>
      <c r="F13" s="1786">
        <v>3897063.1900000004</v>
      </c>
      <c r="G13" s="1788"/>
      <c r="H13" s="1786">
        <v>6169828.5699999994</v>
      </c>
      <c r="I13" s="1133"/>
      <c r="J13" s="1786">
        <v>14555009.16</v>
      </c>
      <c r="K13" s="1133"/>
      <c r="L13" s="1786">
        <v>6052047.7399999993</v>
      </c>
      <c r="M13" s="1133"/>
      <c r="N13" s="1786">
        <v>34789888.869999982</v>
      </c>
      <c r="O13" s="1658"/>
      <c r="P13" s="1130">
        <f t="shared" si="0"/>
        <v>69757650.999999985</v>
      </c>
    </row>
    <row r="14" spans="1:16" ht="14.5">
      <c r="A14" s="1192" t="s">
        <v>1692</v>
      </c>
      <c r="B14" s="1783">
        <v>5295390.4499999993</v>
      </c>
      <c r="C14" s="1787"/>
      <c r="D14" s="1783">
        <v>4104781.8399999994</v>
      </c>
      <c r="E14" s="1788"/>
      <c r="F14" s="1783">
        <v>7342035.4100000001</v>
      </c>
      <c r="G14" s="1788"/>
      <c r="H14" s="1783">
        <v>12995106.430000002</v>
      </c>
      <c r="I14" s="1133"/>
      <c r="J14" s="1783">
        <v>27314431.940000005</v>
      </c>
      <c r="K14" s="1133"/>
      <c r="L14" s="1783">
        <v>11965229.779999999</v>
      </c>
      <c r="M14" s="1133"/>
      <c r="N14" s="1783">
        <v>1878832.2199999839</v>
      </c>
      <c r="O14" s="1658"/>
      <c r="P14" s="1130">
        <f t="shared" si="0"/>
        <v>70895808.069999993</v>
      </c>
    </row>
    <row r="15" spans="1:16" ht="14.5">
      <c r="A15" s="1192" t="s">
        <v>1693</v>
      </c>
      <c r="B15" s="1786">
        <v>0</v>
      </c>
      <c r="C15" s="1787"/>
      <c r="D15" s="1786">
        <v>0</v>
      </c>
      <c r="E15" s="1788"/>
      <c r="F15" s="1786">
        <v>0</v>
      </c>
      <c r="G15" s="1788"/>
      <c r="H15" s="1786">
        <v>0</v>
      </c>
      <c r="I15" s="1133"/>
      <c r="J15" s="1786">
        <v>0</v>
      </c>
      <c r="K15" s="1133"/>
      <c r="L15" s="1786">
        <v>0</v>
      </c>
      <c r="M15" s="1133"/>
      <c r="N15" s="1786">
        <v>11385.610000000004</v>
      </c>
      <c r="O15" s="1658"/>
      <c r="P15" s="1130">
        <f t="shared" si="0"/>
        <v>11385.610000000004</v>
      </c>
    </row>
    <row r="16" spans="1:16" ht="14.5">
      <c r="A16" s="1192" t="s">
        <v>1694</v>
      </c>
      <c r="B16" s="1783">
        <v>6738123.8899999997</v>
      </c>
      <c r="C16" s="1787"/>
      <c r="D16" s="1783">
        <v>5976671.79</v>
      </c>
      <c r="E16" s="1788"/>
      <c r="F16" s="1783">
        <v>11887327.699999999</v>
      </c>
      <c r="G16" s="1788"/>
      <c r="H16" s="1783">
        <v>17142474.18</v>
      </c>
      <c r="I16" s="1133"/>
      <c r="J16" s="1783">
        <v>32323665.369999997</v>
      </c>
      <c r="K16" s="1133"/>
      <c r="L16" s="1783">
        <v>15159127.759999998</v>
      </c>
      <c r="M16" s="1133"/>
      <c r="N16" s="1783">
        <v>79087183.729999989</v>
      </c>
      <c r="O16" s="1658"/>
      <c r="P16" s="1130">
        <f t="shared" si="0"/>
        <v>168314574.41999999</v>
      </c>
    </row>
    <row r="17" spans="1:16" ht="14.5">
      <c r="A17" s="1192" t="s">
        <v>1695</v>
      </c>
      <c r="B17" s="1786">
        <v>1411098.0499999996</v>
      </c>
      <c r="C17" s="1787"/>
      <c r="D17" s="1786">
        <v>1172131.2</v>
      </c>
      <c r="E17" s="1788"/>
      <c r="F17" s="1786">
        <v>2053744.8499999996</v>
      </c>
      <c r="G17" s="1788"/>
      <c r="H17" s="1786">
        <v>3929953.71</v>
      </c>
      <c r="I17" s="1133"/>
      <c r="J17" s="1786">
        <v>7096169.4899999993</v>
      </c>
      <c r="K17" s="1133"/>
      <c r="L17" s="1786">
        <v>3233864.2599999993</v>
      </c>
      <c r="M17" s="1133"/>
      <c r="N17" s="1786">
        <v>16477099.820000008</v>
      </c>
      <c r="O17" s="1658"/>
      <c r="P17" s="1130">
        <f t="shared" si="0"/>
        <v>35374061.380000003</v>
      </c>
    </row>
    <row r="18" spans="1:16" ht="14.5">
      <c r="A18" s="1192" t="s">
        <v>1696</v>
      </c>
      <c r="B18" s="1783">
        <v>345943.64999999997</v>
      </c>
      <c r="C18" s="1787"/>
      <c r="D18" s="1783">
        <v>296509.83999999997</v>
      </c>
      <c r="E18" s="1788"/>
      <c r="F18" s="1783">
        <v>582730.86</v>
      </c>
      <c r="G18" s="1788"/>
      <c r="H18" s="1783">
        <v>957438.06999999972</v>
      </c>
      <c r="I18" s="1133"/>
      <c r="J18" s="1783">
        <v>28216108.990000002</v>
      </c>
      <c r="K18" s="1133"/>
      <c r="L18" s="1783">
        <v>943947.55</v>
      </c>
      <c r="M18" s="1133"/>
      <c r="N18" s="1783">
        <v>5270666.8099999912</v>
      </c>
      <c r="O18" s="1658"/>
      <c r="P18" s="1130">
        <f t="shared" si="0"/>
        <v>36613345.769999996</v>
      </c>
    </row>
    <row r="19" spans="1:16" ht="14.5">
      <c r="A19" s="1192" t="s">
        <v>1697</v>
      </c>
      <c r="B19" s="1786">
        <v>2550451.9700000002</v>
      </c>
      <c r="C19" s="1787"/>
      <c r="D19" s="1786">
        <v>1763810.2900000003</v>
      </c>
      <c r="E19" s="1788"/>
      <c r="F19" s="1786">
        <v>3903526.0800000005</v>
      </c>
      <c r="G19" s="1788"/>
      <c r="H19" s="1786">
        <v>7845651.3000000017</v>
      </c>
      <c r="I19" s="1133"/>
      <c r="J19" s="1786">
        <v>15918302.809999999</v>
      </c>
      <c r="K19" s="1133"/>
      <c r="L19" s="1786">
        <v>6995422.54</v>
      </c>
      <c r="M19" s="1133"/>
      <c r="N19" s="1786">
        <v>33239108.529999994</v>
      </c>
      <c r="O19" s="1658"/>
      <c r="P19" s="1130">
        <f t="shared" si="0"/>
        <v>72216273.519999996</v>
      </c>
    </row>
    <row r="20" spans="1:16" ht="14.5">
      <c r="A20" s="1192" t="s">
        <v>1698</v>
      </c>
      <c r="B20" s="1783">
        <v>79147301.920000002</v>
      </c>
      <c r="C20" s="1785"/>
      <c r="D20" s="1783">
        <v>63950797.020000003</v>
      </c>
      <c r="E20" s="1789"/>
      <c r="F20" s="1783">
        <v>99035027.470000014</v>
      </c>
      <c r="G20" s="1789"/>
      <c r="H20" s="1783">
        <v>236284717.38</v>
      </c>
      <c r="I20" s="1133"/>
      <c r="J20" s="1783">
        <v>306043483.47000003</v>
      </c>
      <c r="K20" s="1133"/>
      <c r="L20" s="1783">
        <v>165083554.33000001</v>
      </c>
      <c r="M20" s="1133"/>
      <c r="N20" s="1783">
        <v>338041323.27999985</v>
      </c>
      <c r="O20" s="1658"/>
      <c r="P20" s="1130">
        <f t="shared" si="0"/>
        <v>1287586204.8699999</v>
      </c>
    </row>
    <row r="21" spans="1:16" ht="14.5">
      <c r="A21" s="1192" t="s">
        <v>1699</v>
      </c>
      <c r="B21" s="1786">
        <v>63679.01</v>
      </c>
      <c r="C21" s="1787"/>
      <c r="D21" s="1786">
        <v>54664.319999999992</v>
      </c>
      <c r="E21" s="1788"/>
      <c r="F21" s="1786">
        <v>107410.10999999999</v>
      </c>
      <c r="G21" s="1788"/>
      <c r="H21" s="1786">
        <v>169171.01</v>
      </c>
      <c r="I21" s="1133"/>
      <c r="J21" s="1786">
        <v>400869.51999999996</v>
      </c>
      <c r="K21" s="1133"/>
      <c r="L21" s="1786">
        <v>166677.24</v>
      </c>
      <c r="M21" s="1133"/>
      <c r="N21" s="1786">
        <v>871642.84000000008</v>
      </c>
      <c r="O21" s="1658"/>
      <c r="P21" s="1130">
        <f t="shared" si="0"/>
        <v>1834114.05</v>
      </c>
    </row>
    <row r="22" spans="1:16" ht="14.5">
      <c r="A22" s="1192" t="s">
        <v>1700</v>
      </c>
      <c r="B22" s="1783">
        <v>1344037.2399999998</v>
      </c>
      <c r="C22" s="1785"/>
      <c r="D22" s="1783">
        <v>1263137.53</v>
      </c>
      <c r="E22" s="1789"/>
      <c r="F22" s="1783">
        <v>2358003.34</v>
      </c>
      <c r="G22" s="1789"/>
      <c r="H22" s="1783">
        <v>2859075.5300000003</v>
      </c>
      <c r="I22" s="1133"/>
      <c r="J22" s="1783">
        <v>5690047.2299999995</v>
      </c>
      <c r="K22" s="1133"/>
      <c r="L22" s="1783">
        <v>3150585.0300000003</v>
      </c>
      <c r="M22" s="1133"/>
      <c r="N22" s="1783">
        <v>16970667.979999997</v>
      </c>
      <c r="O22" s="1658"/>
      <c r="P22" s="1130">
        <f t="shared" si="0"/>
        <v>33635553.879999995</v>
      </c>
    </row>
    <row r="23" spans="1:16" ht="14.5">
      <c r="A23" s="1192" t="s">
        <v>1701</v>
      </c>
      <c r="B23" s="1790">
        <v>413827.61</v>
      </c>
      <c r="C23" s="1785"/>
      <c r="D23" s="1790">
        <v>265231.8</v>
      </c>
      <c r="E23" s="1789"/>
      <c r="F23" s="1790">
        <v>480745.35</v>
      </c>
      <c r="G23" s="1789"/>
      <c r="H23" s="1790">
        <v>1162390.1499999999</v>
      </c>
      <c r="I23" s="1133"/>
      <c r="J23" s="1790">
        <v>2151722.31</v>
      </c>
      <c r="K23" s="1133"/>
      <c r="L23" s="1790">
        <v>1367607.8099999998</v>
      </c>
      <c r="M23" s="1133"/>
      <c r="N23" s="1790">
        <v>6012687.2800000031</v>
      </c>
      <c r="O23" s="1658"/>
      <c r="P23" s="1130">
        <f t="shared" si="0"/>
        <v>11854212.310000002</v>
      </c>
    </row>
    <row r="24" spans="1:16" ht="14.5">
      <c r="A24" s="1192" t="s">
        <v>1702</v>
      </c>
      <c r="B24" s="1783">
        <v>691692.99</v>
      </c>
      <c r="C24" s="1785"/>
      <c r="D24" s="1783">
        <v>593772.7300000001</v>
      </c>
      <c r="E24" s="1789"/>
      <c r="F24" s="1783">
        <v>1166710</v>
      </c>
      <c r="G24" s="1789"/>
      <c r="H24" s="1783">
        <v>1837572.48</v>
      </c>
      <c r="I24" s="1133"/>
      <c r="J24" s="1783">
        <v>4372931.38</v>
      </c>
      <c r="K24" s="1133"/>
      <c r="L24" s="1783">
        <v>1810484.5699999998</v>
      </c>
      <c r="M24" s="1133"/>
      <c r="N24" s="1783">
        <v>11181392.649999997</v>
      </c>
      <c r="O24" s="1658"/>
      <c r="P24" s="1130">
        <f t="shared" si="0"/>
        <v>21654556.799999997</v>
      </c>
    </row>
    <row r="25" spans="1:16" ht="14.5">
      <c r="A25" s="1192" t="s">
        <v>1703</v>
      </c>
      <c r="B25" s="1790">
        <v>1652112.4100000004</v>
      </c>
      <c r="C25" s="1785"/>
      <c r="D25" s="1790">
        <v>1368925.03</v>
      </c>
      <c r="E25" s="1789"/>
      <c r="F25" s="1790">
        <v>2836658.8600000003</v>
      </c>
      <c r="G25" s="1789"/>
      <c r="H25" s="1790">
        <v>4077442.5299999993</v>
      </c>
      <c r="I25" s="1133"/>
      <c r="J25" s="1790">
        <v>9370383.5800000001</v>
      </c>
      <c r="K25" s="1133"/>
      <c r="L25" s="1790">
        <v>4113795.1500000004</v>
      </c>
      <c r="M25" s="1133"/>
      <c r="N25" s="1790">
        <v>66670955.769999996</v>
      </c>
      <c r="O25" s="1658"/>
      <c r="P25" s="1130">
        <f t="shared" si="0"/>
        <v>90090273.329999998</v>
      </c>
    </row>
    <row r="26" spans="1:16" ht="14.5">
      <c r="A26" s="1791" t="s">
        <v>1704</v>
      </c>
      <c r="B26" s="1792">
        <v>0</v>
      </c>
      <c r="C26" s="1793"/>
      <c r="D26" s="1792">
        <v>0</v>
      </c>
      <c r="E26" s="1794"/>
      <c r="F26" s="1792">
        <v>0</v>
      </c>
      <c r="G26" s="1794"/>
      <c r="H26" s="1792">
        <v>0</v>
      </c>
      <c r="I26" s="1795"/>
      <c r="J26" s="1792">
        <v>23923.260000000002</v>
      </c>
      <c r="K26" s="1795"/>
      <c r="L26" s="1792">
        <v>0</v>
      </c>
      <c r="M26" s="1795"/>
      <c r="N26" s="1792">
        <v>0</v>
      </c>
      <c r="O26" s="1658"/>
      <c r="P26" s="1130">
        <f t="shared" si="0"/>
        <v>23923.260000000002</v>
      </c>
    </row>
    <row r="27" spans="1:16" ht="15" thickBot="1">
      <c r="A27" s="941" t="s">
        <v>44</v>
      </c>
      <c r="B27" s="594">
        <f>SUM(B7:B26)</f>
        <v>104830135.03999999</v>
      </c>
      <c r="C27" s="594"/>
      <c r="D27" s="594">
        <f t="shared" ref="D27:P27" si="1">SUM(D7:D26)</f>
        <v>85255323.479999989</v>
      </c>
      <c r="E27" s="594"/>
      <c r="F27" s="594">
        <f t="shared" si="1"/>
        <v>140483050.54000002</v>
      </c>
      <c r="G27" s="594"/>
      <c r="H27" s="594">
        <f t="shared" si="1"/>
        <v>303091591.19999993</v>
      </c>
      <c r="I27" s="594"/>
      <c r="J27" s="594">
        <f t="shared" si="1"/>
        <v>471971896.68000001</v>
      </c>
      <c r="K27" s="594"/>
      <c r="L27" s="594">
        <f t="shared" si="1"/>
        <v>227604454.06</v>
      </c>
      <c r="M27" s="594"/>
      <c r="N27" s="594">
        <f t="shared" si="1"/>
        <v>686634686.31999981</v>
      </c>
      <c r="O27" s="594"/>
      <c r="P27" s="594">
        <f t="shared" si="1"/>
        <v>2019871137.3199997</v>
      </c>
    </row>
    <row r="28" spans="1:16" ht="15" thickTop="1">
      <c r="A28" s="1192"/>
      <c r="B28" s="1135"/>
      <c r="C28" s="1132"/>
      <c r="D28" s="1135"/>
      <c r="E28" s="1134"/>
      <c r="F28" s="1135"/>
      <c r="G28" s="1134"/>
      <c r="H28" s="1135"/>
      <c r="I28" s="1133"/>
      <c r="J28" s="1135"/>
      <c r="K28" s="1133"/>
      <c r="L28" s="1135"/>
      <c r="M28" s="1133"/>
      <c r="N28" s="1135"/>
      <c r="P28" s="1659"/>
    </row>
    <row r="29" spans="1:16" s="1192" customFormat="1" ht="14.5"/>
    <row r="30" spans="1:16" s="1192" customFormat="1" ht="14.5"/>
    <row r="31" spans="1:16" ht="14.5">
      <c r="A31" s="582"/>
      <c r="B31" s="1660"/>
      <c r="C31" s="1661"/>
      <c r="D31" s="1660"/>
      <c r="E31" s="1660"/>
      <c r="F31" s="1660"/>
      <c r="G31" s="1660"/>
      <c r="H31" s="1657"/>
      <c r="I31" s="1662"/>
      <c r="J31" s="1663"/>
      <c r="K31" s="586"/>
    </row>
    <row r="32" spans="1:16" ht="14.5">
      <c r="A32" s="582"/>
      <c r="B32" s="1657"/>
      <c r="C32" s="1661"/>
      <c r="D32" s="1657"/>
      <c r="E32" s="1660"/>
      <c r="F32" s="1657"/>
      <c r="G32" s="1660"/>
      <c r="H32" s="1657"/>
      <c r="I32" s="1662"/>
      <c r="J32" s="1663"/>
      <c r="K32" s="586"/>
    </row>
    <row r="33" spans="1:12" ht="14.5">
      <c r="A33" s="582"/>
      <c r="B33" s="1660"/>
      <c r="C33" s="1661"/>
      <c r="D33" s="1660"/>
      <c r="E33" s="1660"/>
      <c r="F33" s="1660"/>
      <c r="G33" s="1660"/>
      <c r="H33" s="1657"/>
      <c r="I33" s="1662"/>
      <c r="J33" s="1663"/>
      <c r="K33" s="586"/>
    </row>
    <row r="34" spans="1:12" ht="14.5">
      <c r="A34" s="582"/>
      <c r="B34" s="1657"/>
      <c r="C34" s="1661"/>
      <c r="D34" s="1657"/>
      <c r="E34" s="1660"/>
      <c r="F34" s="1657"/>
      <c r="G34" s="1660"/>
      <c r="H34" s="1657"/>
      <c r="I34" s="1662"/>
      <c r="J34" s="1663"/>
      <c r="K34" s="586"/>
    </row>
    <row r="35" spans="1:12" ht="14.5">
      <c r="A35" s="582"/>
      <c r="B35" s="1660"/>
      <c r="C35" s="1661"/>
      <c r="D35" s="1660"/>
      <c r="E35" s="1660"/>
      <c r="F35" s="1660"/>
      <c r="G35" s="1660"/>
      <c r="H35" s="1657"/>
      <c r="I35" s="1662"/>
      <c r="J35" s="1663"/>
      <c r="K35" s="586"/>
    </row>
    <row r="36" spans="1:12" ht="14.5">
      <c r="A36" s="582"/>
      <c r="B36" s="1657"/>
      <c r="C36" s="1661"/>
      <c r="D36" s="1657"/>
      <c r="E36" s="1660"/>
      <c r="F36" s="1657"/>
      <c r="G36" s="1660"/>
      <c r="H36" s="1657"/>
      <c r="I36" s="1662"/>
      <c r="J36" s="1663"/>
      <c r="K36" s="586"/>
    </row>
    <row r="37" spans="1:12" ht="14.5">
      <c r="A37" s="582"/>
      <c r="B37" s="1660"/>
      <c r="C37" s="1661"/>
      <c r="D37" s="1660"/>
      <c r="E37" s="1660"/>
      <c r="F37" s="1660"/>
      <c r="G37" s="1660"/>
      <c r="H37" s="1657"/>
      <c r="I37" s="1662"/>
      <c r="J37" s="1663"/>
      <c r="K37" s="586"/>
    </row>
    <row r="38" spans="1:12" ht="14.5">
      <c r="A38" s="582"/>
      <c r="B38" s="1657"/>
      <c r="C38" s="1661"/>
      <c r="D38" s="1657"/>
      <c r="E38" s="1660"/>
      <c r="F38" s="1657"/>
      <c r="G38" s="1660"/>
      <c r="H38" s="1657"/>
      <c r="I38" s="1662"/>
      <c r="J38" s="1663"/>
      <c r="K38" s="586"/>
    </row>
    <row r="39" spans="1:12" ht="14.5">
      <c r="A39" s="582"/>
      <c r="B39" s="1660"/>
      <c r="C39" s="1661"/>
      <c r="D39" s="1660"/>
      <c r="E39" s="1660"/>
      <c r="F39" s="1660"/>
      <c r="G39" s="1660"/>
      <c r="H39" s="1664"/>
      <c r="I39" s="1662"/>
      <c r="J39" s="1663"/>
      <c r="K39" s="586"/>
    </row>
    <row r="40" spans="1:12" ht="14.5">
      <c r="A40" s="1192"/>
      <c r="B40" s="1192"/>
      <c r="C40" s="1192"/>
      <c r="D40" s="1192"/>
      <c r="E40" s="1192"/>
      <c r="F40" s="1192"/>
      <c r="G40" s="1192"/>
      <c r="H40" s="1192"/>
      <c r="I40" s="1192"/>
      <c r="J40" s="1192"/>
      <c r="K40" s="1192"/>
      <c r="L40" s="1192"/>
    </row>
    <row r="41" spans="1:12" ht="14.5">
      <c r="A41" s="1192"/>
      <c r="B41" s="1192"/>
      <c r="C41" s="1192"/>
      <c r="D41" s="1192"/>
      <c r="E41" s="1192"/>
      <c r="F41" s="1192"/>
      <c r="G41" s="1192"/>
      <c r="H41" s="1192"/>
      <c r="I41" s="1192"/>
      <c r="J41" s="1192"/>
      <c r="K41" s="1192"/>
      <c r="L41" s="1192"/>
    </row>
    <row r="42" spans="1:12" ht="14.5">
      <c r="A42" s="1192"/>
      <c r="B42" s="1192"/>
      <c r="C42" s="1192"/>
      <c r="D42" s="1192"/>
      <c r="E42" s="1192"/>
      <c r="F42" s="1192"/>
      <c r="G42" s="1192"/>
      <c r="H42" s="1192"/>
      <c r="I42" s="1192"/>
      <c r="J42" s="1192"/>
      <c r="K42" s="1192"/>
      <c r="L42" s="1192"/>
    </row>
    <row r="43" spans="1:12" ht="14.5">
      <c r="A43" s="1192"/>
      <c r="B43" s="1192"/>
      <c r="C43" s="1192"/>
      <c r="D43" s="1192"/>
      <c r="E43" s="1192"/>
      <c r="F43" s="1192"/>
      <c r="G43" s="1192"/>
      <c r="H43" s="1192"/>
      <c r="I43" s="1192"/>
      <c r="J43" s="1192"/>
      <c r="K43" s="1192"/>
      <c r="L43" s="1192"/>
    </row>
    <row r="44" spans="1:12">
      <c r="B44" s="1665"/>
      <c r="C44" s="1665"/>
      <c r="D44" s="1665"/>
      <c r="E44" s="1665"/>
      <c r="F44" s="1665"/>
      <c r="G44" s="1665"/>
      <c r="H44" s="1666"/>
      <c r="I44" s="1666"/>
      <c r="J44" s="1665"/>
    </row>
    <row r="45" spans="1:12">
      <c r="B45" s="1665"/>
      <c r="C45" s="1665"/>
      <c r="D45" s="1665"/>
      <c r="E45" s="1665"/>
      <c r="F45" s="1665"/>
      <c r="G45" s="1665"/>
      <c r="H45" s="1666"/>
      <c r="I45" s="1666"/>
      <c r="J45" s="1665"/>
    </row>
    <row r="46" spans="1:12">
      <c r="B46" s="1665"/>
      <c r="C46" s="1665"/>
      <c r="D46" s="1665"/>
      <c r="E46" s="1665"/>
      <c r="F46" s="1665"/>
      <c r="G46" s="1665"/>
      <c r="H46" s="1666"/>
      <c r="I46" s="1666"/>
      <c r="J46" s="1665"/>
    </row>
    <row r="47" spans="1:12">
      <c r="B47" s="1665"/>
      <c r="C47" s="1665"/>
      <c r="D47" s="1665"/>
      <c r="E47" s="1665"/>
      <c r="F47" s="1665"/>
      <c r="G47" s="1665"/>
      <c r="H47" s="1666"/>
      <c r="I47" s="1666"/>
      <c r="J47" s="1665"/>
    </row>
    <row r="48" spans="1:12">
      <c r="B48" s="1665"/>
      <c r="C48" s="1665"/>
      <c r="D48" s="1665"/>
      <c r="E48" s="1665"/>
      <c r="F48" s="1665"/>
      <c r="G48" s="1665"/>
      <c r="H48" s="1666"/>
      <c r="I48" s="1666"/>
      <c r="J48" s="1665"/>
    </row>
    <row r="49" spans="2:10">
      <c r="B49" s="1665"/>
      <c r="C49" s="1665"/>
      <c r="D49" s="1665"/>
      <c r="E49" s="1665"/>
      <c r="F49" s="1665"/>
      <c r="G49" s="1665"/>
      <c r="H49" s="1666"/>
      <c r="I49" s="1666"/>
      <c r="J49" s="1665"/>
    </row>
    <row r="50" spans="2:10">
      <c r="B50" s="1665"/>
      <c r="C50" s="1665"/>
      <c r="D50" s="1665"/>
      <c r="E50" s="1665"/>
      <c r="F50" s="1665"/>
      <c r="G50" s="1665"/>
      <c r="H50" s="1666"/>
      <c r="I50" s="1666"/>
      <c r="J50" s="1665"/>
    </row>
    <row r="51" spans="2:10">
      <c r="B51" s="1665"/>
      <c r="C51" s="1665"/>
      <c r="D51" s="1665"/>
      <c r="E51" s="1665"/>
      <c r="F51" s="1665"/>
      <c r="G51" s="1665"/>
      <c r="H51" s="1666"/>
      <c r="I51" s="1666"/>
      <c r="J51" s="1665"/>
    </row>
    <row r="52" spans="2:10">
      <c r="B52" s="1665"/>
      <c r="C52" s="1665"/>
      <c r="D52" s="1665"/>
      <c r="E52" s="1665"/>
      <c r="F52" s="1665"/>
      <c r="G52" s="1665"/>
      <c r="H52" s="1666"/>
      <c r="I52" s="1666"/>
      <c r="J52" s="1665"/>
    </row>
    <row r="53" spans="2:10">
      <c r="B53" s="1665"/>
      <c r="C53" s="1665"/>
      <c r="D53" s="1665"/>
      <c r="E53" s="1665"/>
      <c r="F53" s="1665"/>
      <c r="G53" s="1665"/>
      <c r="H53" s="1666"/>
      <c r="I53" s="1666"/>
      <c r="J53" s="1665"/>
    </row>
    <row r="54" spans="2:10">
      <c r="B54" s="1665"/>
      <c r="C54" s="1665"/>
      <c r="D54" s="1665"/>
      <c r="E54" s="1665"/>
      <c r="F54" s="1665"/>
      <c r="G54" s="1665"/>
      <c r="H54" s="1666"/>
      <c r="I54" s="1666"/>
      <c r="J54" s="1665"/>
    </row>
    <row r="55" spans="2:10">
      <c r="B55" s="1665"/>
      <c r="C55" s="1665"/>
      <c r="D55" s="1665"/>
      <c r="E55" s="1665"/>
      <c r="F55" s="1665"/>
      <c r="G55" s="1665"/>
      <c r="H55" s="1666"/>
      <c r="I55" s="1666"/>
      <c r="J55" s="1665"/>
    </row>
    <row r="56" spans="2:10">
      <c r="B56" s="1665"/>
      <c r="C56" s="1665"/>
      <c r="D56" s="1665"/>
      <c r="E56" s="1665"/>
      <c r="F56" s="1665"/>
      <c r="G56" s="1665"/>
      <c r="H56" s="1666"/>
      <c r="I56" s="1666"/>
      <c r="J56" s="1665"/>
    </row>
    <row r="57" spans="2:10">
      <c r="B57" s="1665"/>
      <c r="C57" s="1665"/>
      <c r="D57" s="1665"/>
      <c r="E57" s="1665"/>
      <c r="F57" s="1665"/>
      <c r="G57" s="1665"/>
      <c r="H57" s="1666"/>
      <c r="I57" s="1666"/>
      <c r="J57" s="1665"/>
    </row>
    <row r="58" spans="2:10">
      <c r="B58" s="1665"/>
      <c r="C58" s="1665"/>
      <c r="D58" s="1665"/>
      <c r="E58" s="1665"/>
      <c r="F58" s="1665"/>
      <c r="G58" s="1665"/>
      <c r="H58" s="1666"/>
      <c r="I58" s="1666"/>
      <c r="J58" s="1665"/>
    </row>
    <row r="59" spans="2:10">
      <c r="B59" s="1665"/>
      <c r="C59" s="1665"/>
      <c r="D59" s="1665"/>
      <c r="E59" s="1665"/>
      <c r="F59" s="1665"/>
      <c r="G59" s="1665"/>
      <c r="H59" s="1666"/>
      <c r="I59" s="1666"/>
      <c r="J59" s="1665"/>
    </row>
    <row r="60" spans="2:10">
      <c r="B60" s="1665"/>
      <c r="C60" s="1665"/>
      <c r="D60" s="1665"/>
      <c r="E60" s="1665"/>
      <c r="F60" s="1665"/>
      <c r="G60" s="1665"/>
      <c r="H60" s="1666"/>
      <c r="I60" s="1666"/>
      <c r="J60" s="1665"/>
    </row>
    <row r="61" spans="2:10">
      <c r="B61" s="1665"/>
      <c r="C61" s="1665"/>
      <c r="D61" s="1665"/>
      <c r="E61" s="1665"/>
      <c r="F61" s="1665"/>
      <c r="G61" s="1665"/>
      <c r="H61" s="1666"/>
      <c r="I61" s="1666"/>
      <c r="J61" s="1665"/>
    </row>
    <row r="62" spans="2:10">
      <c r="B62" s="1665"/>
      <c r="C62" s="1665"/>
      <c r="D62" s="1665"/>
      <c r="E62" s="1665"/>
      <c r="F62" s="1665"/>
      <c r="G62" s="1665"/>
      <c r="H62" s="1666"/>
      <c r="I62" s="1666"/>
      <c r="J62" s="1665"/>
    </row>
    <row r="63" spans="2:10">
      <c r="B63" s="1665"/>
      <c r="C63" s="1665"/>
      <c r="D63" s="1665"/>
      <c r="E63" s="1665"/>
      <c r="F63" s="1665"/>
      <c r="G63" s="1665"/>
      <c r="H63" s="1666"/>
      <c r="I63" s="1666"/>
      <c r="J63" s="1665"/>
    </row>
    <row r="64" spans="2:10">
      <c r="B64" s="1665"/>
      <c r="C64" s="1665"/>
      <c r="D64" s="1665"/>
      <c r="E64" s="1665"/>
      <c r="F64" s="1665"/>
      <c r="G64" s="1665"/>
      <c r="H64" s="1666"/>
      <c r="I64" s="1666"/>
      <c r="J64" s="1665"/>
    </row>
    <row r="65" spans="2:10">
      <c r="B65" s="1665"/>
      <c r="C65" s="1665"/>
      <c r="D65" s="1665"/>
      <c r="E65" s="1665"/>
      <c r="F65" s="1665"/>
      <c r="G65" s="1665"/>
      <c r="H65" s="1666"/>
      <c r="I65" s="1666"/>
      <c r="J65" s="1665"/>
    </row>
    <row r="66" spans="2:10">
      <c r="B66" s="1665"/>
      <c r="C66" s="1665"/>
      <c r="D66" s="1665"/>
      <c r="E66" s="1665"/>
      <c r="F66" s="1665"/>
      <c r="G66" s="1665"/>
      <c r="H66" s="1666"/>
      <c r="I66" s="1666"/>
      <c r="J66" s="1665"/>
    </row>
    <row r="67" spans="2:10">
      <c r="B67" s="1665"/>
      <c r="C67" s="1665"/>
      <c r="D67" s="1665"/>
      <c r="E67" s="1665"/>
      <c r="F67" s="1665"/>
      <c r="G67" s="1665"/>
      <c r="H67" s="1666"/>
      <c r="I67" s="1666"/>
      <c r="J67" s="1665"/>
    </row>
    <row r="68" spans="2:10">
      <c r="B68" s="1665"/>
      <c r="C68" s="1665"/>
      <c r="D68" s="1665"/>
      <c r="E68" s="1665"/>
      <c r="F68" s="1665"/>
      <c r="G68" s="1665"/>
      <c r="H68" s="1666"/>
      <c r="I68" s="1666"/>
      <c r="J68" s="1665"/>
    </row>
    <row r="69" spans="2:10">
      <c r="B69" s="1665"/>
      <c r="C69" s="1665"/>
      <c r="D69" s="1665"/>
      <c r="E69" s="1665"/>
      <c r="F69" s="1665"/>
      <c r="G69" s="1665"/>
      <c r="H69" s="1666"/>
      <c r="I69" s="1666"/>
      <c r="J69" s="1665"/>
    </row>
    <row r="70" spans="2:10">
      <c r="B70" s="1665"/>
      <c r="C70" s="1665"/>
      <c r="D70" s="1665"/>
      <c r="E70" s="1665"/>
      <c r="F70" s="1665"/>
      <c r="G70" s="1665"/>
      <c r="H70" s="1666"/>
      <c r="I70" s="1666"/>
      <c r="J70" s="1665"/>
    </row>
    <row r="71" spans="2:10">
      <c r="B71" s="1665"/>
      <c r="C71" s="1665"/>
      <c r="D71" s="1665"/>
      <c r="E71" s="1665"/>
      <c r="F71" s="1665"/>
      <c r="G71" s="1665"/>
      <c r="H71" s="1666"/>
      <c r="I71" s="1666"/>
      <c r="J71" s="1665"/>
    </row>
    <row r="72" spans="2:10">
      <c r="B72" s="1665"/>
      <c r="C72" s="1665"/>
      <c r="D72" s="1665"/>
      <c r="E72" s="1665"/>
      <c r="F72" s="1665"/>
      <c r="G72" s="1665"/>
      <c r="H72" s="1666"/>
      <c r="I72" s="1666"/>
      <c r="J72" s="1665"/>
    </row>
    <row r="73" spans="2:10">
      <c r="B73" s="1665"/>
      <c r="C73" s="1665"/>
      <c r="D73" s="1665"/>
      <c r="E73" s="1665"/>
      <c r="F73" s="1665"/>
      <c r="G73" s="1665"/>
      <c r="H73" s="1666"/>
      <c r="I73" s="1666"/>
      <c r="J73" s="1665"/>
    </row>
    <row r="74" spans="2:10">
      <c r="B74" s="1665"/>
      <c r="C74" s="1665"/>
      <c r="D74" s="1665"/>
      <c r="E74" s="1665"/>
      <c r="F74" s="1665"/>
      <c r="G74" s="1665"/>
      <c r="H74" s="1666"/>
      <c r="I74" s="1666"/>
      <c r="J74" s="1665"/>
    </row>
    <row r="75" spans="2:10">
      <c r="B75" s="1665"/>
      <c r="C75" s="1665"/>
      <c r="D75" s="1665"/>
      <c r="E75" s="1665"/>
      <c r="F75" s="1665"/>
      <c r="G75" s="1665"/>
      <c r="H75" s="1666"/>
      <c r="I75" s="1666"/>
      <c r="J75" s="1665"/>
    </row>
    <row r="76" spans="2:10">
      <c r="B76" s="1665"/>
      <c r="C76" s="1665"/>
      <c r="D76" s="1665"/>
      <c r="E76" s="1665"/>
      <c r="F76" s="1665"/>
      <c r="G76" s="1665"/>
      <c r="H76" s="1666"/>
      <c r="I76" s="1666"/>
      <c r="J76" s="1665"/>
    </row>
    <row r="77" spans="2:10">
      <c r="B77" s="1665"/>
      <c r="C77" s="1665"/>
      <c r="D77" s="1665"/>
      <c r="E77" s="1665"/>
      <c r="F77" s="1665"/>
      <c r="G77" s="1665"/>
      <c r="H77" s="1666"/>
      <c r="I77" s="1666"/>
      <c r="J77" s="1665"/>
    </row>
    <row r="78" spans="2:10">
      <c r="B78" s="1665"/>
      <c r="C78" s="1665"/>
      <c r="D78" s="1665"/>
      <c r="E78" s="1665"/>
      <c r="F78" s="1665"/>
      <c r="G78" s="1665"/>
      <c r="H78" s="1666"/>
      <c r="I78" s="1666"/>
      <c r="J78" s="1665"/>
    </row>
    <row r="79" spans="2:10">
      <c r="B79" s="1665"/>
      <c r="C79" s="1665"/>
      <c r="D79" s="1665"/>
      <c r="E79" s="1665"/>
      <c r="F79" s="1665"/>
      <c r="G79" s="1665"/>
      <c r="H79" s="1666"/>
      <c r="I79" s="1666"/>
      <c r="J79" s="1665"/>
    </row>
    <row r="80" spans="2:10">
      <c r="B80" s="1665"/>
      <c r="C80" s="1665"/>
      <c r="D80" s="1665"/>
      <c r="E80" s="1665"/>
      <c r="F80" s="1665"/>
      <c r="G80" s="1665"/>
      <c r="H80" s="1666"/>
      <c r="I80" s="1666"/>
      <c r="J80" s="1665"/>
    </row>
    <row r="81" spans="2:10">
      <c r="B81" s="1665"/>
      <c r="C81" s="1665"/>
      <c r="D81" s="1665"/>
      <c r="E81" s="1665"/>
      <c r="F81" s="1665"/>
      <c r="G81" s="1665"/>
      <c r="H81" s="1666"/>
      <c r="I81" s="1666"/>
      <c r="J81" s="1665"/>
    </row>
    <row r="82" spans="2:10">
      <c r="B82" s="1665"/>
      <c r="C82" s="1665"/>
      <c r="D82" s="1665"/>
      <c r="E82" s="1665"/>
      <c r="F82" s="1665"/>
      <c r="G82" s="1665"/>
      <c r="H82" s="1666"/>
      <c r="I82" s="1666"/>
      <c r="J82" s="1665"/>
    </row>
    <row r="83" spans="2:10">
      <c r="B83" s="1665"/>
      <c r="C83" s="1665"/>
      <c r="D83" s="1665"/>
      <c r="E83" s="1665"/>
      <c r="F83" s="1665"/>
      <c r="G83" s="1665"/>
      <c r="H83" s="1666"/>
      <c r="I83" s="1666"/>
      <c r="J83" s="1665"/>
    </row>
    <row r="84" spans="2:10">
      <c r="B84" s="1665"/>
      <c r="C84" s="1665"/>
      <c r="D84" s="1665"/>
      <c r="E84" s="1665"/>
      <c r="F84" s="1665"/>
      <c r="G84" s="1665"/>
      <c r="H84" s="1666"/>
      <c r="I84" s="1666"/>
      <c r="J84" s="1665"/>
    </row>
    <row r="85" spans="2:10">
      <c r="B85" s="1665"/>
      <c r="C85" s="1665"/>
      <c r="D85" s="1665"/>
      <c r="E85" s="1665"/>
      <c r="F85" s="1665"/>
      <c r="G85" s="1665"/>
      <c r="H85" s="1666"/>
      <c r="I85" s="1666"/>
      <c r="J85" s="1665"/>
    </row>
    <row r="86" spans="2:10">
      <c r="B86" s="1665"/>
      <c r="C86" s="1665"/>
      <c r="D86" s="1665"/>
      <c r="E86" s="1665"/>
      <c r="F86" s="1665"/>
      <c r="G86" s="1665"/>
      <c r="H86" s="1666"/>
      <c r="I86" s="1666"/>
      <c r="J86" s="1665"/>
    </row>
    <row r="87" spans="2:10">
      <c r="B87" s="1665"/>
      <c r="C87" s="1665"/>
      <c r="D87" s="1665"/>
      <c r="E87" s="1665"/>
      <c r="F87" s="1665"/>
      <c r="G87" s="1665"/>
      <c r="H87" s="1666"/>
      <c r="I87" s="1666"/>
      <c r="J87" s="1665"/>
    </row>
    <row r="88" spans="2:10">
      <c r="B88" s="1665"/>
      <c r="C88" s="1665"/>
      <c r="D88" s="1665"/>
      <c r="E88" s="1665"/>
      <c r="F88" s="1665"/>
      <c r="G88" s="1665"/>
      <c r="H88" s="1666"/>
      <c r="I88" s="1666"/>
      <c r="J88" s="1665"/>
    </row>
    <row r="89" spans="2:10">
      <c r="B89" s="1665"/>
      <c r="C89" s="1665"/>
      <c r="D89" s="1665"/>
      <c r="E89" s="1665"/>
      <c r="F89" s="1665"/>
      <c r="G89" s="1665"/>
      <c r="H89" s="1666"/>
      <c r="I89" s="1666"/>
      <c r="J89" s="1665"/>
    </row>
    <row r="90" spans="2:10">
      <c r="B90" s="1665"/>
      <c r="C90" s="1665"/>
      <c r="D90" s="1665"/>
      <c r="E90" s="1665"/>
      <c r="F90" s="1665"/>
      <c r="G90" s="1665"/>
      <c r="H90" s="1666"/>
      <c r="I90" s="1666"/>
      <c r="J90" s="1665"/>
    </row>
    <row r="91" spans="2:10">
      <c r="B91" s="1665"/>
      <c r="C91" s="1665"/>
      <c r="D91" s="1665"/>
      <c r="E91" s="1665"/>
      <c r="F91" s="1665"/>
      <c r="G91" s="1665"/>
      <c r="H91" s="1666"/>
      <c r="I91" s="1666"/>
      <c r="J91" s="1665"/>
    </row>
    <row r="92" spans="2:10">
      <c r="B92" s="1665"/>
      <c r="C92" s="1665"/>
      <c r="D92" s="1665"/>
      <c r="E92" s="1665"/>
      <c r="F92" s="1665"/>
      <c r="G92" s="1665"/>
      <c r="H92" s="1666"/>
      <c r="I92" s="1666"/>
      <c r="J92" s="1665"/>
    </row>
    <row r="93" spans="2:10">
      <c r="B93" s="1665"/>
      <c r="C93" s="1665"/>
      <c r="D93" s="1665"/>
      <c r="E93" s="1665"/>
      <c r="F93" s="1665"/>
      <c r="G93" s="1665"/>
      <c r="H93" s="1666"/>
      <c r="I93" s="1666"/>
      <c r="J93" s="1665"/>
    </row>
    <row r="94" spans="2:10">
      <c r="B94" s="1665"/>
      <c r="C94" s="1665"/>
      <c r="D94" s="1665"/>
      <c r="E94" s="1665"/>
      <c r="F94" s="1665"/>
      <c r="G94" s="1665"/>
      <c r="H94" s="1666"/>
      <c r="I94" s="1666"/>
      <c r="J94" s="1665"/>
    </row>
    <row r="95" spans="2:10">
      <c r="B95" s="1665"/>
      <c r="C95" s="1665"/>
      <c r="D95" s="1665"/>
      <c r="E95" s="1665"/>
      <c r="F95" s="1665"/>
      <c r="G95" s="1665"/>
      <c r="H95" s="1666"/>
      <c r="I95" s="1666"/>
      <c r="J95" s="1665"/>
    </row>
    <row r="96" spans="2:10">
      <c r="B96" s="1665"/>
      <c r="C96" s="1665"/>
      <c r="D96" s="1665"/>
      <c r="E96" s="1665"/>
      <c r="F96" s="1665"/>
      <c r="G96" s="1665"/>
      <c r="H96" s="1666"/>
      <c r="I96" s="1666"/>
      <c r="J96" s="1665"/>
    </row>
    <row r="97" spans="2:10">
      <c r="B97" s="1665"/>
      <c r="C97" s="1665"/>
      <c r="D97" s="1665"/>
      <c r="E97" s="1665"/>
      <c r="F97" s="1665"/>
      <c r="G97" s="1665"/>
      <c r="H97" s="1666"/>
      <c r="I97" s="1666"/>
      <c r="J97" s="1665"/>
    </row>
    <row r="98" spans="2:10">
      <c r="B98" s="1665"/>
      <c r="C98" s="1665"/>
      <c r="D98" s="1665"/>
      <c r="E98" s="1665"/>
      <c r="F98" s="1665"/>
      <c r="G98" s="1665"/>
      <c r="H98" s="1666"/>
      <c r="I98" s="1666"/>
      <c r="J98" s="1665"/>
    </row>
    <row r="99" spans="2:10">
      <c r="B99" s="1665"/>
      <c r="C99" s="1665"/>
      <c r="D99" s="1665"/>
      <c r="E99" s="1665"/>
      <c r="F99" s="1665"/>
      <c r="G99" s="1665"/>
      <c r="H99" s="1666"/>
      <c r="I99" s="1666"/>
      <c r="J99" s="1665"/>
    </row>
    <row r="100" spans="2:10">
      <c r="B100" s="1665"/>
      <c r="C100" s="1665"/>
      <c r="D100" s="1665"/>
      <c r="E100" s="1665"/>
      <c r="F100" s="1665"/>
      <c r="G100" s="1665"/>
      <c r="H100" s="1666"/>
      <c r="I100" s="1666"/>
      <c r="J100" s="1665"/>
    </row>
    <row r="101" spans="2:10">
      <c r="B101" s="1665"/>
      <c r="C101" s="1665"/>
      <c r="D101" s="1665"/>
      <c r="E101" s="1665"/>
      <c r="F101" s="1665"/>
      <c r="G101" s="1665"/>
      <c r="H101" s="1666"/>
      <c r="I101" s="1666"/>
      <c r="J101" s="1665"/>
    </row>
    <row r="102" spans="2:10">
      <c r="B102" s="1665"/>
      <c r="C102" s="1665"/>
      <c r="D102" s="1665"/>
      <c r="E102" s="1665"/>
      <c r="F102" s="1665"/>
      <c r="G102" s="1665"/>
      <c r="H102" s="1666"/>
      <c r="I102" s="1666"/>
      <c r="J102" s="1665"/>
    </row>
    <row r="103" spans="2:10">
      <c r="B103" s="1665"/>
      <c r="C103" s="1665"/>
      <c r="D103" s="1665"/>
      <c r="E103" s="1665"/>
      <c r="F103" s="1665"/>
      <c r="G103" s="1665"/>
      <c r="H103" s="1666"/>
      <c r="I103" s="1666"/>
      <c r="J103" s="1665"/>
    </row>
    <row r="104" spans="2:10">
      <c r="B104" s="1665"/>
      <c r="C104" s="1665"/>
      <c r="D104" s="1665"/>
      <c r="E104" s="1665"/>
      <c r="F104" s="1665"/>
      <c r="G104" s="1665"/>
      <c r="H104" s="1666"/>
      <c r="I104" s="1666"/>
      <c r="J104" s="1665"/>
    </row>
    <row r="105" spans="2:10">
      <c r="B105" s="1665"/>
      <c r="C105" s="1665"/>
      <c r="D105" s="1665"/>
      <c r="E105" s="1665"/>
      <c r="F105" s="1665"/>
      <c r="G105" s="1665"/>
      <c r="H105" s="1666"/>
      <c r="I105" s="1666"/>
      <c r="J105" s="1665"/>
    </row>
    <row r="106" spans="2:10">
      <c r="B106" s="1665"/>
      <c r="C106" s="1665"/>
      <c r="D106" s="1665"/>
      <c r="E106" s="1665"/>
      <c r="F106" s="1665"/>
      <c r="G106" s="1665"/>
      <c r="H106" s="1666"/>
      <c r="I106" s="1666"/>
      <c r="J106" s="1665"/>
    </row>
    <row r="107" spans="2:10">
      <c r="B107" s="1665"/>
      <c r="C107" s="1665"/>
      <c r="D107" s="1665"/>
      <c r="E107" s="1665"/>
      <c r="F107" s="1665"/>
      <c r="G107" s="1665"/>
      <c r="H107" s="1666"/>
      <c r="I107" s="1666"/>
      <c r="J107" s="1665"/>
    </row>
    <row r="108" spans="2:10">
      <c r="B108" s="1665"/>
      <c r="C108" s="1665"/>
      <c r="D108" s="1665"/>
      <c r="E108" s="1665"/>
      <c r="F108" s="1665"/>
      <c r="G108" s="1665"/>
      <c r="H108" s="1666"/>
      <c r="I108" s="1666"/>
      <c r="J108" s="1665"/>
    </row>
    <row r="109" spans="2:10">
      <c r="B109" s="1665"/>
      <c r="C109" s="1665"/>
      <c r="D109" s="1665"/>
      <c r="E109" s="1665"/>
      <c r="F109" s="1665"/>
      <c r="G109" s="1665"/>
      <c r="H109" s="1666"/>
      <c r="I109" s="1666"/>
      <c r="J109" s="1665"/>
    </row>
    <row r="110" spans="2:10">
      <c r="B110" s="1665"/>
      <c r="C110" s="1665"/>
      <c r="D110" s="1665"/>
      <c r="E110" s="1665"/>
      <c r="F110" s="1665"/>
      <c r="G110" s="1665"/>
      <c r="H110" s="1666"/>
      <c r="I110" s="1666"/>
      <c r="J110" s="1665"/>
    </row>
    <row r="111" spans="2:10">
      <c r="B111" s="1665"/>
      <c r="C111" s="1665"/>
      <c r="D111" s="1665"/>
      <c r="E111" s="1665"/>
      <c r="F111" s="1665"/>
      <c r="G111" s="1665"/>
      <c r="H111" s="1666"/>
      <c r="I111" s="1666"/>
      <c r="J111" s="1665"/>
    </row>
    <row r="112" spans="2:10">
      <c r="B112" s="1665"/>
      <c r="C112" s="1665"/>
      <c r="D112" s="1665"/>
      <c r="E112" s="1665"/>
      <c r="F112" s="1665"/>
      <c r="G112" s="1665"/>
      <c r="H112" s="1666"/>
      <c r="I112" s="1666"/>
      <c r="J112" s="1665"/>
    </row>
    <row r="113" spans="2:10">
      <c r="B113" s="1665"/>
      <c r="C113" s="1665"/>
      <c r="D113" s="1665"/>
      <c r="E113" s="1665"/>
      <c r="F113" s="1665"/>
      <c r="G113" s="1665"/>
      <c r="H113" s="1666"/>
      <c r="I113" s="1666"/>
      <c r="J113" s="1665"/>
    </row>
    <row r="114" spans="2:10">
      <c r="B114" s="1665"/>
      <c r="C114" s="1665"/>
      <c r="D114" s="1665"/>
      <c r="E114" s="1665"/>
      <c r="F114" s="1665"/>
      <c r="G114" s="1665"/>
      <c r="H114" s="1666"/>
      <c r="I114" s="1666"/>
      <c r="J114" s="1665"/>
    </row>
    <row r="115" spans="2:10">
      <c r="B115" s="1665"/>
      <c r="C115" s="1665"/>
      <c r="D115" s="1665"/>
      <c r="E115" s="1665"/>
      <c r="F115" s="1665"/>
      <c r="G115" s="1665"/>
      <c r="H115" s="1666"/>
      <c r="I115" s="1666"/>
      <c r="J115" s="1665"/>
    </row>
    <row r="116" spans="2:10">
      <c r="B116" s="1665"/>
      <c r="C116" s="1665"/>
      <c r="D116" s="1665"/>
      <c r="E116" s="1665"/>
      <c r="F116" s="1665"/>
      <c r="G116" s="1665"/>
      <c r="H116" s="1666"/>
      <c r="I116" s="1666"/>
      <c r="J116" s="1665"/>
    </row>
    <row r="117" spans="2:10">
      <c r="B117" s="1665"/>
      <c r="C117" s="1665"/>
      <c r="D117" s="1665"/>
      <c r="E117" s="1665"/>
      <c r="F117" s="1665"/>
      <c r="G117" s="1665"/>
      <c r="H117" s="1666"/>
      <c r="I117" s="1666"/>
      <c r="J117" s="1665"/>
    </row>
    <row r="118" spans="2:10">
      <c r="B118" s="1665"/>
      <c r="C118" s="1665"/>
      <c r="D118" s="1665"/>
      <c r="E118" s="1665"/>
      <c r="F118" s="1665"/>
      <c r="G118" s="1665"/>
      <c r="H118" s="1666"/>
      <c r="I118" s="1666"/>
      <c r="J118" s="1665"/>
    </row>
    <row r="119" spans="2:10">
      <c r="B119" s="1665"/>
      <c r="C119" s="1665"/>
      <c r="D119" s="1665"/>
      <c r="E119" s="1665"/>
      <c r="F119" s="1665"/>
      <c r="G119" s="1665"/>
      <c r="H119" s="1666"/>
      <c r="I119" s="1666"/>
      <c r="J119" s="1665"/>
    </row>
    <row r="120" spans="2:10">
      <c r="B120" s="1665"/>
      <c r="C120" s="1665"/>
      <c r="D120" s="1665"/>
      <c r="E120" s="1665"/>
      <c r="F120" s="1665"/>
      <c r="G120" s="1665"/>
      <c r="H120" s="1666"/>
      <c r="I120" s="1666"/>
      <c r="J120" s="1665"/>
    </row>
    <row r="121" spans="2:10">
      <c r="B121" s="1665"/>
      <c r="C121" s="1665"/>
      <c r="D121" s="1665"/>
      <c r="E121" s="1665"/>
      <c r="F121" s="1665"/>
      <c r="G121" s="1665"/>
      <c r="H121" s="1666"/>
      <c r="I121" s="1666"/>
      <c r="J121" s="1665"/>
    </row>
    <row r="122" spans="2:10">
      <c r="B122" s="1665"/>
      <c r="C122" s="1665"/>
      <c r="D122" s="1665"/>
      <c r="E122" s="1665"/>
      <c r="F122" s="1665"/>
      <c r="G122" s="1665"/>
      <c r="H122" s="1666"/>
      <c r="I122" s="1666"/>
      <c r="J122" s="1665"/>
    </row>
    <row r="123" spans="2:10">
      <c r="B123" s="1665"/>
      <c r="C123" s="1665"/>
      <c r="D123" s="1665"/>
      <c r="E123" s="1665"/>
      <c r="F123" s="1665"/>
      <c r="G123" s="1665"/>
      <c r="H123" s="1666"/>
      <c r="I123" s="1666"/>
      <c r="J123" s="1665"/>
    </row>
    <row r="124" spans="2:10">
      <c r="B124" s="1665"/>
      <c r="C124" s="1665"/>
      <c r="D124" s="1665"/>
      <c r="E124" s="1665"/>
      <c r="F124" s="1665"/>
      <c r="G124" s="1665"/>
      <c r="H124" s="1666"/>
      <c r="I124" s="1666"/>
      <c r="J124" s="1665"/>
    </row>
    <row r="125" spans="2:10">
      <c r="B125" s="1665"/>
      <c r="C125" s="1665"/>
      <c r="D125" s="1665"/>
      <c r="E125" s="1665"/>
      <c r="F125" s="1665"/>
      <c r="G125" s="1665"/>
      <c r="H125" s="1666"/>
      <c r="I125" s="1666"/>
      <c r="J125" s="1665"/>
    </row>
    <row r="126" spans="2:10">
      <c r="B126" s="1665"/>
      <c r="C126" s="1665"/>
      <c r="D126" s="1665"/>
      <c r="E126" s="1665"/>
      <c r="F126" s="1665"/>
      <c r="G126" s="1665"/>
      <c r="H126" s="1666"/>
      <c r="I126" s="1666"/>
      <c r="J126" s="1665"/>
    </row>
    <row r="127" spans="2:10">
      <c r="B127" s="1665"/>
      <c r="C127" s="1665"/>
      <c r="D127" s="1665"/>
      <c r="E127" s="1665"/>
      <c r="F127" s="1665"/>
      <c r="G127" s="1665"/>
      <c r="H127" s="1666"/>
      <c r="I127" s="1666"/>
      <c r="J127" s="1665"/>
    </row>
    <row r="128" spans="2:10">
      <c r="B128" s="1665"/>
      <c r="C128" s="1665"/>
      <c r="D128" s="1665"/>
      <c r="E128" s="1665"/>
      <c r="F128" s="1665"/>
      <c r="G128" s="1665"/>
      <c r="H128" s="1666"/>
      <c r="I128" s="1666"/>
      <c r="J128" s="1665"/>
    </row>
    <row r="129" spans="2:10">
      <c r="B129" s="1665"/>
      <c r="C129" s="1665"/>
      <c r="D129" s="1665"/>
      <c r="E129" s="1665"/>
      <c r="F129" s="1665"/>
      <c r="G129" s="1665"/>
      <c r="H129" s="1666"/>
      <c r="I129" s="1666"/>
      <c r="J129" s="1665"/>
    </row>
    <row r="130" spans="2:10">
      <c r="B130" s="1665"/>
      <c r="C130" s="1665"/>
      <c r="D130" s="1665"/>
      <c r="E130" s="1665"/>
      <c r="F130" s="1665"/>
      <c r="G130" s="1665"/>
      <c r="H130" s="1666"/>
      <c r="I130" s="1666"/>
      <c r="J130" s="1665"/>
    </row>
    <row r="131" spans="2:10">
      <c r="B131" s="1665"/>
      <c r="C131" s="1665"/>
      <c r="D131" s="1665"/>
      <c r="E131" s="1665"/>
      <c r="F131" s="1665"/>
      <c r="G131" s="1665"/>
      <c r="H131" s="1666"/>
      <c r="I131" s="1666"/>
      <c r="J131" s="1665"/>
    </row>
    <row r="132" spans="2:10">
      <c r="B132" s="1665"/>
      <c r="C132" s="1665"/>
      <c r="D132" s="1665"/>
      <c r="E132" s="1665"/>
      <c r="F132" s="1665"/>
      <c r="G132" s="1665"/>
      <c r="H132" s="1666"/>
      <c r="I132" s="1666"/>
      <c r="J132" s="1665"/>
    </row>
    <row r="133" spans="2:10">
      <c r="B133" s="1665"/>
      <c r="C133" s="1665"/>
      <c r="D133" s="1665"/>
      <c r="E133" s="1665"/>
      <c r="F133" s="1665"/>
      <c r="G133" s="1665"/>
      <c r="H133" s="1666"/>
      <c r="I133" s="1666"/>
      <c r="J133" s="1665"/>
    </row>
    <row r="134" spans="2:10">
      <c r="B134" s="1665"/>
      <c r="C134" s="1665"/>
      <c r="D134" s="1665"/>
      <c r="E134" s="1665"/>
      <c r="F134" s="1665"/>
      <c r="G134" s="1665"/>
      <c r="H134" s="1666"/>
      <c r="I134" s="1666"/>
      <c r="J134" s="1665"/>
    </row>
    <row r="135" spans="2:10">
      <c r="B135" s="1665"/>
      <c r="C135" s="1665"/>
      <c r="D135" s="1665"/>
      <c r="E135" s="1665"/>
      <c r="F135" s="1665"/>
      <c r="G135" s="1665"/>
      <c r="H135" s="1666"/>
      <c r="I135" s="1666"/>
      <c r="J135" s="1665"/>
    </row>
    <row r="136" spans="2:10">
      <c r="B136" s="1665"/>
      <c r="C136" s="1665"/>
      <c r="D136" s="1665"/>
      <c r="E136" s="1665"/>
      <c r="F136" s="1665"/>
      <c r="G136" s="1665"/>
      <c r="H136" s="1666"/>
      <c r="I136" s="1666"/>
      <c r="J136" s="1665"/>
    </row>
    <row r="137" spans="2:10">
      <c r="B137" s="1665"/>
      <c r="C137" s="1665"/>
      <c r="D137" s="1665"/>
      <c r="E137" s="1665"/>
      <c r="F137" s="1665"/>
      <c r="G137" s="1665"/>
      <c r="H137" s="1666"/>
      <c r="I137" s="1666"/>
      <c r="J137" s="1665"/>
    </row>
    <row r="138" spans="2:10">
      <c r="B138" s="1665"/>
      <c r="C138" s="1665"/>
      <c r="D138" s="1665"/>
      <c r="E138" s="1665"/>
      <c r="F138" s="1665"/>
      <c r="G138" s="1665"/>
      <c r="H138" s="1666"/>
      <c r="I138" s="1666"/>
      <c r="J138" s="1665"/>
    </row>
    <row r="139" spans="2:10">
      <c r="B139" s="1665"/>
      <c r="C139" s="1665"/>
      <c r="D139" s="1665"/>
      <c r="E139" s="1665"/>
      <c r="F139" s="1665"/>
      <c r="G139" s="1665"/>
      <c r="H139" s="1666"/>
      <c r="I139" s="1666"/>
      <c r="J139" s="1665"/>
    </row>
    <row r="140" spans="2:10">
      <c r="B140" s="1665"/>
      <c r="C140" s="1665"/>
      <c r="D140" s="1665"/>
      <c r="E140" s="1665"/>
      <c r="F140" s="1665"/>
      <c r="G140" s="1665"/>
      <c r="H140" s="1666"/>
      <c r="I140" s="1666"/>
      <c r="J140" s="1665"/>
    </row>
    <row r="141" spans="2:10">
      <c r="B141" s="1665"/>
      <c r="C141" s="1665"/>
      <c r="D141" s="1665"/>
      <c r="E141" s="1665"/>
      <c r="F141" s="1665"/>
      <c r="G141" s="1665"/>
      <c r="H141" s="1666"/>
      <c r="I141" s="1666"/>
      <c r="J141" s="1665"/>
    </row>
    <row r="142" spans="2:10">
      <c r="B142" s="1665"/>
      <c r="C142" s="1665"/>
      <c r="D142" s="1665"/>
      <c r="E142" s="1665"/>
      <c r="F142" s="1665"/>
      <c r="G142" s="1665"/>
      <c r="H142" s="1666"/>
      <c r="I142" s="1666"/>
      <c r="J142" s="1665"/>
    </row>
    <row r="143" spans="2:10">
      <c r="B143" s="1665"/>
      <c r="C143" s="1665"/>
      <c r="D143" s="1665"/>
      <c r="E143" s="1665"/>
      <c r="F143" s="1665"/>
      <c r="G143" s="1665"/>
      <c r="H143" s="1666"/>
      <c r="I143" s="1666"/>
      <c r="J143" s="1665"/>
    </row>
    <row r="144" spans="2:10">
      <c r="B144" s="1665"/>
      <c r="C144" s="1665"/>
      <c r="D144" s="1665"/>
      <c r="E144" s="1665"/>
      <c r="F144" s="1665"/>
      <c r="G144" s="1665"/>
      <c r="H144" s="1666"/>
      <c r="I144" s="1666"/>
      <c r="J144" s="1665"/>
    </row>
    <row r="145" spans="2:10">
      <c r="B145" s="1665"/>
      <c r="C145" s="1665"/>
      <c r="D145" s="1665"/>
      <c r="E145" s="1665"/>
      <c r="F145" s="1665"/>
      <c r="G145" s="1665"/>
      <c r="H145" s="1666"/>
      <c r="I145" s="1666"/>
      <c r="J145" s="1665"/>
    </row>
    <row r="146" spans="2:10">
      <c r="B146" s="1665"/>
      <c r="C146" s="1665"/>
      <c r="D146" s="1665"/>
      <c r="E146" s="1665"/>
      <c r="F146" s="1665"/>
      <c r="G146" s="1665"/>
      <c r="H146" s="1666"/>
      <c r="I146" s="1666"/>
      <c r="J146" s="1665"/>
    </row>
    <row r="147" spans="2:10">
      <c r="B147" s="1665"/>
      <c r="C147" s="1665"/>
      <c r="D147" s="1665"/>
      <c r="E147" s="1665"/>
      <c r="F147" s="1665"/>
      <c r="G147" s="1665"/>
      <c r="H147" s="1666"/>
      <c r="I147" s="1666"/>
      <c r="J147" s="1665"/>
    </row>
    <row r="148" spans="2:10">
      <c r="B148" s="1665"/>
      <c r="C148" s="1665"/>
      <c r="D148" s="1665"/>
      <c r="E148" s="1665"/>
      <c r="F148" s="1665"/>
      <c r="G148" s="1665"/>
      <c r="H148" s="1666"/>
      <c r="I148" s="1666"/>
      <c r="J148" s="1665"/>
    </row>
    <row r="149" spans="2:10">
      <c r="B149" s="1665"/>
      <c r="C149" s="1665"/>
      <c r="D149" s="1665"/>
      <c r="E149" s="1665"/>
      <c r="F149" s="1665"/>
      <c r="G149" s="1665"/>
      <c r="H149" s="1666"/>
      <c r="I149" s="1666"/>
      <c r="J149" s="1665"/>
    </row>
    <row r="150" spans="2:10">
      <c r="B150" s="1665"/>
      <c r="C150" s="1665"/>
      <c r="D150" s="1665"/>
      <c r="E150" s="1665"/>
      <c r="F150" s="1665"/>
      <c r="G150" s="1665"/>
      <c r="H150" s="1666"/>
      <c r="I150" s="1666"/>
      <c r="J150" s="1665"/>
    </row>
    <row r="151" spans="2:10">
      <c r="B151" s="1665"/>
      <c r="C151" s="1665"/>
      <c r="D151" s="1665"/>
      <c r="E151" s="1665"/>
      <c r="F151" s="1665"/>
      <c r="G151" s="1665"/>
      <c r="H151" s="1666"/>
      <c r="I151" s="1666"/>
      <c r="J151" s="1665"/>
    </row>
    <row r="152" spans="2:10">
      <c r="B152" s="1665"/>
      <c r="C152" s="1665"/>
      <c r="D152" s="1665"/>
      <c r="E152" s="1665"/>
      <c r="F152" s="1665"/>
      <c r="G152" s="1665"/>
      <c r="H152" s="1666"/>
      <c r="I152" s="1666"/>
      <c r="J152" s="1665"/>
    </row>
    <row r="153" spans="2:10">
      <c r="B153" s="1665"/>
      <c r="C153" s="1665"/>
      <c r="D153" s="1665"/>
      <c r="E153" s="1665"/>
      <c r="F153" s="1665"/>
      <c r="G153" s="1665"/>
      <c r="H153" s="1666"/>
      <c r="I153" s="1666"/>
      <c r="J153" s="1665"/>
    </row>
    <row r="154" spans="2:10">
      <c r="B154" s="1665"/>
      <c r="C154" s="1665"/>
      <c r="D154" s="1665"/>
      <c r="E154" s="1665"/>
      <c r="F154" s="1665"/>
      <c r="G154" s="1665"/>
      <c r="H154" s="1666"/>
      <c r="I154" s="1666"/>
      <c r="J154" s="1665"/>
    </row>
    <row r="155" spans="2:10">
      <c r="B155" s="1665"/>
      <c r="C155" s="1665"/>
      <c r="D155" s="1665"/>
      <c r="E155" s="1665"/>
      <c r="F155" s="1665"/>
      <c r="G155" s="1665"/>
      <c r="H155" s="1666"/>
      <c r="I155" s="1666"/>
      <c r="J155" s="1665"/>
    </row>
    <row r="156" spans="2:10">
      <c r="B156" s="1665"/>
      <c r="C156" s="1665"/>
      <c r="D156" s="1665"/>
      <c r="E156" s="1665"/>
      <c r="F156" s="1665"/>
      <c r="G156" s="1665"/>
      <c r="H156" s="1666"/>
      <c r="I156" s="1666"/>
      <c r="J156" s="1665"/>
    </row>
    <row r="157" spans="2:10">
      <c r="B157" s="1665"/>
      <c r="C157" s="1665"/>
      <c r="D157" s="1665"/>
      <c r="E157" s="1665"/>
      <c r="F157" s="1665"/>
      <c r="G157" s="1665"/>
      <c r="H157" s="1666"/>
      <c r="I157" s="1666"/>
      <c r="J157" s="1665"/>
    </row>
    <row r="158" spans="2:10">
      <c r="B158" s="1665"/>
      <c r="C158" s="1665"/>
      <c r="D158" s="1665"/>
      <c r="E158" s="1665"/>
      <c r="F158" s="1665"/>
      <c r="G158" s="1665"/>
      <c r="H158" s="1666"/>
      <c r="I158" s="1666"/>
      <c r="J158" s="1665"/>
    </row>
    <row r="159" spans="2:10">
      <c r="B159" s="1665"/>
      <c r="C159" s="1665"/>
      <c r="D159" s="1665"/>
      <c r="E159" s="1665"/>
      <c r="F159" s="1665"/>
      <c r="G159" s="1665"/>
      <c r="H159" s="1666"/>
      <c r="I159" s="1666"/>
      <c r="J159" s="1665"/>
    </row>
    <row r="160" spans="2:10">
      <c r="B160" s="1665"/>
      <c r="C160" s="1665"/>
      <c r="D160" s="1665"/>
      <c r="E160" s="1665"/>
      <c r="F160" s="1665"/>
      <c r="G160" s="1665"/>
      <c r="H160" s="1666"/>
      <c r="I160" s="1666"/>
      <c r="J160" s="1665"/>
    </row>
    <row r="161" spans="1:10">
      <c r="B161" s="1665"/>
      <c r="C161" s="1665"/>
      <c r="D161" s="1665"/>
      <c r="E161" s="1665"/>
      <c r="F161" s="1665"/>
      <c r="G161" s="1665"/>
      <c r="H161" s="1666"/>
      <c r="I161" s="1666"/>
      <c r="J161" s="1665"/>
    </row>
    <row r="162" spans="1:10">
      <c r="B162" s="1665"/>
      <c r="C162" s="1665"/>
      <c r="D162" s="1665"/>
      <c r="E162" s="1665"/>
      <c r="F162" s="1665"/>
      <c r="G162" s="1665"/>
      <c r="H162" s="1666"/>
      <c r="I162" s="1666"/>
      <c r="J162" s="1665"/>
    </row>
    <row r="163" spans="1:10">
      <c r="B163" s="1665"/>
      <c r="C163" s="1665"/>
      <c r="D163" s="1665"/>
      <c r="E163" s="1665"/>
      <c r="F163" s="1665"/>
      <c r="G163" s="1665"/>
      <c r="H163" s="1666"/>
      <c r="I163" s="1666"/>
      <c r="J163" s="1665"/>
    </row>
    <row r="164" spans="1:10">
      <c r="B164" s="1665"/>
      <c r="C164" s="1665"/>
      <c r="D164" s="1665"/>
      <c r="E164" s="1665"/>
      <c r="F164" s="1665"/>
      <c r="G164" s="1665"/>
      <c r="H164" s="1666"/>
      <c r="I164" s="1666"/>
      <c r="J164" s="1665"/>
    </row>
    <row r="165" spans="1:10">
      <c r="B165" s="1665"/>
      <c r="C165" s="1665"/>
      <c r="D165" s="1665"/>
      <c r="E165" s="1665"/>
      <c r="F165" s="1665"/>
      <c r="G165" s="1665"/>
      <c r="H165" s="1666"/>
      <c r="I165" s="1666"/>
      <c r="J165" s="1665"/>
    </row>
    <row r="166" spans="1:10">
      <c r="B166" s="1665"/>
      <c r="C166" s="1665"/>
      <c r="D166" s="1665"/>
      <c r="E166" s="1665"/>
      <c r="F166" s="1665"/>
      <c r="G166" s="1665"/>
      <c r="H166" s="1666"/>
      <c r="I166" s="1666"/>
      <c r="J166" s="1665"/>
    </row>
    <row r="167" spans="1:10">
      <c r="B167" s="1665"/>
      <c r="C167" s="1665"/>
      <c r="D167" s="1665"/>
      <c r="E167" s="1665"/>
      <c r="F167" s="1665"/>
      <c r="G167" s="1665"/>
      <c r="H167" s="1666"/>
      <c r="I167" s="1666"/>
      <c r="J167" s="1665"/>
    </row>
    <row r="168" spans="1:10">
      <c r="B168" s="1665"/>
      <c r="C168" s="1665"/>
      <c r="D168" s="1665"/>
      <c r="E168" s="1665"/>
      <c r="F168" s="1665"/>
      <c r="G168" s="1665"/>
      <c r="H168" s="1666"/>
      <c r="I168" s="1666"/>
      <c r="J168" s="1665"/>
    </row>
    <row r="169" spans="1:10">
      <c r="B169" s="1665"/>
      <c r="C169" s="1665"/>
      <c r="D169" s="1665"/>
      <c r="E169" s="1665"/>
      <c r="F169" s="1665"/>
      <c r="G169" s="1665"/>
      <c r="H169" s="1666"/>
      <c r="I169" s="1666"/>
      <c r="J169" s="1665"/>
    </row>
    <row r="170" spans="1:10">
      <c r="A170" s="1667"/>
      <c r="B170" s="1665"/>
      <c r="C170" s="1665"/>
      <c r="D170" s="1665"/>
      <c r="E170" s="1665"/>
      <c r="F170" s="1665"/>
      <c r="G170" s="1665"/>
      <c r="H170" s="1665"/>
      <c r="I170" s="1665"/>
      <c r="J170" s="1665"/>
    </row>
    <row r="171" spans="1:10">
      <c r="A171" s="1667"/>
      <c r="B171" s="1665"/>
      <c r="C171" s="1665"/>
      <c r="D171" s="1665"/>
      <c r="E171" s="1665"/>
      <c r="F171" s="1665"/>
      <c r="G171" s="1665"/>
      <c r="H171" s="1665"/>
      <c r="I171" s="1665"/>
      <c r="J171" s="1665"/>
    </row>
    <row r="172" spans="1:10">
      <c r="A172" s="1667"/>
      <c r="B172" s="1668"/>
      <c r="C172" s="1668"/>
      <c r="D172" s="1668"/>
      <c r="E172" s="1668"/>
      <c r="F172" s="1668"/>
      <c r="G172" s="1668"/>
      <c r="H172" s="1665"/>
      <c r="I172" s="1665"/>
      <c r="J172" s="1665"/>
    </row>
    <row r="173" spans="1:10">
      <c r="A173" s="1667"/>
      <c r="B173" s="1665"/>
      <c r="C173" s="1665"/>
      <c r="D173" s="1665"/>
      <c r="E173" s="1665"/>
      <c r="F173" s="1665"/>
      <c r="G173" s="1665"/>
      <c r="H173" s="1665"/>
      <c r="I173" s="1665"/>
      <c r="J173" s="1665"/>
    </row>
    <row r="174" spans="1:10">
      <c r="A174" s="1667"/>
      <c r="B174" s="1665"/>
      <c r="C174" s="1665"/>
      <c r="D174" s="1665"/>
      <c r="E174" s="1665"/>
      <c r="F174" s="1665"/>
      <c r="G174" s="1665"/>
      <c r="H174" s="1665"/>
      <c r="I174" s="1665"/>
      <c r="J174" s="1665"/>
    </row>
    <row r="175" spans="1:10">
      <c r="A175" s="1667"/>
      <c r="B175" s="1665"/>
      <c r="C175" s="1665"/>
      <c r="D175" s="1665"/>
      <c r="E175" s="1665"/>
      <c r="F175" s="1665"/>
      <c r="G175" s="1665"/>
      <c r="H175" s="1665"/>
      <c r="I175" s="1665"/>
      <c r="J175" s="1665"/>
    </row>
    <row r="176" spans="1:10">
      <c r="A176" s="1667"/>
      <c r="B176" s="1665"/>
      <c r="C176" s="1665"/>
      <c r="D176" s="1665"/>
      <c r="E176" s="1665"/>
      <c r="F176" s="1665"/>
      <c r="G176" s="1665"/>
      <c r="H176" s="1665"/>
      <c r="I176" s="1665"/>
      <c r="J176" s="1665"/>
    </row>
    <row r="177" spans="1:10">
      <c r="A177" s="1667"/>
      <c r="B177" s="1665"/>
      <c r="C177" s="1665"/>
      <c r="D177" s="1665"/>
      <c r="E177" s="1665"/>
      <c r="F177" s="1665"/>
      <c r="G177" s="1665"/>
      <c r="H177" s="1665"/>
      <c r="I177" s="1665"/>
      <c r="J177" s="1665"/>
    </row>
    <row r="178" spans="1:10">
      <c r="A178" s="1667"/>
      <c r="B178" s="1665"/>
      <c r="C178" s="1665"/>
      <c r="D178" s="1665"/>
      <c r="E178" s="1665"/>
      <c r="F178" s="1665"/>
      <c r="G178" s="1665"/>
      <c r="H178" s="1665"/>
      <c r="I178" s="1665"/>
      <c r="J178" s="1665"/>
    </row>
    <row r="179" spans="1:10">
      <c r="A179" s="1667"/>
      <c r="B179" s="1665"/>
      <c r="C179" s="1665"/>
      <c r="D179" s="1665"/>
      <c r="E179" s="1665"/>
      <c r="F179" s="1665"/>
      <c r="G179" s="1665"/>
      <c r="H179" s="1665"/>
      <c r="I179" s="1665"/>
      <c r="J179" s="1665"/>
    </row>
    <row r="180" spans="1:10">
      <c r="A180" s="1667"/>
      <c r="B180" s="1665"/>
      <c r="C180" s="1665"/>
      <c r="D180" s="1665"/>
      <c r="E180" s="1665"/>
      <c r="F180" s="1665"/>
      <c r="G180" s="1665"/>
      <c r="H180" s="1665"/>
      <c r="I180" s="1665"/>
      <c r="J180" s="1665"/>
    </row>
    <row r="181" spans="1:10">
      <c r="A181" s="1667"/>
      <c r="B181" s="1665"/>
      <c r="C181" s="1665"/>
      <c r="D181" s="1665"/>
      <c r="E181" s="1665"/>
      <c r="F181" s="1665"/>
      <c r="G181" s="1665"/>
      <c r="H181" s="1665"/>
      <c r="I181" s="1665"/>
      <c r="J181" s="1665"/>
    </row>
    <row r="182" spans="1:10">
      <c r="A182" s="1667"/>
      <c r="B182" s="1665"/>
      <c r="C182" s="1665"/>
      <c r="D182" s="1665"/>
      <c r="E182" s="1665"/>
      <c r="F182" s="1665"/>
      <c r="G182" s="1665"/>
      <c r="H182" s="1665"/>
      <c r="I182" s="1665"/>
      <c r="J182" s="1665"/>
    </row>
    <row r="183" spans="1:10">
      <c r="A183" s="1667"/>
      <c r="B183" s="1665"/>
      <c r="C183" s="1665"/>
      <c r="D183" s="1665"/>
      <c r="E183" s="1665"/>
      <c r="F183" s="1665"/>
      <c r="G183" s="1665"/>
      <c r="H183" s="1665"/>
      <c r="I183" s="1665"/>
      <c r="J183" s="1665"/>
    </row>
    <row r="184" spans="1:10">
      <c r="A184" s="1667"/>
      <c r="B184" s="1665"/>
      <c r="C184" s="1665"/>
      <c r="D184" s="1665"/>
      <c r="E184" s="1665"/>
      <c r="F184" s="1665"/>
      <c r="G184" s="1665"/>
      <c r="H184" s="1665"/>
      <c r="I184" s="1665"/>
      <c r="J184" s="1665"/>
    </row>
    <row r="185" spans="1:10">
      <c r="A185" s="1667"/>
      <c r="B185" s="1665"/>
      <c r="C185" s="1665"/>
      <c r="D185" s="1665"/>
      <c r="E185" s="1665"/>
      <c r="F185" s="1665"/>
      <c r="G185" s="1665"/>
      <c r="H185" s="1665"/>
      <c r="I185" s="1665"/>
      <c r="J185" s="1665"/>
    </row>
    <row r="186" spans="1:10">
      <c r="A186" s="1667"/>
      <c r="B186" s="1665"/>
      <c r="C186" s="1665"/>
      <c r="D186" s="1665"/>
      <c r="E186" s="1665"/>
      <c r="F186" s="1665"/>
      <c r="G186" s="1665"/>
      <c r="H186" s="1665"/>
      <c r="I186" s="1665"/>
      <c r="J186" s="1665"/>
    </row>
    <row r="187" spans="1:10">
      <c r="A187" s="1667"/>
      <c r="B187" s="1665"/>
      <c r="C187" s="1665"/>
      <c r="D187" s="1665"/>
      <c r="E187" s="1665"/>
      <c r="F187" s="1665"/>
      <c r="G187" s="1665"/>
      <c r="H187" s="1665"/>
      <c r="I187" s="1665"/>
      <c r="J187" s="1665"/>
    </row>
    <row r="188" spans="1:10">
      <c r="A188" s="1667"/>
      <c r="B188" s="1665"/>
      <c r="C188" s="1665"/>
      <c r="D188" s="1665"/>
      <c r="E188" s="1665"/>
      <c r="F188" s="1665"/>
      <c r="G188" s="1665"/>
      <c r="H188" s="1665"/>
      <c r="I188" s="1665"/>
      <c r="J188" s="1665"/>
    </row>
    <row r="189" spans="1:10">
      <c r="A189" s="1667"/>
      <c r="B189" s="1665"/>
      <c r="C189" s="1665"/>
      <c r="D189" s="1665"/>
      <c r="E189" s="1665"/>
      <c r="F189" s="1665"/>
      <c r="G189" s="1665"/>
      <c r="H189" s="1665"/>
      <c r="I189" s="1665"/>
      <c r="J189" s="1665"/>
    </row>
    <row r="190" spans="1:10">
      <c r="A190" s="1667"/>
      <c r="B190" s="1665"/>
      <c r="C190" s="1665"/>
      <c r="D190" s="1665"/>
      <c r="E190" s="1665"/>
      <c r="F190" s="1665"/>
      <c r="G190" s="1665"/>
      <c r="H190" s="1665"/>
      <c r="I190" s="1665"/>
      <c r="J190" s="1665"/>
    </row>
    <row r="191" spans="1:10">
      <c r="A191" s="1667"/>
      <c r="B191" s="1665"/>
      <c r="C191" s="1665"/>
      <c r="D191" s="1665"/>
      <c r="E191" s="1665"/>
      <c r="F191" s="1665"/>
      <c r="G191" s="1665"/>
      <c r="H191" s="1665"/>
      <c r="I191" s="1665"/>
      <c r="J191" s="1665"/>
    </row>
    <row r="192" spans="1:10">
      <c r="A192" s="1667"/>
      <c r="B192" s="1665"/>
      <c r="C192" s="1665"/>
      <c r="D192" s="1665"/>
      <c r="E192" s="1665"/>
      <c r="F192" s="1665"/>
      <c r="G192" s="1665"/>
      <c r="H192" s="1665"/>
      <c r="I192" s="1665"/>
      <c r="J192" s="1665"/>
    </row>
    <row r="193" spans="1:10">
      <c r="A193" s="1667"/>
      <c r="B193" s="1665"/>
      <c r="C193" s="1665"/>
      <c r="D193" s="1665"/>
      <c r="E193" s="1665"/>
      <c r="F193" s="1665"/>
      <c r="G193" s="1665"/>
      <c r="H193" s="1665"/>
      <c r="I193" s="1665"/>
      <c r="J193" s="1665"/>
    </row>
    <row r="194" spans="1:10">
      <c r="A194" s="1667"/>
      <c r="B194" s="1665"/>
      <c r="C194" s="1665"/>
      <c r="D194" s="1665"/>
      <c r="E194" s="1665"/>
      <c r="F194" s="1665"/>
      <c r="G194" s="1665"/>
      <c r="H194" s="1665"/>
      <c r="I194" s="1665"/>
      <c r="J194" s="1665"/>
    </row>
    <row r="195" spans="1:10">
      <c r="A195" s="1667"/>
      <c r="B195" s="1665"/>
      <c r="C195" s="1665"/>
      <c r="D195" s="1665"/>
      <c r="E195" s="1665"/>
      <c r="F195" s="1665"/>
      <c r="G195" s="1665"/>
      <c r="H195" s="1665"/>
      <c r="I195" s="1665"/>
      <c r="J195" s="1665"/>
    </row>
    <row r="196" spans="1:10">
      <c r="A196" s="1667"/>
      <c r="B196" s="1665"/>
      <c r="C196" s="1665"/>
      <c r="D196" s="1665"/>
      <c r="E196" s="1665"/>
      <c r="F196" s="1665"/>
      <c r="G196" s="1665"/>
      <c r="H196" s="1665"/>
      <c r="I196" s="1665"/>
      <c r="J196" s="1665"/>
    </row>
    <row r="197" spans="1:10">
      <c r="A197" s="1667"/>
      <c r="B197" s="1665"/>
      <c r="C197" s="1665"/>
      <c r="D197" s="1665"/>
      <c r="E197" s="1665"/>
      <c r="F197" s="1665"/>
      <c r="G197" s="1665"/>
      <c r="H197" s="1665"/>
      <c r="I197" s="1665"/>
      <c r="J197" s="1665"/>
    </row>
    <row r="198" spans="1:10">
      <c r="A198" s="1667"/>
      <c r="B198" s="1665"/>
      <c r="C198" s="1665"/>
      <c r="D198" s="1665"/>
      <c r="E198" s="1665"/>
      <c r="F198" s="1665"/>
      <c r="G198" s="1665"/>
      <c r="H198" s="1665"/>
      <c r="I198" s="1665"/>
      <c r="J198" s="1665"/>
    </row>
    <row r="199" spans="1:10">
      <c r="A199" s="187"/>
      <c r="B199" s="1669"/>
      <c r="C199" s="1669"/>
      <c r="D199" s="1669"/>
      <c r="E199" s="1669"/>
      <c r="F199" s="1669"/>
      <c r="G199" s="1669"/>
      <c r="H199" s="1669"/>
      <c r="I199" s="1669"/>
      <c r="J199" s="1669"/>
    </row>
    <row r="200" spans="1:10">
      <c r="A200" s="1667"/>
      <c r="B200" s="1665"/>
      <c r="C200" s="1665"/>
      <c r="D200" s="1665"/>
      <c r="E200" s="1665"/>
      <c r="F200" s="1665"/>
      <c r="G200" s="1665"/>
      <c r="H200" s="1665"/>
      <c r="I200" s="1665"/>
      <c r="J200" s="1665"/>
    </row>
  </sheetData>
  <mergeCells count="1">
    <mergeCell ref="A1:H1"/>
  </mergeCells>
  <printOptions horizontalCentered="1"/>
  <pageMargins left="0.5" right="0.5" top="1" bottom="0.5" header="0.5" footer="0.5"/>
  <pageSetup scale="52" fitToHeight="3" orientation="portrait" r:id="rId1"/>
  <headerFooter alignWithMargins="0"/>
  <rowBreaks count="2" manualBreakCount="2">
    <brk id="43" max="16383" man="1"/>
    <brk id="10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37"/>
  <sheetViews>
    <sheetView zoomScale="87" zoomScaleNormal="87" zoomScaleSheetLayoutView="50" workbookViewId="0">
      <selection activeCell="G87" sqref="G87"/>
    </sheetView>
  </sheetViews>
  <sheetFormatPr defaultColWidth="11.453125" defaultRowHeight="13"/>
  <cols>
    <col min="1" max="1" width="7.7265625" style="664" customWidth="1"/>
    <col min="2" max="2" width="1.81640625" style="664" customWidth="1"/>
    <col min="3" max="3" width="55" style="664" customWidth="1"/>
    <col min="4" max="4" width="17.7265625" style="664" customWidth="1"/>
    <col min="5" max="5" width="22.54296875" style="664" customWidth="1"/>
    <col min="6" max="6" width="16.81640625" style="664" customWidth="1"/>
    <col min="7" max="7" width="18.54296875" style="664" customWidth="1"/>
    <col min="8" max="8" width="31.453125" style="664" customWidth="1"/>
    <col min="9" max="9" width="17.7265625" style="664" customWidth="1"/>
    <col min="10" max="10" width="18.54296875" style="664" customWidth="1"/>
    <col min="11" max="11" width="17.453125" style="664" customWidth="1"/>
    <col min="12" max="12" width="17.7265625" style="664" customWidth="1"/>
    <col min="13" max="13" width="15.453125" style="664" customWidth="1"/>
    <col min="14" max="14" width="16.26953125" style="664" customWidth="1"/>
    <col min="15" max="15" width="18.54296875" style="664" customWidth="1"/>
    <col min="16" max="16" width="15.26953125" style="664" customWidth="1"/>
    <col min="17" max="17" width="16.7265625" style="664" customWidth="1"/>
    <col min="18" max="18" width="16" style="664" customWidth="1"/>
    <col min="19" max="19" width="16.7265625" style="664" customWidth="1"/>
    <col min="20" max="20" width="14.54296875" style="666" bestFit="1" customWidth="1"/>
    <col min="21" max="16384" width="11.453125" style="664"/>
  </cols>
  <sheetData>
    <row r="1" spans="1:21">
      <c r="Q1" s="665"/>
    </row>
    <row r="2" spans="1:21">
      <c r="Q2" s="665"/>
    </row>
    <row r="4" spans="1:21">
      <c r="Q4" s="665"/>
    </row>
    <row r="5" spans="1:21">
      <c r="D5" s="667"/>
      <c r="E5" s="667"/>
      <c r="F5" s="667"/>
      <c r="G5" s="601" t="s">
        <v>303</v>
      </c>
      <c r="H5" s="667"/>
      <c r="I5" s="667"/>
      <c r="J5" s="667"/>
      <c r="K5" s="668"/>
      <c r="L5" s="669"/>
      <c r="M5" s="670"/>
      <c r="N5" s="670"/>
      <c r="O5" s="670"/>
      <c r="P5" s="670"/>
      <c r="Q5" s="670"/>
      <c r="R5" s="671"/>
      <c r="S5" s="671"/>
      <c r="T5" s="672"/>
      <c r="U5" s="671"/>
    </row>
    <row r="6" spans="1:21">
      <c r="D6" s="667"/>
      <c r="E6" s="673" t="s">
        <v>85</v>
      </c>
      <c r="F6" s="673"/>
      <c r="G6" s="1199" t="s">
        <v>1259</v>
      </c>
      <c r="H6" s="673"/>
      <c r="I6" s="673"/>
      <c r="J6" s="673"/>
      <c r="K6" s="668"/>
      <c r="P6" s="671"/>
      <c r="Q6" s="668"/>
      <c r="R6" s="671"/>
      <c r="S6" s="674"/>
      <c r="T6" s="672"/>
      <c r="U6" s="671"/>
    </row>
    <row r="7" spans="1:21" ht="18">
      <c r="C7" s="671"/>
      <c r="D7" s="671"/>
      <c r="E7" s="671"/>
      <c r="F7" s="671"/>
      <c r="G7" s="1476" t="str">
        <f>'ATT H-3D'!$A$4</f>
        <v>Delmarva Power &amp; Light Company</v>
      </c>
      <c r="H7" s="671"/>
      <c r="I7" s="671"/>
      <c r="J7" s="671"/>
      <c r="K7" s="671"/>
      <c r="P7" s="671"/>
      <c r="Q7" s="671"/>
      <c r="R7" s="671"/>
      <c r="S7" s="675"/>
      <c r="T7" s="672"/>
      <c r="U7" s="671"/>
    </row>
    <row r="8" spans="1:21">
      <c r="A8" s="601"/>
      <c r="C8" s="671"/>
      <c r="D8" s="671"/>
      <c r="E8" s="671"/>
      <c r="F8" s="671"/>
      <c r="H8" s="671"/>
      <c r="I8" s="671"/>
      <c r="J8" s="671"/>
      <c r="K8" s="671"/>
      <c r="L8" s="671"/>
      <c r="M8" s="671"/>
      <c r="N8" s="671"/>
      <c r="O8" s="671"/>
      <c r="P8" s="671"/>
      <c r="Q8" s="671"/>
      <c r="R8" s="671"/>
      <c r="S8" s="675"/>
      <c r="T8" s="672"/>
      <c r="U8" s="671"/>
    </row>
    <row r="9" spans="1:21">
      <c r="A9" s="601"/>
      <c r="C9" s="671"/>
      <c r="D9" s="671"/>
      <c r="E9" s="671"/>
      <c r="F9" s="671"/>
      <c r="G9" s="676"/>
      <c r="H9" s="671"/>
      <c r="I9" s="671"/>
      <c r="J9" s="671"/>
      <c r="K9" s="671"/>
      <c r="L9" s="671"/>
      <c r="M9" s="671"/>
      <c r="N9" s="671"/>
      <c r="O9" s="671"/>
      <c r="P9" s="671"/>
      <c r="Q9" s="671"/>
      <c r="R9" s="671"/>
      <c r="S9" s="675"/>
      <c r="T9" s="672"/>
      <c r="U9" s="671"/>
    </row>
    <row r="10" spans="1:21">
      <c r="A10" s="601"/>
      <c r="C10" s="671" t="s">
        <v>1882</v>
      </c>
      <c r="D10" s="671"/>
      <c r="E10" s="671"/>
      <c r="F10" s="671"/>
      <c r="G10" s="676"/>
      <c r="H10" s="671"/>
      <c r="I10" s="671"/>
      <c r="J10" s="671"/>
      <c r="K10" s="671"/>
      <c r="L10" s="671"/>
      <c r="M10" s="671"/>
      <c r="N10" s="671"/>
      <c r="O10" s="671"/>
      <c r="P10" s="671"/>
      <c r="Q10" s="671"/>
      <c r="R10" s="671"/>
      <c r="S10" s="675"/>
      <c r="T10" s="672"/>
      <c r="U10" s="671"/>
    </row>
    <row r="11" spans="1:21">
      <c r="A11" s="601"/>
      <c r="C11" s="671"/>
      <c r="D11" s="671"/>
      <c r="E11" s="671"/>
      <c r="F11" s="671"/>
      <c r="G11" s="676"/>
      <c r="L11" s="671"/>
      <c r="M11" s="671"/>
      <c r="N11" s="671"/>
      <c r="O11" s="671"/>
      <c r="P11" s="671"/>
      <c r="Q11" s="671"/>
      <c r="R11" s="671"/>
      <c r="S11" s="671"/>
      <c r="T11" s="636"/>
      <c r="U11" s="671"/>
    </row>
    <row r="12" spans="1:21">
      <c r="A12" s="601"/>
      <c r="C12" s="671"/>
      <c r="D12" s="671"/>
      <c r="E12" s="671"/>
      <c r="F12" s="671"/>
      <c r="G12" s="671"/>
      <c r="L12" s="677"/>
      <c r="M12" s="677"/>
      <c r="N12" s="677"/>
      <c r="O12" s="677"/>
      <c r="P12" s="671"/>
      <c r="Q12" s="671"/>
      <c r="R12" s="671"/>
      <c r="S12" s="671"/>
      <c r="T12" s="636"/>
      <c r="U12" s="671"/>
    </row>
    <row r="13" spans="1:21">
      <c r="C13" s="678" t="s">
        <v>577</v>
      </c>
      <c r="D13" s="678"/>
      <c r="E13" s="678" t="s">
        <v>578</v>
      </c>
      <c r="F13" s="678"/>
      <c r="I13" s="678" t="s">
        <v>579</v>
      </c>
      <c r="L13" s="679" t="s">
        <v>580</v>
      </c>
      <c r="M13" s="679"/>
      <c r="N13" s="679"/>
      <c r="O13" s="679"/>
      <c r="P13" s="673"/>
      <c r="Q13" s="679"/>
      <c r="R13" s="673"/>
      <c r="S13" s="679"/>
      <c r="U13" s="680"/>
    </row>
    <row r="14" spans="1:21">
      <c r="C14" s="680"/>
      <c r="D14" s="680"/>
      <c r="E14" s="681" t="s">
        <v>1883</v>
      </c>
      <c r="F14" s="681"/>
      <c r="I14" s="673"/>
      <c r="P14" s="673"/>
      <c r="R14" s="673"/>
      <c r="S14" s="678"/>
      <c r="T14" s="637"/>
      <c r="U14" s="680"/>
    </row>
    <row r="15" spans="1:21">
      <c r="A15" s="601" t="s">
        <v>581</v>
      </c>
      <c r="C15" s="680"/>
      <c r="D15" s="680"/>
      <c r="E15" s="682" t="s">
        <v>582</v>
      </c>
      <c r="F15" s="682"/>
      <c r="I15" s="646" t="s">
        <v>229</v>
      </c>
      <c r="L15" s="646" t="s">
        <v>237</v>
      </c>
      <c r="M15" s="646"/>
      <c r="N15" s="646"/>
      <c r="O15" s="646"/>
      <c r="P15" s="673"/>
      <c r="R15" s="671"/>
      <c r="S15" s="683"/>
      <c r="T15" s="637"/>
      <c r="U15" s="680"/>
    </row>
    <row r="16" spans="1:21">
      <c r="A16" s="601" t="s">
        <v>583</v>
      </c>
      <c r="C16" s="684"/>
      <c r="D16" s="684"/>
      <c r="E16" s="673"/>
      <c r="F16" s="673"/>
      <c r="I16" s="673"/>
      <c r="L16" s="673"/>
      <c r="M16" s="673"/>
      <c r="N16" s="673"/>
      <c r="O16" s="673"/>
      <c r="P16" s="673"/>
      <c r="Q16" s="673"/>
      <c r="R16" s="671"/>
      <c r="S16" s="673"/>
      <c r="U16" s="680"/>
    </row>
    <row r="17" spans="1:21">
      <c r="A17" s="685"/>
      <c r="C17" s="680"/>
      <c r="D17" s="680"/>
      <c r="E17" s="673"/>
      <c r="F17" s="673"/>
      <c r="I17" s="673"/>
      <c r="L17" s="673"/>
      <c r="M17" s="673"/>
      <c r="N17" s="673"/>
      <c r="O17" s="673"/>
      <c r="P17" s="673"/>
      <c r="Q17" s="673"/>
      <c r="R17" s="671"/>
      <c r="S17" s="673"/>
      <c r="U17" s="680"/>
    </row>
    <row r="18" spans="1:21">
      <c r="A18" s="686">
        <v>1</v>
      </c>
      <c r="C18" s="680" t="s">
        <v>584</v>
      </c>
      <c r="D18" s="680"/>
      <c r="E18" s="687" t="s">
        <v>803</v>
      </c>
      <c r="F18" s="686"/>
      <c r="I18" s="666">
        <f>+'9 - Rate Base'!C26</f>
        <v>1829026357.6987534</v>
      </c>
      <c r="P18" s="673"/>
      <c r="Q18" s="673"/>
      <c r="R18" s="671"/>
      <c r="S18" s="673"/>
      <c r="U18" s="680"/>
    </row>
    <row r="19" spans="1:21">
      <c r="A19" s="686">
        <v>2</v>
      </c>
      <c r="C19" s="680" t="s">
        <v>585</v>
      </c>
      <c r="D19" s="680"/>
      <c r="E19" s="687" t="s">
        <v>804</v>
      </c>
      <c r="F19" s="686"/>
      <c r="I19" s="666">
        <f>+'9 - Rate Base'!K26</f>
        <v>1382840869.2930658</v>
      </c>
      <c r="P19" s="673"/>
      <c r="Q19" s="673"/>
      <c r="R19" s="671"/>
      <c r="S19" s="673"/>
      <c r="U19" s="680"/>
    </row>
    <row r="20" spans="1:21">
      <c r="A20" s="686"/>
      <c r="E20" s="687"/>
      <c r="F20" s="686"/>
      <c r="P20" s="673"/>
      <c r="Q20" s="673"/>
      <c r="R20" s="671"/>
      <c r="S20" s="673"/>
      <c r="U20" s="680"/>
    </row>
    <row r="21" spans="1:21">
      <c r="A21" s="686"/>
      <c r="C21" s="680" t="s">
        <v>586</v>
      </c>
      <c r="D21" s="680"/>
      <c r="E21" s="687"/>
      <c r="F21" s="686"/>
      <c r="I21" s="673"/>
      <c r="L21" s="673"/>
      <c r="M21" s="673"/>
      <c r="N21" s="673"/>
      <c r="O21" s="673"/>
      <c r="P21" s="673"/>
      <c r="Q21" s="673"/>
      <c r="R21" s="673"/>
      <c r="S21" s="673"/>
      <c r="U21" s="680"/>
    </row>
    <row r="22" spans="1:21">
      <c r="A22" s="686">
        <v>3</v>
      </c>
      <c r="C22" s="680" t="s">
        <v>587</v>
      </c>
      <c r="D22" s="680"/>
      <c r="E22" s="687" t="s">
        <v>1884</v>
      </c>
      <c r="F22" s="686"/>
      <c r="I22" s="666">
        <f>+'ATT H-3D'!H171</f>
        <v>35370084.528215259</v>
      </c>
      <c r="P22" s="673"/>
      <c r="Q22" s="673"/>
      <c r="R22" s="673"/>
      <c r="S22" s="673"/>
      <c r="U22" s="680"/>
    </row>
    <row r="23" spans="1:21">
      <c r="A23" s="686">
        <v>4</v>
      </c>
      <c r="C23" s="680" t="s">
        <v>588</v>
      </c>
      <c r="D23" s="680"/>
      <c r="E23" s="687" t="s">
        <v>589</v>
      </c>
      <c r="F23" s="686"/>
      <c r="I23" s="688">
        <f>IF(I$18=0,0,I22/I$18)</f>
        <v>1.9338203836885781E-2</v>
      </c>
      <c r="L23" s="689">
        <f>I23</f>
        <v>1.9338203836885781E-2</v>
      </c>
      <c r="M23" s="690"/>
      <c r="N23" s="690"/>
      <c r="O23" s="690"/>
      <c r="P23" s="673"/>
      <c r="Q23" s="691"/>
      <c r="R23" s="692"/>
      <c r="S23" s="693"/>
      <c r="U23" s="680"/>
    </row>
    <row r="24" spans="1:21">
      <c r="A24" s="686"/>
      <c r="C24" s="680"/>
      <c r="D24" s="680"/>
      <c r="E24" s="687"/>
      <c r="F24" s="686"/>
      <c r="I24" s="694"/>
      <c r="L24" s="689"/>
      <c r="M24" s="690"/>
      <c r="N24" s="690"/>
      <c r="O24" s="690"/>
      <c r="P24" s="673"/>
      <c r="Q24" s="691"/>
      <c r="R24" s="692"/>
      <c r="S24" s="693"/>
      <c r="U24" s="680"/>
    </row>
    <row r="25" spans="1:21">
      <c r="A25" s="679"/>
      <c r="C25" s="680" t="s">
        <v>590</v>
      </c>
      <c r="D25" s="680"/>
      <c r="E25" s="695"/>
      <c r="F25" s="696"/>
      <c r="I25" s="673"/>
      <c r="L25" s="688"/>
      <c r="M25" s="673"/>
      <c r="N25" s="673"/>
      <c r="O25" s="673"/>
      <c r="P25" s="673"/>
      <c r="Q25" s="691"/>
      <c r="R25" s="692"/>
      <c r="S25" s="693"/>
      <c r="U25" s="680"/>
    </row>
    <row r="26" spans="1:21">
      <c r="A26" s="679" t="s">
        <v>591</v>
      </c>
      <c r="C26" s="680" t="s">
        <v>592</v>
      </c>
      <c r="D26" s="680"/>
      <c r="E26" s="1634" t="s">
        <v>1885</v>
      </c>
      <c r="F26" s="686"/>
      <c r="I26" s="666">
        <f>+'ATT H-3D'!H187+'ATT H-3D'!H193</f>
        <v>6336448.4837604482</v>
      </c>
      <c r="L26" s="688"/>
      <c r="P26" s="673"/>
      <c r="Q26" s="691"/>
      <c r="R26" s="692"/>
      <c r="S26" s="693"/>
      <c r="U26" s="680"/>
    </row>
    <row r="27" spans="1:21">
      <c r="A27" s="679" t="s">
        <v>593</v>
      </c>
      <c r="C27" s="680" t="s">
        <v>594</v>
      </c>
      <c r="D27" s="680"/>
      <c r="E27" s="687" t="s">
        <v>595</v>
      </c>
      <c r="F27" s="686"/>
      <c r="I27" s="697">
        <f>IF(I26=0,0,I26/I18)</f>
        <v>3.4643833628143273E-3</v>
      </c>
      <c r="J27" s="697"/>
      <c r="K27" s="697"/>
      <c r="L27" s="689">
        <f>I27</f>
        <v>3.4643833628143273E-3</v>
      </c>
      <c r="M27" s="690"/>
      <c r="N27" s="690"/>
      <c r="O27" s="690"/>
      <c r="P27" s="673"/>
      <c r="Q27" s="691"/>
      <c r="R27" s="692"/>
      <c r="S27" s="693"/>
      <c r="U27" s="680"/>
    </row>
    <row r="28" spans="1:21">
      <c r="A28" s="686"/>
      <c r="C28" s="680"/>
      <c r="D28" s="680"/>
      <c r="E28" s="687"/>
      <c r="F28" s="686"/>
      <c r="I28" s="697"/>
      <c r="J28" s="697"/>
      <c r="K28" s="697"/>
      <c r="L28" s="689"/>
      <c r="M28" s="690"/>
      <c r="N28" s="690"/>
      <c r="O28" s="690"/>
      <c r="P28" s="673"/>
      <c r="Q28" s="691"/>
      <c r="R28" s="692"/>
      <c r="S28" s="693"/>
      <c r="U28" s="680"/>
    </row>
    <row r="29" spans="1:21">
      <c r="A29" s="679"/>
      <c r="C29" s="680" t="s">
        <v>596</v>
      </c>
      <c r="D29" s="680"/>
      <c r="E29" s="695"/>
      <c r="F29" s="696"/>
      <c r="I29" s="697"/>
      <c r="J29" s="697"/>
      <c r="K29" s="697"/>
      <c r="L29" s="688"/>
      <c r="M29" s="673"/>
      <c r="N29" s="673"/>
      <c r="O29" s="673"/>
      <c r="P29" s="673"/>
      <c r="Q29" s="673"/>
      <c r="R29" s="673"/>
      <c r="S29" s="673"/>
      <c r="U29" s="680"/>
    </row>
    <row r="30" spans="1:21">
      <c r="A30" s="679" t="s">
        <v>597</v>
      </c>
      <c r="C30" s="680" t="s">
        <v>598</v>
      </c>
      <c r="D30" s="680"/>
      <c r="E30" s="687" t="s">
        <v>1886</v>
      </c>
      <c r="F30" s="686"/>
      <c r="I30" s="666">
        <f>+'ATT H-3D'!H202</f>
        <v>12306282.378725395</v>
      </c>
      <c r="J30" s="697"/>
      <c r="K30" s="697"/>
      <c r="L30" s="688"/>
      <c r="P30" s="673"/>
      <c r="Q30" s="683"/>
      <c r="R30" s="673"/>
      <c r="S30" s="686"/>
      <c r="T30" s="637"/>
      <c r="U30" s="680"/>
    </row>
    <row r="31" spans="1:21">
      <c r="A31" s="679" t="s">
        <v>599</v>
      </c>
      <c r="C31" s="680" t="s">
        <v>600</v>
      </c>
      <c r="D31" s="680"/>
      <c r="E31" s="687" t="s">
        <v>601</v>
      </c>
      <c r="F31" s="686"/>
      <c r="I31" s="697">
        <f>IF(I30=0,0,I30/I18)</f>
        <v>6.7283242403400507E-3</v>
      </c>
      <c r="J31" s="697"/>
      <c r="K31" s="697"/>
      <c r="L31" s="689">
        <f>I31</f>
        <v>6.7283242403400507E-3</v>
      </c>
      <c r="M31" s="690"/>
      <c r="N31" s="690"/>
      <c r="O31" s="690"/>
      <c r="P31" s="673"/>
      <c r="Q31" s="691"/>
      <c r="R31" s="673"/>
      <c r="S31" s="693"/>
      <c r="T31" s="637"/>
      <c r="U31" s="680"/>
    </row>
    <row r="32" spans="1:21">
      <c r="A32" s="679"/>
      <c r="C32" s="680"/>
      <c r="D32" s="680"/>
      <c r="E32" s="687"/>
      <c r="F32" s="686"/>
      <c r="I32" s="673"/>
      <c r="L32" s="688"/>
      <c r="M32" s="673"/>
      <c r="N32" s="673"/>
      <c r="O32" s="673"/>
      <c r="P32" s="673"/>
      <c r="U32" s="680"/>
    </row>
    <row r="33" spans="1:21">
      <c r="A33" s="679" t="s">
        <v>602</v>
      </c>
      <c r="C33" s="680" t="s">
        <v>780</v>
      </c>
      <c r="D33" s="680"/>
      <c r="E33" s="687" t="s">
        <v>1887</v>
      </c>
      <c r="F33" s="686"/>
      <c r="I33" s="666">
        <f>-'ATT H-3D'!H298</f>
        <v>-9577806.4785691369</v>
      </c>
      <c r="L33" s="688"/>
      <c r="M33" s="673"/>
      <c r="N33" s="673"/>
      <c r="O33" s="673"/>
      <c r="P33" s="673"/>
      <c r="U33" s="680"/>
    </row>
    <row r="34" spans="1:21">
      <c r="A34" s="679" t="s">
        <v>603</v>
      </c>
      <c r="C34" s="680" t="s">
        <v>604</v>
      </c>
      <c r="D34" s="680"/>
      <c r="E34" s="687" t="s">
        <v>605</v>
      </c>
      <c r="F34" s="686"/>
      <c r="I34" s="688">
        <f>IF(I$18=0,0,I33/I$18)</f>
        <v>-5.2365601174931961E-3</v>
      </c>
      <c r="L34" s="688">
        <f>+I34</f>
        <v>-5.2365601174931961E-3</v>
      </c>
      <c r="M34" s="673"/>
      <c r="N34" s="673"/>
      <c r="O34" s="673"/>
      <c r="P34" s="673"/>
      <c r="U34" s="680"/>
    </row>
    <row r="35" spans="1:21">
      <c r="A35" s="679"/>
      <c r="C35" s="680"/>
      <c r="D35" s="680"/>
      <c r="E35" s="687"/>
      <c r="F35" s="686"/>
      <c r="I35" s="673"/>
      <c r="L35" s="688"/>
      <c r="M35" s="673"/>
      <c r="N35" s="673"/>
      <c r="O35" s="673"/>
      <c r="P35" s="673"/>
      <c r="U35" s="680"/>
    </row>
    <row r="36" spans="1:21">
      <c r="A36" s="698" t="s">
        <v>606</v>
      </c>
      <c r="B36" s="699"/>
      <c r="C36" s="684" t="s">
        <v>607</v>
      </c>
      <c r="D36" s="684"/>
      <c r="E36" s="700" t="s">
        <v>608</v>
      </c>
      <c r="F36" s="681"/>
      <c r="I36" s="692"/>
      <c r="L36" s="701">
        <f>L23+L27+L31+L34</f>
        <v>2.4294351322546964E-2</v>
      </c>
      <c r="M36" s="702"/>
      <c r="N36" s="702"/>
      <c r="O36" s="702"/>
      <c r="P36" s="673"/>
      <c r="U36" s="680"/>
    </row>
    <row r="37" spans="1:21">
      <c r="A37" s="679"/>
      <c r="C37" s="680"/>
      <c r="D37" s="680"/>
      <c r="E37" s="687"/>
      <c r="F37" s="686"/>
      <c r="I37" s="673"/>
      <c r="L37" s="688"/>
      <c r="M37" s="673"/>
      <c r="N37" s="673"/>
      <c r="O37" s="673"/>
      <c r="P37" s="673"/>
      <c r="Q37" s="673"/>
      <c r="R37" s="673"/>
      <c r="S37" s="703"/>
      <c r="U37" s="680"/>
    </row>
    <row r="38" spans="1:21">
      <c r="A38" s="679"/>
      <c r="B38" s="704"/>
      <c r="C38" s="673" t="s">
        <v>576</v>
      </c>
      <c r="D38" s="673"/>
      <c r="E38" s="687"/>
      <c r="F38" s="686"/>
      <c r="I38" s="673"/>
      <c r="L38" s="688"/>
      <c r="M38" s="673"/>
      <c r="N38" s="673"/>
      <c r="O38" s="673"/>
      <c r="P38" s="705"/>
      <c r="Q38" s="704"/>
      <c r="T38" s="637"/>
      <c r="U38" s="673" t="s">
        <v>85</v>
      </c>
    </row>
    <row r="39" spans="1:21">
      <c r="A39" s="679" t="s">
        <v>609</v>
      </c>
      <c r="B39" s="704"/>
      <c r="C39" s="673" t="s">
        <v>198</v>
      </c>
      <c r="D39" s="673"/>
      <c r="E39" s="687" t="s">
        <v>1888</v>
      </c>
      <c r="F39" s="686"/>
      <c r="I39" s="666">
        <f>+'ATT H-3D'!H285</f>
        <v>5403642.5306776343</v>
      </c>
      <c r="L39" s="688"/>
      <c r="M39" s="673"/>
      <c r="N39" s="673"/>
      <c r="O39" s="673"/>
      <c r="P39" s="705"/>
      <c r="Q39" s="704"/>
      <c r="T39" s="637"/>
      <c r="U39" s="673"/>
    </row>
    <row r="40" spans="1:21">
      <c r="A40" s="679" t="s">
        <v>610</v>
      </c>
      <c r="B40" s="704"/>
      <c r="C40" s="673" t="s">
        <v>611</v>
      </c>
      <c r="D40" s="673"/>
      <c r="E40" s="687" t="s">
        <v>612</v>
      </c>
      <c r="F40" s="686"/>
      <c r="I40" s="697">
        <f>IF(I19=0,0,I39/I19)</f>
        <v>3.9076387245049228E-3</v>
      </c>
      <c r="L40" s="689">
        <f>I40</f>
        <v>3.9076387245049228E-3</v>
      </c>
      <c r="M40" s="690"/>
      <c r="N40" s="690"/>
      <c r="O40" s="690"/>
      <c r="P40" s="705"/>
      <c r="Q40" s="704"/>
      <c r="R40" s="673"/>
      <c r="S40" s="673"/>
      <c r="T40" s="637"/>
      <c r="U40" s="673"/>
    </row>
    <row r="41" spans="1:21">
      <c r="A41" s="679"/>
      <c r="C41" s="673"/>
      <c r="D41" s="673"/>
      <c r="E41" s="687"/>
      <c r="F41" s="686"/>
      <c r="I41" s="673"/>
      <c r="L41" s="688"/>
      <c r="M41" s="673"/>
      <c r="N41" s="673"/>
      <c r="O41" s="673"/>
      <c r="P41" s="673"/>
      <c r="R41" s="671"/>
      <c r="S41" s="673"/>
      <c r="T41" s="636"/>
      <c r="U41" s="680"/>
    </row>
    <row r="42" spans="1:21">
      <c r="A42" s="679"/>
      <c r="C42" s="680" t="s">
        <v>613</v>
      </c>
      <c r="D42" s="680"/>
      <c r="E42" s="706"/>
      <c r="F42" s="707"/>
      <c r="L42" s="688"/>
      <c r="P42" s="673"/>
      <c r="R42" s="673"/>
      <c r="S42" s="673"/>
      <c r="U42" s="680"/>
    </row>
    <row r="43" spans="1:21">
      <c r="A43" s="679" t="s">
        <v>614</v>
      </c>
      <c r="C43" s="680" t="s">
        <v>615</v>
      </c>
      <c r="D43" s="680"/>
      <c r="E43" s="687" t="s">
        <v>1889</v>
      </c>
      <c r="F43" s="686"/>
      <c r="I43" s="666">
        <f>+'ATT H-3D'!H284</f>
        <v>78098119.766749218</v>
      </c>
      <c r="L43" s="688"/>
      <c r="M43" s="673"/>
      <c r="N43" s="673"/>
      <c r="O43" s="673"/>
      <c r="P43" s="673"/>
      <c r="R43" s="673"/>
      <c r="S43" s="673"/>
      <c r="U43" s="680"/>
    </row>
    <row r="44" spans="1:21">
      <c r="A44" s="679" t="s">
        <v>616</v>
      </c>
      <c r="B44" s="704"/>
      <c r="C44" s="673" t="s">
        <v>617</v>
      </c>
      <c r="D44" s="673"/>
      <c r="E44" s="687" t="s">
        <v>618</v>
      </c>
      <c r="F44" s="686"/>
      <c r="I44" s="697">
        <f>IF(I19=0,0,I43/I19)</f>
        <v>5.647657767496736E-2</v>
      </c>
      <c r="L44" s="689">
        <f>I44</f>
        <v>5.647657767496736E-2</v>
      </c>
      <c r="M44" s="690"/>
      <c r="N44" s="690"/>
      <c r="O44" s="690"/>
      <c r="P44" s="673"/>
      <c r="S44" s="708"/>
      <c r="T44" s="637"/>
      <c r="U44" s="673"/>
    </row>
    <row r="45" spans="1:21">
      <c r="A45" s="679"/>
      <c r="C45" s="680"/>
      <c r="D45" s="680"/>
      <c r="E45" s="687"/>
      <c r="F45" s="686"/>
      <c r="I45" s="673"/>
      <c r="L45" s="688"/>
      <c r="M45" s="673"/>
      <c r="N45" s="673"/>
      <c r="O45" s="673"/>
      <c r="P45" s="673"/>
      <c r="Q45" s="707"/>
      <c r="R45" s="673"/>
      <c r="S45" s="673"/>
      <c r="U45" s="680"/>
    </row>
    <row r="46" spans="1:21">
      <c r="A46" s="698" t="s">
        <v>619</v>
      </c>
      <c r="B46" s="699"/>
      <c r="C46" s="684" t="s">
        <v>620</v>
      </c>
      <c r="D46" s="684"/>
      <c r="E46" s="700" t="s">
        <v>621</v>
      </c>
      <c r="F46" s="681"/>
      <c r="I46" s="697">
        <f>+I44+I40</f>
        <v>6.0384216399472279E-2</v>
      </c>
      <c r="L46" s="701">
        <f>L40+L44</f>
        <v>6.0384216399472279E-2</v>
      </c>
      <c r="M46" s="702"/>
      <c r="N46" s="702"/>
      <c r="O46" s="702"/>
      <c r="P46" s="673"/>
      <c r="Q46" s="707"/>
      <c r="R46" s="673"/>
      <c r="S46" s="673"/>
      <c r="U46" s="680"/>
    </row>
    <row r="47" spans="1:21">
      <c r="P47" s="709"/>
      <c r="Q47" s="709"/>
      <c r="R47" s="673"/>
      <c r="S47" s="673"/>
      <c r="U47" s="680"/>
    </row>
    <row r="48" spans="1:21">
      <c r="P48" s="709"/>
      <c r="Q48" s="709"/>
      <c r="R48" s="673"/>
      <c r="S48" s="673"/>
      <c r="U48" s="680"/>
    </row>
    <row r="49" spans="1:21">
      <c r="A49" s="710"/>
      <c r="C49" s="679"/>
      <c r="D49" s="679"/>
      <c r="E49" s="696"/>
      <c r="F49" s="696"/>
      <c r="G49" s="673"/>
      <c r="J49" s="694"/>
      <c r="P49" s="673"/>
      <c r="Q49" s="691"/>
      <c r="R49" s="711"/>
      <c r="S49" s="673"/>
      <c r="T49" s="637"/>
      <c r="U49" s="673"/>
    </row>
    <row r="50" spans="1:21">
      <c r="A50" s="601"/>
      <c r="G50" s="673"/>
      <c r="P50" s="673"/>
      <c r="Q50" s="673"/>
      <c r="R50" s="673"/>
      <c r="S50" s="673"/>
      <c r="T50" s="637"/>
      <c r="U50" s="673" t="s">
        <v>85</v>
      </c>
    </row>
    <row r="51" spans="1:21">
      <c r="Q51" s="665"/>
    </row>
    <row r="52" spans="1:21">
      <c r="Q52" s="665"/>
    </row>
    <row r="54" spans="1:21">
      <c r="A54" s="601"/>
      <c r="G54" s="673"/>
      <c r="P54" s="673"/>
      <c r="Q54" s="665"/>
      <c r="R54" s="673"/>
      <c r="S54" s="671"/>
      <c r="U54" s="680"/>
    </row>
    <row r="55" spans="1:21">
      <c r="A55" s="601"/>
      <c r="C55" s="680"/>
      <c r="D55" s="680"/>
      <c r="G55" s="696" t="s">
        <v>303</v>
      </c>
      <c r="H55" s="696"/>
      <c r="P55" s="673"/>
      <c r="Q55" s="665"/>
      <c r="R55" s="673"/>
      <c r="U55" s="680"/>
    </row>
    <row r="56" spans="1:21">
      <c r="A56" s="601"/>
      <c r="C56" s="680"/>
      <c r="D56" s="680"/>
      <c r="G56" s="1199" t="s">
        <v>1259</v>
      </c>
      <c r="H56" s="696"/>
      <c r="L56" s="673"/>
      <c r="M56" s="673"/>
      <c r="N56" s="673"/>
      <c r="O56" s="673"/>
      <c r="P56" s="673"/>
      <c r="R56" s="673"/>
      <c r="S56" s="671"/>
      <c r="U56" s="680"/>
    </row>
    <row r="57" spans="1:21" ht="14.25" customHeight="1">
      <c r="A57" s="601"/>
      <c r="G57" s="1476" t="str">
        <f>'ATT H-3D'!$A$4</f>
        <v>Delmarva Power &amp; Light Company</v>
      </c>
      <c r="P57" s="673"/>
      <c r="R57" s="673"/>
      <c r="S57" s="671"/>
      <c r="U57" s="680"/>
    </row>
    <row r="58" spans="1:21">
      <c r="A58" s="601"/>
      <c r="H58" s="696"/>
      <c r="P58" s="673"/>
      <c r="Q58" s="673"/>
      <c r="R58" s="673"/>
      <c r="S58" s="671"/>
      <c r="U58" s="680"/>
    </row>
    <row r="59" spans="1:21">
      <c r="A59" s="601"/>
      <c r="E59" s="680"/>
      <c r="F59" s="680"/>
      <c r="G59" s="680"/>
      <c r="H59" s="680"/>
      <c r="I59" s="680"/>
      <c r="J59" s="680"/>
      <c r="K59" s="680"/>
      <c r="L59" s="680"/>
      <c r="M59" s="680"/>
      <c r="N59" s="680"/>
      <c r="O59" s="680"/>
      <c r="P59" s="680"/>
      <c r="Q59" s="680"/>
      <c r="R59" s="673"/>
      <c r="S59" s="671"/>
      <c r="U59" s="680"/>
    </row>
    <row r="60" spans="1:21">
      <c r="A60" s="601"/>
      <c r="E60" s="684"/>
      <c r="F60" s="684"/>
      <c r="H60" s="680"/>
      <c r="I60" s="671"/>
      <c r="J60" s="671"/>
      <c r="K60" s="671"/>
      <c r="L60" s="671"/>
      <c r="M60" s="671"/>
      <c r="N60" s="671"/>
      <c r="O60" s="671"/>
      <c r="P60" s="673"/>
      <c r="Q60" s="673"/>
      <c r="R60" s="673"/>
      <c r="S60" s="671"/>
      <c r="U60" s="680"/>
    </row>
    <row r="61" spans="1:21">
      <c r="A61" s="601"/>
      <c r="E61" s="684"/>
      <c r="F61" s="684"/>
      <c r="G61" s="684"/>
      <c r="H61" s="680"/>
      <c r="I61" s="671"/>
      <c r="J61" s="671"/>
      <c r="K61" s="671"/>
      <c r="L61" s="671"/>
      <c r="M61" s="671"/>
      <c r="N61" s="671"/>
      <c r="O61" s="671"/>
      <c r="P61" s="673"/>
      <c r="Q61" s="673"/>
      <c r="R61" s="673"/>
      <c r="S61" s="671"/>
      <c r="U61" s="680"/>
    </row>
    <row r="62" spans="1:21">
      <c r="A62" s="601"/>
      <c r="C62" s="712">
        <v>-1</v>
      </c>
      <c r="D62" s="712">
        <v>-2</v>
      </c>
      <c r="E62" s="712">
        <v>-3</v>
      </c>
      <c r="F62" s="712">
        <v>-4</v>
      </c>
      <c r="G62" s="712">
        <v>-5</v>
      </c>
      <c r="H62" s="712">
        <v>-6</v>
      </c>
      <c r="I62" s="712">
        <v>-7</v>
      </c>
      <c r="J62" s="712">
        <v>-8</v>
      </c>
      <c r="K62" s="712">
        <v>-9</v>
      </c>
      <c r="L62" s="712">
        <v>-10</v>
      </c>
      <c r="M62" s="712">
        <v>-11</v>
      </c>
      <c r="N62" s="712">
        <v>-12</v>
      </c>
      <c r="O62" s="712">
        <v>-13</v>
      </c>
      <c r="P62" s="713" t="s">
        <v>622</v>
      </c>
      <c r="Q62" s="713" t="s">
        <v>623</v>
      </c>
      <c r="U62" s="680"/>
    </row>
    <row r="63" spans="1:21" ht="53.25" customHeight="1">
      <c r="A63" s="714" t="s">
        <v>624</v>
      </c>
      <c r="B63" s="715"/>
      <c r="C63" s="1200" t="s">
        <v>1260</v>
      </c>
      <c r="D63" s="1201" t="s">
        <v>1261</v>
      </c>
      <c r="E63" s="716" t="s">
        <v>627</v>
      </c>
      <c r="F63" s="716" t="s">
        <v>607</v>
      </c>
      <c r="G63" s="717" t="s">
        <v>628</v>
      </c>
      <c r="H63" s="716" t="s">
        <v>629</v>
      </c>
      <c r="I63" s="716" t="s">
        <v>620</v>
      </c>
      <c r="J63" s="717" t="s">
        <v>630</v>
      </c>
      <c r="K63" s="716" t="s">
        <v>631</v>
      </c>
      <c r="L63" s="718" t="s">
        <v>632</v>
      </c>
      <c r="M63" s="718" t="s">
        <v>633</v>
      </c>
      <c r="N63" s="718" t="s">
        <v>634</v>
      </c>
      <c r="O63" s="718" t="s">
        <v>635</v>
      </c>
      <c r="P63" s="718" t="s">
        <v>636</v>
      </c>
      <c r="Q63" s="718" t="s">
        <v>637</v>
      </c>
      <c r="U63" s="680"/>
    </row>
    <row r="64" spans="1:21" ht="46.5" customHeight="1">
      <c r="A64" s="719"/>
      <c r="B64" s="720"/>
      <c r="C64" s="720"/>
      <c r="D64" s="720"/>
      <c r="E64" s="721" t="s">
        <v>66</v>
      </c>
      <c r="F64" s="721" t="s">
        <v>638</v>
      </c>
      <c r="G64" s="722" t="s">
        <v>639</v>
      </c>
      <c r="H64" s="721" t="s">
        <v>640</v>
      </c>
      <c r="I64" s="721" t="s">
        <v>641</v>
      </c>
      <c r="J64" s="722" t="s">
        <v>642</v>
      </c>
      <c r="K64" s="721" t="s">
        <v>643</v>
      </c>
      <c r="L64" s="722" t="s">
        <v>644</v>
      </c>
      <c r="M64" s="721" t="s">
        <v>645</v>
      </c>
      <c r="N64" s="723" t="s">
        <v>1562</v>
      </c>
      <c r="O64" s="724" t="s">
        <v>646</v>
      </c>
      <c r="P64" s="725" t="s">
        <v>647</v>
      </c>
      <c r="Q64" s="724" t="s">
        <v>752</v>
      </c>
      <c r="U64" s="680"/>
    </row>
    <row r="65" spans="1:21">
      <c r="A65" s="726"/>
      <c r="B65" s="671"/>
      <c r="C65" s="671"/>
      <c r="D65" s="671"/>
      <c r="E65" s="671"/>
      <c r="F65" s="671"/>
      <c r="G65" s="727"/>
      <c r="H65" s="671"/>
      <c r="I65" s="671"/>
      <c r="J65" s="727"/>
      <c r="K65" s="671"/>
      <c r="L65" s="727"/>
      <c r="M65" s="728"/>
      <c r="N65" s="727"/>
      <c r="O65" s="727"/>
      <c r="P65" s="673"/>
      <c r="Q65" s="729"/>
      <c r="U65" s="680"/>
    </row>
    <row r="66" spans="1:21">
      <c r="A66" s="730" t="s">
        <v>217</v>
      </c>
      <c r="B66" s="731"/>
      <c r="C66" s="731" t="s">
        <v>648</v>
      </c>
      <c r="D66" s="1206" t="s">
        <v>649</v>
      </c>
      <c r="E66" s="736">
        <f>+'9 - Rate Base'!C26-SUM('6-Project Rev Req'!E67:E83)</f>
        <v>1733380051.6987534</v>
      </c>
      <c r="F66" s="697">
        <f t="shared" ref="F66:F78" si="0">$L$36</f>
        <v>2.4294351322546964E-2</v>
      </c>
      <c r="G66" s="733">
        <f t="shared" ref="G66:G78" si="1">E66*F66</f>
        <v>42111343.951464131</v>
      </c>
      <c r="H66" s="736">
        <f>+'9 - Rate Base'!K26-SUM(H67:H82)</f>
        <v>1309119416.9419706</v>
      </c>
      <c r="I66" s="697">
        <f>$L$46</f>
        <v>6.0384216399472279E-2</v>
      </c>
      <c r="J66" s="733">
        <f>H66*I66</f>
        <v>79050150.165374935</v>
      </c>
      <c r="K66" s="737">
        <f>+'ATT H-3D'!H177-SUM('6-Project Rev Req'!K67:K82)</f>
        <v>46529704.22208102</v>
      </c>
      <c r="L66" s="733">
        <f>G66+J66+K66</f>
        <v>167691198.33892009</v>
      </c>
      <c r="M66" s="738">
        <v>0</v>
      </c>
      <c r="N66" s="733">
        <v>0</v>
      </c>
      <c r="O66" s="733">
        <f>+L66+N66</f>
        <v>167691198.33892009</v>
      </c>
      <c r="P66" s="738">
        <f>+'6A-Project True-up'!K18</f>
        <v>3400424.9140588967</v>
      </c>
      <c r="Q66" s="733">
        <f t="shared" ref="Q66:Q78" si="2">+O66+P66</f>
        <v>171091623.25297898</v>
      </c>
    </row>
    <row r="67" spans="1:21">
      <c r="A67" s="730" t="s">
        <v>161</v>
      </c>
      <c r="B67" s="731"/>
      <c r="C67" s="1475" t="s">
        <v>1668</v>
      </c>
      <c r="D67" s="1475" t="s">
        <v>1656</v>
      </c>
      <c r="E67" s="736">
        <f>+'7 - Cap Add WS'!E31</f>
        <v>14689101</v>
      </c>
      <c r="F67" s="697">
        <f t="shared" si="0"/>
        <v>2.4294351322546964E-2</v>
      </c>
      <c r="G67" s="733">
        <f t="shared" si="1"/>
        <v>356862.1803063759</v>
      </c>
      <c r="H67" s="736">
        <f>AVERAGE('7 - Cap Add WS'!G57,'7 - Cap Add WS'!G59)</f>
        <v>10492215.000000004</v>
      </c>
      <c r="I67" s="697">
        <f t="shared" ref="I67:I78" si="3">$L$46</f>
        <v>6.0384216399472279E-2</v>
      </c>
      <c r="J67" s="733">
        <f t="shared" ref="J67:J78" si="4">H67*I67</f>
        <v>633564.18106978922</v>
      </c>
      <c r="K67" s="737">
        <f>+'7 - Cap Add WS'!F59</f>
        <v>419688.6</v>
      </c>
      <c r="L67" s="733">
        <f t="shared" ref="L67" si="5">G67+J67+K67</f>
        <v>1410114.961376165</v>
      </c>
      <c r="M67" s="738">
        <f>+'7 - Cap Add WS'!E28</f>
        <v>150</v>
      </c>
      <c r="N67" s="733">
        <f>+'7 - Cap Add WS'!H59-'7 - Cap Add WS'!H58</f>
        <v>84610.335546232061</v>
      </c>
      <c r="O67" s="733">
        <f>+L67+N67</f>
        <v>1494725.2969223971</v>
      </c>
      <c r="P67" s="738">
        <f>+'6A-Project True-up'!K19</f>
        <v>31396.367535880399</v>
      </c>
      <c r="Q67" s="733">
        <f t="shared" si="2"/>
        <v>1526121.6644582774</v>
      </c>
    </row>
    <row r="68" spans="1:21">
      <c r="A68" s="730" t="s">
        <v>219</v>
      </c>
      <c r="B68" s="731"/>
      <c r="C68" s="1475" t="s">
        <v>1669</v>
      </c>
      <c r="D68" s="1475" t="s">
        <v>1657</v>
      </c>
      <c r="E68" s="736">
        <f>+'7 - Cap Add WS'!I31</f>
        <v>3099104</v>
      </c>
      <c r="F68" s="697">
        <f t="shared" si="0"/>
        <v>2.4294351322546964E-2</v>
      </c>
      <c r="G68" s="733">
        <f t="shared" si="1"/>
        <v>75290.721361110584</v>
      </c>
      <c r="H68" s="736">
        <f>AVERAGE('7 - Cap Add WS'!K57,'7 - Cap Add WS'!K59)</f>
        <v>2213645.7142857146</v>
      </c>
      <c r="I68" s="697">
        <f t="shared" si="3"/>
        <v>6.0384216399472279E-2</v>
      </c>
      <c r="J68" s="733">
        <f t="shared" si="4"/>
        <v>133669.26184319297</v>
      </c>
      <c r="K68" s="737">
        <f>+'7 - Cap Add WS'!J59</f>
        <v>88545.828571428574</v>
      </c>
      <c r="L68" s="733">
        <f>G68+J68+K68</f>
        <v>297505.81177573209</v>
      </c>
      <c r="M68" s="738">
        <f>+'7 - Cap Add WS'!I28</f>
        <v>150</v>
      </c>
      <c r="N68" s="733">
        <f>+'7 - Cap Add WS'!L59-'7 - Cap Add WS'!L58</f>
        <v>17851.074026427523</v>
      </c>
      <c r="O68" s="733">
        <f t="shared" ref="O68:O78" si="6">+L68+N68</f>
        <v>315356.88580215961</v>
      </c>
      <c r="P68" s="738">
        <f>+'6A-Project True-up'!K20</f>
        <v>6624.0002172983295</v>
      </c>
      <c r="Q68" s="733">
        <f t="shared" si="2"/>
        <v>321980.88601945795</v>
      </c>
    </row>
    <row r="69" spans="1:21">
      <c r="A69" s="730" t="s">
        <v>220</v>
      </c>
      <c r="B69" s="731"/>
      <c r="C69" s="1475" t="s">
        <v>1669</v>
      </c>
      <c r="D69" s="1475" t="s">
        <v>1658</v>
      </c>
      <c r="E69" s="736">
        <f>+'7 - Cap Add WS'!M31</f>
        <v>2418717</v>
      </c>
      <c r="F69" s="697">
        <f t="shared" si="0"/>
        <v>2.4294351322546964E-2</v>
      </c>
      <c r="G69" s="733">
        <f t="shared" si="1"/>
        <v>58761.160547816828</v>
      </c>
      <c r="H69" s="736">
        <f>AVERAGE('7 - Cap Add WS'!O57,'7 - Cap Add WS'!O59)</f>
        <v>1727655</v>
      </c>
      <c r="I69" s="697">
        <f t="shared" si="3"/>
        <v>6.0384216399472279E-2</v>
      </c>
      <c r="J69" s="733">
        <f t="shared" si="4"/>
        <v>104323.09338363029</v>
      </c>
      <c r="K69" s="737">
        <f>+'7 - Cap Add WS'!N59</f>
        <v>69106.2</v>
      </c>
      <c r="L69" s="733">
        <f>G69+J69+K69</f>
        <v>232190.45393144712</v>
      </c>
      <c r="M69" s="738">
        <f>+'7 - Cap Add WS'!M28</f>
        <v>150</v>
      </c>
      <c r="N69" s="733">
        <f>+'7 - Cap Add WS'!P59-'7 - Cap Add WS'!P58</f>
        <v>13931.993316771113</v>
      </c>
      <c r="O69" s="733">
        <f t="shared" si="6"/>
        <v>246122.44724821823</v>
      </c>
      <c r="P69" s="738">
        <f>+'6A-Project True-up'!K21</f>
        <v>5169.7464601327229</v>
      </c>
      <c r="Q69" s="733">
        <f t="shared" si="2"/>
        <v>251292.19370835094</v>
      </c>
    </row>
    <row r="70" spans="1:21">
      <c r="A70" s="730" t="s">
        <v>221</v>
      </c>
      <c r="B70" s="731"/>
      <c r="C70" s="1475" t="s">
        <v>1670</v>
      </c>
      <c r="D70" s="1475" t="s">
        <v>1659</v>
      </c>
      <c r="E70" s="736">
        <f>+'7 - Cap Add WS'!Q31</f>
        <v>6414723</v>
      </c>
      <c r="F70" s="697">
        <f t="shared" si="0"/>
        <v>2.4294351322546964E-2</v>
      </c>
      <c r="G70" s="733">
        <f t="shared" si="1"/>
        <v>155841.53419882242</v>
      </c>
      <c r="H70" s="736">
        <f>AVERAGE('7 - Cap Add WS'!S57,'7 - Cap Add WS'!S59)</f>
        <v>4765222.8000000007</v>
      </c>
      <c r="I70" s="697">
        <f t="shared" si="3"/>
        <v>6.0384216399472279E-2</v>
      </c>
      <c r="J70" s="733">
        <f t="shared" si="4"/>
        <v>287744.24474689923</v>
      </c>
      <c r="K70" s="737">
        <f>+'7 - Cap Add WS'!R59</f>
        <v>183277.8</v>
      </c>
      <c r="L70" s="733">
        <f t="shared" ref="L70:L78" si="7">G70+J70+K70</f>
        <v>626863.57894572173</v>
      </c>
      <c r="M70" s="738">
        <f>+'7 - Cap Add WS'!Q28</f>
        <v>150</v>
      </c>
      <c r="N70" s="733">
        <f>+'7 - Cap Add WS'!T59-'7 - Cap Add WS'!T58</f>
        <v>38457.425191105809</v>
      </c>
      <c r="O70" s="733">
        <f t="shared" si="6"/>
        <v>665321.00413682754</v>
      </c>
      <c r="P70" s="738">
        <f>+'6A-Project True-up'!K22</f>
        <v>13974.724090132548</v>
      </c>
      <c r="Q70" s="733">
        <f t="shared" si="2"/>
        <v>679295.72822696005</v>
      </c>
    </row>
    <row r="71" spans="1:21">
      <c r="A71" s="730" t="s">
        <v>223</v>
      </c>
      <c r="B71" s="731"/>
      <c r="C71" s="1475" t="s">
        <v>1671</v>
      </c>
      <c r="D71" s="1475" t="s">
        <v>1660</v>
      </c>
      <c r="E71" s="736">
        <f>+'7 - Cap Add WS'!U31</f>
        <v>8379558</v>
      </c>
      <c r="F71" s="697">
        <f t="shared" si="0"/>
        <v>2.4294351322546964E-2</v>
      </c>
      <c r="G71" s="733">
        <f t="shared" si="1"/>
        <v>203575.92597965899</v>
      </c>
      <c r="H71" s="736">
        <f>AVERAGE('7 - Cap Add WS'!W57,'7 - Cap Add WS'!W59)</f>
        <v>6344522.4857142884</v>
      </c>
      <c r="I71" s="697">
        <f t="shared" si="3"/>
        <v>6.0384216399472279E-2</v>
      </c>
      <c r="J71" s="733">
        <f t="shared" si="4"/>
        <v>383109.01872868935</v>
      </c>
      <c r="K71" s="737">
        <f>+'7 - Cap Add WS'!V59</f>
        <v>239415.94285714286</v>
      </c>
      <c r="L71" s="733">
        <f t="shared" si="7"/>
        <v>826100.88756549126</v>
      </c>
      <c r="M71" s="738">
        <f>+'7 - Cap Add WS'!U28</f>
        <v>150</v>
      </c>
      <c r="N71" s="733">
        <f>+'7 - Cap Add WS'!X59-'7 - Cap Add WS'!X58</f>
        <v>51222.005132218241</v>
      </c>
      <c r="O71" s="733">
        <f t="shared" si="6"/>
        <v>877322.8926977095</v>
      </c>
      <c r="P71" s="738">
        <f>+'6A-Project True-up'!K23</f>
        <v>18427.590305856407</v>
      </c>
      <c r="Q71" s="733">
        <f t="shared" si="2"/>
        <v>895750.48300356593</v>
      </c>
    </row>
    <row r="72" spans="1:21">
      <c r="A72" s="730" t="s">
        <v>224</v>
      </c>
      <c r="B72" s="731"/>
      <c r="C72" s="1475" t="s">
        <v>1672</v>
      </c>
      <c r="D72" s="1475" t="s">
        <v>1661</v>
      </c>
      <c r="E72" s="736">
        <f>+'7 - Cap Add WS'!Y31</f>
        <v>14504530</v>
      </c>
      <c r="F72" s="697">
        <f t="shared" si="0"/>
        <v>2.4294351322546964E-2</v>
      </c>
      <c r="G72" s="733">
        <f t="shared" si="1"/>
        <v>352378.14758842211</v>
      </c>
      <c r="H72" s="736">
        <f>AVERAGE('7 - Cap Add WS'!AA57,'7 - Cap Add WS'!AA59)</f>
        <v>10878397.499999993</v>
      </c>
      <c r="I72" s="697">
        <f t="shared" si="3"/>
        <v>6.0384216399472279E-2</v>
      </c>
      <c r="J72" s="733">
        <f t="shared" si="4"/>
        <v>656883.5087194778</v>
      </c>
      <c r="K72" s="737">
        <f>+'7 - Cap Add WS'!Z59</f>
        <v>414415.14285714284</v>
      </c>
      <c r="L72" s="733">
        <f t="shared" si="7"/>
        <v>1423676.7991650426</v>
      </c>
      <c r="M72" s="738">
        <f>+'7 - Cap Add WS'!Y28</f>
        <v>150</v>
      </c>
      <c r="N72" s="733">
        <f>+'7 - Cap Add WS'!AB59-'7 - Cap Add WS'!AB58</f>
        <v>87809.804458227009</v>
      </c>
      <c r="O72" s="733">
        <f t="shared" si="6"/>
        <v>1511486.6036232696</v>
      </c>
      <c r="P72" s="738">
        <f>+'6A-Project True-up'!K24</f>
        <v>31747.888220153043</v>
      </c>
      <c r="Q72" s="733">
        <f t="shared" si="2"/>
        <v>1543234.4918434226</v>
      </c>
    </row>
    <row r="73" spans="1:21">
      <c r="A73" s="730" t="s">
        <v>650</v>
      </c>
      <c r="B73" s="731"/>
      <c r="C73" s="1475" t="s">
        <v>1673</v>
      </c>
      <c r="D73" s="1475" t="s">
        <v>1662</v>
      </c>
      <c r="E73" s="736">
        <f>+'7 - Cap Add WS'!AC31</f>
        <v>6681345</v>
      </c>
      <c r="F73" s="697">
        <f t="shared" si="0"/>
        <v>2.4294351322546964E-2</v>
      </c>
      <c r="G73" s="733">
        <f t="shared" si="1"/>
        <v>162318.94273714256</v>
      </c>
      <c r="H73" s="736">
        <f>AVERAGE('7 - Cap Add WS'!AE57,'7 - Cap Add WS'!AE59)</f>
        <v>5185996.3571428545</v>
      </c>
      <c r="I73" s="697">
        <f t="shared" si="3"/>
        <v>6.0384216399472279E-2</v>
      </c>
      <c r="J73" s="733">
        <f t="shared" si="4"/>
        <v>313152.32627658907</v>
      </c>
      <c r="K73" s="737">
        <f>+'7 - Cap Add WS'!AD59</f>
        <v>190895.57142857142</v>
      </c>
      <c r="L73" s="733">
        <f t="shared" si="7"/>
        <v>666366.8404423031</v>
      </c>
      <c r="M73" s="738">
        <f>+'7 - Cap Add WS'!AC28</f>
        <v>150</v>
      </c>
      <c r="N73" s="733">
        <f>+'7 - Cap Add WS'!AF59-'7 - Cap Add WS'!AF58</f>
        <v>41888.493938753149</v>
      </c>
      <c r="O73" s="733">
        <f t="shared" si="6"/>
        <v>708255.33438105625</v>
      </c>
      <c r="P73" s="738">
        <f>+'6A-Project True-up'!K25</f>
        <v>14876.306890005009</v>
      </c>
      <c r="Q73" s="733">
        <f t="shared" si="2"/>
        <v>723131.64127106126</v>
      </c>
    </row>
    <row r="74" spans="1:21">
      <c r="A74" s="730" t="s">
        <v>651</v>
      </c>
      <c r="B74" s="731"/>
      <c r="C74" s="1475" t="s">
        <v>1674</v>
      </c>
      <c r="D74" s="1475" t="s">
        <v>1663</v>
      </c>
      <c r="E74" s="736">
        <f>+'7 - Cap Add WS'!AG31</f>
        <v>217662</v>
      </c>
      <c r="F74" s="697">
        <f t="shared" si="0"/>
        <v>2.4294351322546964E-2</v>
      </c>
      <c r="G74" s="733">
        <f t="shared" si="1"/>
        <v>5287.9570975682173</v>
      </c>
      <c r="H74" s="736">
        <f>AVERAGE('7 - Cap Add WS'!AI57,'7 - Cap Add WS'!AI59)</f>
        <v>174129.60000000009</v>
      </c>
      <c r="I74" s="697">
        <f t="shared" si="3"/>
        <v>6.0384216399472279E-2</v>
      </c>
      <c r="J74" s="733">
        <f t="shared" si="4"/>
        <v>10514.679447953555</v>
      </c>
      <c r="K74" s="737">
        <f>+'7 - Cap Add WS'!AH59</f>
        <v>6218.9142857142861</v>
      </c>
      <c r="L74" s="733">
        <f t="shared" si="7"/>
        <v>22021.550831236058</v>
      </c>
      <c r="M74" s="738">
        <f>+'7 - Cap Add WS'!AG28</f>
        <v>0</v>
      </c>
      <c r="N74" s="733">
        <f>IF(M74=150,#REF!-#REF!,0)</f>
        <v>0</v>
      </c>
      <c r="O74" s="733">
        <f t="shared" si="6"/>
        <v>22021.550831236058</v>
      </c>
      <c r="P74" s="738">
        <f>+'6A-Project True-up'!K26</f>
        <v>463.50723731088641</v>
      </c>
      <c r="Q74" s="733">
        <f t="shared" si="2"/>
        <v>22485.058068546943</v>
      </c>
    </row>
    <row r="75" spans="1:21">
      <c r="A75" s="730" t="s">
        <v>652</v>
      </c>
      <c r="B75" s="731"/>
      <c r="C75" s="734" t="s">
        <v>1675</v>
      </c>
      <c r="D75" s="734" t="s">
        <v>1664</v>
      </c>
      <c r="E75" s="736">
        <f>+'7 - Cap Add WS'!AK31</f>
        <v>5055041</v>
      </c>
      <c r="F75" s="697">
        <f t="shared" si="0"/>
        <v>2.4294351322546964E-2</v>
      </c>
      <c r="G75" s="733">
        <f t="shared" si="1"/>
        <v>122808.94200387913</v>
      </c>
      <c r="H75" s="736">
        <f>AVERAGE('7 - Cap Add WS'!AM57,'7 - Cap Add WS'!AM59)</f>
        <v>4044032.799999998</v>
      </c>
      <c r="I75" s="697">
        <f t="shared" si="3"/>
        <v>6.0384216399472279E-2</v>
      </c>
      <c r="J75" s="733">
        <f t="shared" si="4"/>
        <v>244195.75172176366</v>
      </c>
      <c r="K75" s="737">
        <f>+'7 - Cap Add WS'!AL59</f>
        <v>144429.74285714285</v>
      </c>
      <c r="L75" s="733">
        <f t="shared" si="7"/>
        <v>511434.43658278568</v>
      </c>
      <c r="M75" s="738">
        <f>+'7 - Cap Add WS'!AK28</f>
        <v>0</v>
      </c>
      <c r="N75" s="733">
        <f>IF(M75=150,#REF!-#REF!,0)</f>
        <v>0</v>
      </c>
      <c r="O75" s="733">
        <f t="shared" si="6"/>
        <v>511434.43658278568</v>
      </c>
      <c r="P75" s="738">
        <f>+'6A-Project True-up'!K27</f>
        <v>10764.617105435314</v>
      </c>
      <c r="Q75" s="733">
        <f t="shared" si="2"/>
        <v>522199.05368822097</v>
      </c>
    </row>
    <row r="76" spans="1:21">
      <c r="A76" s="730" t="s">
        <v>653</v>
      </c>
      <c r="B76" s="731"/>
      <c r="C76" s="734" t="s">
        <v>1676</v>
      </c>
      <c r="D76" s="734" t="s">
        <v>1665</v>
      </c>
      <c r="E76" s="736">
        <f>+'7 - Cap Add WS'!AO31</f>
        <v>16372433</v>
      </c>
      <c r="F76" s="697">
        <f t="shared" si="0"/>
        <v>2.4294351322546964E-2</v>
      </c>
      <c r="G76" s="733">
        <f t="shared" si="1"/>
        <v>397757.63930686156</v>
      </c>
      <c r="H76" s="736">
        <f>AVERAGE('7 - Cap Add WS'!AQ57,'7 - Cap Add WS'!AQ59)</f>
        <v>13331838.299999995</v>
      </c>
      <c r="I76" s="697">
        <f t="shared" si="3"/>
        <v>6.0384216399472279E-2</v>
      </c>
      <c r="J76" s="733">
        <f t="shared" si="4"/>
        <v>805032.60890997236</v>
      </c>
      <c r="K76" s="737">
        <f>+'7 - Cap Add WS'!AP59</f>
        <v>467783.8</v>
      </c>
      <c r="L76" s="733">
        <f t="shared" si="7"/>
        <v>1670574.048216834</v>
      </c>
      <c r="M76" s="738">
        <f>+'7 - Cap Add WS'!AO28</f>
        <v>150</v>
      </c>
      <c r="N76" s="733">
        <f>+'7 - Cap Add WS'!AR59-'7 - Cap Add WS'!AR58</f>
        <v>107778.80628934759</v>
      </c>
      <c r="O76" s="733">
        <f t="shared" si="6"/>
        <v>1778352.8545061816</v>
      </c>
      <c r="P76" s="738">
        <f>+'6A-Project True-up'!K28</f>
        <v>37352.172228376505</v>
      </c>
      <c r="Q76" s="733">
        <f t="shared" si="2"/>
        <v>1815705.0267345582</v>
      </c>
    </row>
    <row r="77" spans="1:21">
      <c r="A77" s="730" t="s">
        <v>654</v>
      </c>
      <c r="B77" s="731"/>
      <c r="C77" s="734" t="s">
        <v>1677</v>
      </c>
      <c r="D77" s="734" t="s">
        <v>1666</v>
      </c>
      <c r="E77" s="736">
        <f>+'7 - Cap Add WS'!AS31</f>
        <v>10567349</v>
      </c>
      <c r="F77" s="697">
        <f t="shared" si="0"/>
        <v>2.4294351322546964E-2</v>
      </c>
      <c r="G77" s="733">
        <f t="shared" si="1"/>
        <v>256726.88915396534</v>
      </c>
      <c r="H77" s="736">
        <f>AVERAGE('7 - Cap Add WS'!AU57,'7 - Cap Add WS'!AU59)</f>
        <v>8705482.7476190496</v>
      </c>
      <c r="I77" s="697">
        <f t="shared" si="3"/>
        <v>6.0384216399472279E-2</v>
      </c>
      <c r="J77" s="733">
        <f t="shared" si="4"/>
        <v>525673.75409410126</v>
      </c>
      <c r="K77" s="737">
        <f>+'7 - Cap Add WS'!AT59</f>
        <v>301924.25714285712</v>
      </c>
      <c r="L77" s="733">
        <f t="shared" si="7"/>
        <v>1084324.9003909237</v>
      </c>
      <c r="M77" s="738">
        <f>+'7 - Cap Add WS'!AS28</f>
        <v>0</v>
      </c>
      <c r="N77" s="733"/>
      <c r="O77" s="733">
        <f t="shared" si="6"/>
        <v>1084324.9003909237</v>
      </c>
      <c r="P77" s="738">
        <f>+'6A-Project True-up'!K29</f>
        <v>22821.672092911605</v>
      </c>
      <c r="Q77" s="733">
        <f t="shared" si="2"/>
        <v>1107146.5724838353</v>
      </c>
    </row>
    <row r="78" spans="1:21">
      <c r="A78" s="730" t="s">
        <v>655</v>
      </c>
      <c r="B78" s="731"/>
      <c r="C78" s="734" t="s">
        <v>1678</v>
      </c>
      <c r="D78" s="734" t="s">
        <v>1667</v>
      </c>
      <c r="E78" s="736">
        <f>+'7 - Cap Add WS'!AW31</f>
        <v>7246743</v>
      </c>
      <c r="F78" s="697">
        <f t="shared" si="0"/>
        <v>2.4294351322546964E-2</v>
      </c>
      <c r="G78" s="733">
        <f t="shared" si="1"/>
        <v>176054.92038620796</v>
      </c>
      <c r="H78" s="736">
        <f>AVERAGE('7 - Cap Add WS'!AY57,'7 - Cap Add WS'!AY59)</f>
        <v>5858314.0463333335</v>
      </c>
      <c r="I78" s="697">
        <f t="shared" si="3"/>
        <v>6.0384216399472279E-2</v>
      </c>
      <c r="J78" s="733">
        <f t="shared" si="4"/>
        <v>353749.70310986007</v>
      </c>
      <c r="K78" s="737">
        <f>+'7 - Cap Add WS'!AX59</f>
        <v>207049.8</v>
      </c>
      <c r="L78" s="733">
        <f t="shared" si="7"/>
        <v>736854.42349606799</v>
      </c>
      <c r="M78" s="738">
        <f>+'7 - Cap Add WS'!AW28</f>
        <v>0</v>
      </c>
      <c r="N78" s="733"/>
      <c r="O78" s="733">
        <f t="shared" si="6"/>
        <v>736854.42349606799</v>
      </c>
      <c r="P78" s="738">
        <f>+'6A-Project True-up'!K30</f>
        <v>15508.970810278373</v>
      </c>
      <c r="Q78" s="733">
        <f t="shared" si="2"/>
        <v>752363.39430634631</v>
      </c>
    </row>
    <row r="79" spans="1:21">
      <c r="A79" s="664" t="s">
        <v>656</v>
      </c>
      <c r="B79" s="731"/>
      <c r="C79" s="734"/>
      <c r="D79" s="735"/>
      <c r="E79" s="736"/>
      <c r="F79" s="697"/>
      <c r="G79" s="733"/>
      <c r="H79" s="736"/>
      <c r="I79" s="697"/>
      <c r="J79" s="733"/>
      <c r="K79" s="737"/>
      <c r="L79" s="733"/>
      <c r="M79" s="738"/>
      <c r="N79" s="733"/>
      <c r="O79" s="733"/>
      <c r="P79" s="738"/>
      <c r="Q79" s="733"/>
    </row>
    <row r="80" spans="1:21">
      <c r="A80" s="730" t="s">
        <v>657</v>
      </c>
      <c r="B80" s="731"/>
      <c r="C80" s="734"/>
      <c r="D80" s="735"/>
      <c r="E80" s="736"/>
      <c r="F80" s="697"/>
      <c r="G80" s="733"/>
      <c r="H80" s="736"/>
      <c r="I80" s="697"/>
      <c r="J80" s="733"/>
      <c r="K80" s="737"/>
      <c r="L80" s="733"/>
      <c r="M80" s="738"/>
      <c r="N80" s="733"/>
      <c r="O80" s="733"/>
      <c r="P80" s="738"/>
      <c r="Q80" s="733"/>
    </row>
    <row r="81" spans="1:17">
      <c r="A81" s="730" t="s">
        <v>658</v>
      </c>
      <c r="B81" s="731"/>
      <c r="C81" s="734"/>
      <c r="D81" s="735"/>
      <c r="E81" s="736"/>
      <c r="F81" s="697"/>
      <c r="G81" s="733"/>
      <c r="H81" s="736"/>
      <c r="I81" s="697"/>
      <c r="J81" s="733"/>
      <c r="K81" s="737"/>
      <c r="L81" s="733"/>
      <c r="M81" s="738"/>
      <c r="N81" s="733"/>
      <c r="O81" s="733"/>
      <c r="P81" s="738"/>
      <c r="Q81" s="733"/>
    </row>
    <row r="82" spans="1:17">
      <c r="A82" s="730" t="s">
        <v>659</v>
      </c>
      <c r="B82" s="731"/>
      <c r="C82" s="734"/>
      <c r="D82" s="735"/>
      <c r="E82" s="736"/>
      <c r="F82" s="697"/>
      <c r="G82" s="733"/>
      <c r="H82" s="736"/>
      <c r="I82" s="697"/>
      <c r="J82" s="733"/>
      <c r="K82" s="737"/>
      <c r="L82" s="733"/>
      <c r="M82" s="738"/>
      <c r="N82" s="733"/>
      <c r="O82" s="733"/>
      <c r="P82" s="738"/>
      <c r="Q82" s="733"/>
    </row>
    <row r="83" spans="1:17">
      <c r="A83" s="730" t="s">
        <v>660</v>
      </c>
      <c r="B83" s="731"/>
      <c r="C83" s="734"/>
      <c r="D83" s="735"/>
      <c r="E83" s="736"/>
      <c r="F83" s="697"/>
      <c r="G83" s="733"/>
      <c r="H83" s="736"/>
      <c r="I83" s="697"/>
      <c r="J83" s="733"/>
      <c r="K83" s="737"/>
      <c r="L83" s="733"/>
      <c r="M83" s="738"/>
      <c r="N83" s="733"/>
      <c r="O83" s="733"/>
      <c r="P83" s="738"/>
      <c r="Q83" s="733"/>
    </row>
    <row r="84" spans="1:17">
      <c r="A84" s="730" t="s">
        <v>661</v>
      </c>
      <c r="B84" s="731"/>
      <c r="C84" s="734"/>
      <c r="D84" s="735"/>
      <c r="E84" s="736"/>
      <c r="F84" s="697"/>
      <c r="G84" s="732"/>
      <c r="H84" s="736"/>
      <c r="I84" s="697"/>
      <c r="J84" s="733"/>
      <c r="K84" s="737"/>
      <c r="L84" s="733"/>
      <c r="M84" s="738"/>
      <c r="N84" s="733"/>
      <c r="O84" s="733"/>
      <c r="P84" s="737"/>
      <c r="Q84" s="733"/>
    </row>
    <row r="85" spans="1:17">
      <c r="A85" s="664" t="s">
        <v>662</v>
      </c>
      <c r="B85" s="731"/>
      <c r="C85" s="743"/>
      <c r="D85" s="735"/>
      <c r="E85" s="736"/>
      <c r="F85" s="697"/>
      <c r="G85" s="732"/>
      <c r="H85" s="736"/>
      <c r="I85" s="697"/>
      <c r="J85" s="733"/>
      <c r="K85" s="737"/>
      <c r="L85" s="733"/>
      <c r="M85" s="738"/>
      <c r="N85" s="733"/>
      <c r="O85" s="733"/>
      <c r="P85" s="737"/>
      <c r="Q85" s="733"/>
    </row>
    <row r="86" spans="1:17">
      <c r="A86" s="730" t="s">
        <v>663</v>
      </c>
      <c r="B86" s="731"/>
      <c r="C86" s="734"/>
      <c r="D86" s="735"/>
      <c r="E86" s="736"/>
      <c r="F86" s="697"/>
      <c r="G86" s="732"/>
      <c r="H86" s="736"/>
      <c r="I86" s="697"/>
      <c r="J86" s="733"/>
      <c r="K86" s="737"/>
      <c r="L86" s="733"/>
      <c r="M86" s="738"/>
      <c r="N86" s="733"/>
      <c r="O86" s="733"/>
      <c r="P86" s="737"/>
      <c r="Q86" s="733"/>
    </row>
    <row r="87" spans="1:17">
      <c r="A87" s="730" t="s">
        <v>664</v>
      </c>
      <c r="B87" s="731"/>
      <c r="C87" s="734"/>
      <c r="D87" s="735"/>
      <c r="E87" s="736"/>
      <c r="F87" s="697"/>
      <c r="G87" s="732"/>
      <c r="H87" s="736"/>
      <c r="I87" s="697"/>
      <c r="J87" s="733"/>
      <c r="K87" s="737"/>
      <c r="L87" s="733"/>
      <c r="M87" s="738"/>
      <c r="N87" s="733"/>
      <c r="O87" s="733"/>
      <c r="P87" s="737"/>
      <c r="Q87" s="733"/>
    </row>
    <row r="88" spans="1:17">
      <c r="A88" s="730" t="s">
        <v>665</v>
      </c>
      <c r="C88" s="734"/>
      <c r="D88" s="735"/>
      <c r="E88" s="736"/>
      <c r="F88" s="697"/>
      <c r="G88" s="732"/>
      <c r="H88" s="736"/>
      <c r="I88" s="697"/>
      <c r="J88" s="733"/>
      <c r="K88" s="737"/>
      <c r="L88" s="733"/>
      <c r="M88" s="738"/>
      <c r="N88" s="733"/>
      <c r="O88" s="733"/>
      <c r="P88" s="737"/>
      <c r="Q88" s="733"/>
    </row>
    <row r="89" spans="1:17">
      <c r="A89" s="730" t="s">
        <v>666</v>
      </c>
      <c r="C89" s="743"/>
      <c r="D89" s="739"/>
      <c r="E89" s="736"/>
      <c r="F89" s="697"/>
      <c r="G89" s="732"/>
      <c r="H89" s="740"/>
      <c r="I89" s="697"/>
      <c r="J89" s="733"/>
      <c r="K89" s="741"/>
      <c r="L89" s="733"/>
      <c r="M89" s="738"/>
      <c r="N89" s="733"/>
      <c r="O89" s="733"/>
      <c r="P89" s="737"/>
      <c r="Q89" s="733"/>
    </row>
    <row r="90" spans="1:17">
      <c r="A90" s="730" t="s">
        <v>667</v>
      </c>
      <c r="C90" s="743"/>
      <c r="D90" s="743"/>
      <c r="E90" s="736"/>
      <c r="F90" s="697"/>
      <c r="G90" s="732"/>
      <c r="H90" s="736"/>
      <c r="I90" s="697"/>
      <c r="J90" s="733"/>
      <c r="K90" s="737"/>
      <c r="L90" s="733"/>
      <c r="M90" s="738"/>
      <c r="N90" s="733"/>
      <c r="O90" s="733"/>
      <c r="P90" s="737"/>
      <c r="Q90" s="733"/>
    </row>
    <row r="91" spans="1:17">
      <c r="A91" s="742"/>
      <c r="C91" s="743"/>
      <c r="D91" s="743"/>
      <c r="E91" s="736"/>
      <c r="F91" s="697"/>
      <c r="G91" s="732"/>
      <c r="H91" s="736"/>
      <c r="I91" s="697"/>
      <c r="J91" s="733"/>
      <c r="K91" s="737"/>
      <c r="L91" s="733"/>
      <c r="M91" s="738"/>
      <c r="N91" s="733"/>
      <c r="O91" s="733"/>
      <c r="P91" s="737"/>
      <c r="Q91" s="733"/>
    </row>
    <row r="92" spans="1:17">
      <c r="A92" s="744"/>
      <c r="B92" s="745"/>
      <c r="C92" s="746"/>
      <c r="D92" s="746"/>
      <c r="E92" s="746"/>
      <c r="F92" s="745"/>
      <c r="G92" s="747"/>
      <c r="H92" s="746"/>
      <c r="I92" s="745"/>
      <c r="J92" s="748"/>
      <c r="K92" s="749"/>
      <c r="L92" s="748"/>
      <c r="M92" s="750"/>
      <c r="N92" s="751"/>
      <c r="O92" s="751"/>
      <c r="P92" s="749"/>
      <c r="Q92" s="748"/>
    </row>
    <row r="93" spans="1:17">
      <c r="A93" s="698" t="s">
        <v>668</v>
      </c>
      <c r="B93" s="704"/>
      <c r="C93" s="680" t="s">
        <v>669</v>
      </c>
      <c r="D93" s="680"/>
      <c r="E93" s="666">
        <f>SUM(E66:E92)</f>
        <v>1829026357.6987534</v>
      </c>
      <c r="F93" s="666"/>
      <c r="G93" s="666">
        <f>SUM(G66:G92)</f>
        <v>44435008.91213195</v>
      </c>
      <c r="H93" s="666">
        <f>SUM(H66:H92)</f>
        <v>1382840869.2930655</v>
      </c>
      <c r="I93" s="673"/>
      <c r="J93" s="666">
        <f t="shared" ref="J93:O93" si="8">SUM(J66:J92)</f>
        <v>83501762.297426835</v>
      </c>
      <c r="K93" s="666">
        <f t="shared" si="8"/>
        <v>49262455.822081022</v>
      </c>
      <c r="L93" s="666">
        <f t="shared" si="8"/>
        <v>177199227.03163981</v>
      </c>
      <c r="M93" s="666"/>
      <c r="N93" s="666">
        <f t="shared" si="8"/>
        <v>443549.93789908249</v>
      </c>
      <c r="O93" s="666">
        <f t="shared" si="8"/>
        <v>177642776.9695389</v>
      </c>
      <c r="P93" s="666">
        <f>SUM(P66:P92)</f>
        <v>3609552.4772526673</v>
      </c>
      <c r="Q93" s="666">
        <f>SUM(Q66:Q92)</f>
        <v>181252329.44679159</v>
      </c>
    </row>
    <row r="94" spans="1:17">
      <c r="E94" s="666"/>
      <c r="F94" s="666"/>
      <c r="G94" s="666"/>
      <c r="H94" s="666"/>
      <c r="I94" s="666"/>
      <c r="J94" s="666"/>
      <c r="K94" s="666"/>
      <c r="L94" s="697"/>
    </row>
    <row r="95" spans="1:17">
      <c r="A95" s="752"/>
      <c r="E95" s="666"/>
      <c r="F95" s="666"/>
      <c r="G95" s="666"/>
      <c r="H95" s="666"/>
      <c r="I95" s="666"/>
      <c r="J95" s="666"/>
      <c r="K95" s="666"/>
      <c r="L95" s="697"/>
      <c r="M95" s="708"/>
      <c r="N95" s="708"/>
      <c r="O95" s="708"/>
    </row>
    <row r="96" spans="1:17">
      <c r="K96" s="704"/>
      <c r="L96" s="704"/>
      <c r="M96" s="704"/>
      <c r="N96" s="704"/>
      <c r="O96" s="704"/>
    </row>
    <row r="97" spans="1:17">
      <c r="K97" s="704"/>
      <c r="L97" s="704"/>
      <c r="M97" s="704"/>
      <c r="N97" s="704"/>
      <c r="O97" s="704"/>
    </row>
    <row r="98" spans="1:17">
      <c r="A98" s="664" t="s">
        <v>670</v>
      </c>
    </row>
    <row r="99" spans="1:17" ht="13.5" thickBot="1">
      <c r="A99" s="753" t="s">
        <v>671</v>
      </c>
    </row>
    <row r="100" spans="1:17">
      <c r="A100" s="754" t="s">
        <v>9</v>
      </c>
      <c r="C100" s="1953" t="s">
        <v>672</v>
      </c>
      <c r="D100" s="1953"/>
      <c r="E100" s="1953"/>
      <c r="F100" s="1953"/>
      <c r="G100" s="1953"/>
      <c r="H100" s="1953"/>
      <c r="I100" s="1953"/>
      <c r="J100" s="1953"/>
      <c r="K100" s="1953"/>
      <c r="L100" s="1953"/>
      <c r="M100" s="1953"/>
      <c r="N100" s="1953"/>
      <c r="O100" s="1953"/>
      <c r="P100" s="1953"/>
      <c r="Q100" s="1953"/>
    </row>
    <row r="101" spans="1:17">
      <c r="A101" s="754" t="s">
        <v>10</v>
      </c>
      <c r="C101" s="1953" t="s">
        <v>673</v>
      </c>
      <c r="D101" s="1953"/>
      <c r="E101" s="1953"/>
      <c r="F101" s="1953"/>
      <c r="G101" s="1953"/>
      <c r="H101" s="1953"/>
      <c r="I101" s="1953"/>
      <c r="J101" s="1953"/>
      <c r="K101" s="1953"/>
      <c r="L101" s="1953"/>
      <c r="M101" s="1953"/>
      <c r="N101" s="1953"/>
      <c r="O101" s="1953"/>
      <c r="P101" s="1953"/>
      <c r="Q101" s="1953"/>
    </row>
    <row r="102" spans="1:17">
      <c r="A102" s="754" t="s">
        <v>11</v>
      </c>
      <c r="C102" s="1954" t="s">
        <v>674</v>
      </c>
      <c r="D102" s="1954"/>
      <c r="E102" s="1954"/>
      <c r="F102" s="1954"/>
      <c r="G102" s="1954"/>
      <c r="H102" s="1954"/>
      <c r="I102" s="1954"/>
      <c r="J102" s="1954"/>
      <c r="K102" s="1954"/>
      <c r="L102" s="1954"/>
      <c r="M102" s="1954"/>
      <c r="N102" s="1954"/>
      <c r="O102" s="1954"/>
      <c r="P102" s="1954"/>
      <c r="Q102" s="1954"/>
    </row>
    <row r="103" spans="1:17">
      <c r="C103" s="664" t="s">
        <v>675</v>
      </c>
    </row>
    <row r="104" spans="1:17">
      <c r="A104" s="754" t="s">
        <v>14</v>
      </c>
      <c r="C104" s="1954" t="s">
        <v>676</v>
      </c>
      <c r="D104" s="1954"/>
      <c r="E104" s="1954"/>
      <c r="F104" s="1954"/>
      <c r="G104" s="1954"/>
      <c r="H104" s="1954"/>
      <c r="I104" s="1954"/>
      <c r="J104" s="1954"/>
      <c r="K104" s="1954"/>
      <c r="L104" s="1954"/>
      <c r="M104" s="1954"/>
      <c r="N104" s="1954"/>
      <c r="O104" s="1954"/>
      <c r="P104" s="1954"/>
      <c r="Q104" s="1954"/>
    </row>
    <row r="105" spans="1:17">
      <c r="A105" s="696" t="s">
        <v>137</v>
      </c>
      <c r="C105" s="1951" t="s">
        <v>677</v>
      </c>
      <c r="D105" s="1951"/>
      <c r="E105" s="1951"/>
      <c r="F105" s="1951"/>
      <c r="G105" s="1951"/>
      <c r="H105" s="1951"/>
      <c r="I105" s="1951"/>
      <c r="J105" s="1951"/>
      <c r="K105" s="1951"/>
      <c r="L105" s="1951"/>
      <c r="M105" s="1951"/>
      <c r="N105" s="1951"/>
      <c r="O105" s="1951"/>
      <c r="P105" s="1951"/>
      <c r="Q105" s="1951"/>
    </row>
    <row r="106" spans="1:17">
      <c r="A106" s="696" t="s">
        <v>138</v>
      </c>
      <c r="C106" s="1951" t="s">
        <v>678</v>
      </c>
      <c r="D106" s="1951"/>
      <c r="E106" s="1951"/>
      <c r="F106" s="1951"/>
      <c r="G106" s="1951"/>
      <c r="H106" s="1951"/>
      <c r="I106" s="1951"/>
      <c r="J106" s="1951"/>
      <c r="K106" s="1951"/>
      <c r="L106" s="1951"/>
      <c r="M106" s="1951"/>
      <c r="N106" s="1951"/>
      <c r="O106" s="1951"/>
      <c r="P106" s="1951"/>
      <c r="Q106" s="1951"/>
    </row>
    <row r="107" spans="1:17">
      <c r="A107" s="696" t="s">
        <v>139</v>
      </c>
      <c r="C107" s="1951" t="s">
        <v>679</v>
      </c>
      <c r="D107" s="1951"/>
      <c r="E107" s="1951"/>
      <c r="F107" s="1951"/>
      <c r="G107" s="1951"/>
      <c r="H107" s="1951"/>
      <c r="I107" s="1951"/>
      <c r="J107" s="1951"/>
      <c r="K107" s="1951"/>
      <c r="L107" s="1951"/>
      <c r="M107" s="1951"/>
      <c r="N107" s="1951"/>
      <c r="O107" s="1951"/>
      <c r="P107" s="1951"/>
      <c r="Q107" s="1951"/>
    </row>
    <row r="108" spans="1:17">
      <c r="A108" s="696" t="s">
        <v>550</v>
      </c>
      <c r="C108" s="1951" t="s">
        <v>680</v>
      </c>
      <c r="D108" s="1951"/>
      <c r="E108" s="1951"/>
      <c r="F108" s="1951"/>
      <c r="G108" s="1951"/>
      <c r="H108" s="1951"/>
      <c r="I108" s="1951"/>
      <c r="J108" s="1951"/>
      <c r="K108" s="1951"/>
      <c r="L108" s="1951"/>
      <c r="M108" s="1951"/>
      <c r="N108" s="1951"/>
      <c r="O108" s="1951"/>
      <c r="P108" s="1951"/>
      <c r="Q108" s="1951"/>
    </row>
    <row r="109" spans="1:17">
      <c r="A109" s="696" t="s">
        <v>473</v>
      </c>
      <c r="C109" s="664" t="s">
        <v>681</v>
      </c>
    </row>
    <row r="110" spans="1:17">
      <c r="A110" s="679" t="s">
        <v>474</v>
      </c>
      <c r="C110" s="664" t="s">
        <v>682</v>
      </c>
      <c r="P110" s="673"/>
      <c r="Q110" s="711"/>
    </row>
    <row r="111" spans="1:17">
      <c r="A111" s="679" t="s">
        <v>475</v>
      </c>
      <c r="C111" s="664" t="s">
        <v>683</v>
      </c>
      <c r="D111" s="679"/>
      <c r="E111" s="696"/>
      <c r="F111" s="696"/>
      <c r="G111" s="673"/>
      <c r="J111" s="694"/>
      <c r="P111" s="673"/>
      <c r="Q111" s="691"/>
    </row>
    <row r="112" spans="1:17">
      <c r="A112" s="696" t="s">
        <v>479</v>
      </c>
      <c r="C112" s="755" t="s">
        <v>1890</v>
      </c>
      <c r="G112" s="756"/>
    </row>
    <row r="113" spans="1:20">
      <c r="A113" s="696" t="s">
        <v>481</v>
      </c>
      <c r="C113" s="664" t="s">
        <v>684</v>
      </c>
      <c r="K113" s="756"/>
    </row>
    <row r="114" spans="1:20">
      <c r="A114" s="696" t="s">
        <v>484</v>
      </c>
      <c r="C114" s="664" t="s">
        <v>685</v>
      </c>
    </row>
    <row r="115" spans="1:20">
      <c r="C115" s="664" t="s">
        <v>686</v>
      </c>
    </row>
    <row r="116" spans="1:20" ht="12.75" customHeight="1">
      <c r="A116" s="696" t="s">
        <v>485</v>
      </c>
      <c r="C116" s="1952" t="s">
        <v>1563</v>
      </c>
      <c r="D116" s="1952"/>
      <c r="E116" s="1952"/>
      <c r="F116" s="1952"/>
      <c r="G116" s="1952"/>
    </row>
    <row r="124" spans="1:20" ht="14.5">
      <c r="D124"/>
      <c r="E124"/>
      <c r="F124"/>
      <c r="G124"/>
      <c r="H124"/>
      <c r="I124"/>
      <c r="J124"/>
      <c r="K124"/>
      <c r="L124"/>
      <c r="M124"/>
      <c r="N124"/>
      <c r="O124"/>
      <c r="P124"/>
      <c r="Q124"/>
      <c r="R124"/>
      <c r="S124"/>
      <c r="T124" s="664"/>
    </row>
    <row r="125" spans="1:20" ht="14.5">
      <c r="D125"/>
      <c r="E125"/>
      <c r="F125"/>
      <c r="G125"/>
      <c r="H125"/>
      <c r="I125"/>
      <c r="J125"/>
      <c r="K125"/>
      <c r="L125"/>
      <c r="M125"/>
      <c r="N125"/>
      <c r="O125"/>
      <c r="P125"/>
      <c r="Q125"/>
      <c r="R125"/>
      <c r="S125"/>
      <c r="T125" s="664"/>
    </row>
    <row r="126" spans="1:20" ht="14.5">
      <c r="C126" s="1633"/>
      <c r="D126"/>
      <c r="E126"/>
      <c r="F126"/>
      <c r="G126"/>
      <c r="H126"/>
      <c r="I126"/>
      <c r="J126"/>
      <c r="K126"/>
      <c r="L126"/>
      <c r="M126"/>
      <c r="N126"/>
      <c r="O126"/>
      <c r="P126"/>
      <c r="Q126"/>
      <c r="R126"/>
      <c r="S126"/>
      <c r="T126" s="664"/>
    </row>
    <row r="127" spans="1:20" ht="14.5">
      <c r="C127" s="1633"/>
      <c r="D127"/>
      <c r="E127"/>
      <c r="F127"/>
      <c r="G127"/>
      <c r="H127"/>
      <c r="I127"/>
      <c r="J127"/>
      <c r="K127"/>
      <c r="L127"/>
      <c r="M127"/>
      <c r="N127"/>
      <c r="O127"/>
      <c r="P127"/>
      <c r="Q127"/>
      <c r="R127"/>
      <c r="S127"/>
      <c r="T127" s="664"/>
    </row>
    <row r="128" spans="1:20" ht="14.5">
      <c r="C128" s="1633"/>
      <c r="D128"/>
      <c r="E128"/>
      <c r="F128"/>
      <c r="G128"/>
      <c r="H128"/>
      <c r="I128"/>
      <c r="J128"/>
      <c r="K128"/>
      <c r="L128"/>
      <c r="M128"/>
      <c r="N128"/>
      <c r="O128"/>
      <c r="P128"/>
      <c r="Q128"/>
      <c r="R128"/>
      <c r="S128"/>
    </row>
    <row r="129" spans="3:19" ht="14.5">
      <c r="C129" s="1633"/>
      <c r="D129"/>
      <c r="E129"/>
      <c r="F129"/>
      <c r="G129"/>
      <c r="H129"/>
      <c r="I129"/>
      <c r="J129"/>
      <c r="K129"/>
      <c r="L129"/>
      <c r="M129"/>
      <c r="N129"/>
      <c r="O129"/>
      <c r="P129"/>
      <c r="Q129"/>
      <c r="R129"/>
      <c r="S129"/>
    </row>
    <row r="130" spans="3:19">
      <c r="C130" s="1633"/>
    </row>
    <row r="131" spans="3:19">
      <c r="C131" s="1633"/>
    </row>
    <row r="132" spans="3:19">
      <c r="C132" s="1633"/>
    </row>
    <row r="133" spans="3:19">
      <c r="C133" s="1633"/>
    </row>
    <row r="134" spans="3:19">
      <c r="C134" s="1633"/>
    </row>
    <row r="135" spans="3:19">
      <c r="C135" s="1633"/>
    </row>
    <row r="136" spans="3:19">
      <c r="C136" s="1633"/>
    </row>
    <row r="137" spans="3:19">
      <c r="C137" s="1633"/>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0" orientation="portrait" r:id="rId2"/>
  <rowBreaks count="1" manualBreakCount="1">
    <brk id="5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zoomScale="80" zoomScaleNormal="80" zoomScaleSheetLayoutView="51" workbookViewId="0">
      <selection activeCell="L48" sqref="L48"/>
    </sheetView>
  </sheetViews>
  <sheetFormatPr defaultColWidth="11.453125" defaultRowHeight="13"/>
  <cols>
    <col min="1" max="1" width="7.7265625" style="664" customWidth="1"/>
    <col min="2" max="2" width="54.1796875" style="664" customWidth="1"/>
    <col min="3" max="3" width="21.81640625" style="664" customWidth="1"/>
    <col min="4" max="4" width="24" style="664" customWidth="1"/>
    <col min="5" max="5" width="28.54296875" style="664" customWidth="1"/>
    <col min="6" max="6" width="24" style="664" customWidth="1"/>
    <col min="7" max="7" width="23.54296875" style="664" customWidth="1"/>
    <col min="8" max="8" width="18.54296875" style="664" customWidth="1"/>
    <col min="9" max="9" width="23.81640625" style="664" customWidth="1"/>
    <col min="10" max="10" width="17.7265625" style="664" customWidth="1"/>
    <col min="11" max="11" width="18.54296875" style="664" customWidth="1"/>
    <col min="12" max="12" width="17.453125" style="664" customWidth="1"/>
    <col min="13" max="16384" width="11.453125" style="664"/>
  </cols>
  <sheetData>
    <row r="1" spans="1:13">
      <c r="J1" s="667"/>
    </row>
    <row r="5" spans="1:13">
      <c r="A5" s="757"/>
      <c r="D5" s="667"/>
      <c r="E5" s="601" t="s">
        <v>747</v>
      </c>
      <c r="F5" s="667"/>
      <c r="G5" s="667"/>
      <c r="I5" s="667"/>
      <c r="J5" s="667"/>
      <c r="K5" s="667"/>
      <c r="L5" s="668"/>
    </row>
    <row r="6" spans="1:13">
      <c r="A6" s="757"/>
      <c r="D6" s="667"/>
      <c r="E6" s="1202" t="s">
        <v>1262</v>
      </c>
      <c r="F6" s="673"/>
      <c r="G6" s="673"/>
      <c r="I6" s="673"/>
      <c r="J6" s="673"/>
      <c r="K6" s="673"/>
      <c r="L6" s="668"/>
    </row>
    <row r="7" spans="1:13">
      <c r="A7" s="757"/>
      <c r="C7" s="671"/>
      <c r="D7" s="671"/>
      <c r="E7" s="1202" t="str">
        <f>+'ATT H-3D'!$A$4</f>
        <v>Delmarva Power &amp; Light Company</v>
      </c>
      <c r="F7" s="1202"/>
      <c r="G7" s="1202"/>
      <c r="H7" s="1202"/>
      <c r="I7" s="1202"/>
      <c r="J7" s="1202"/>
      <c r="K7" s="671"/>
      <c r="L7" s="671"/>
    </row>
    <row r="8" spans="1:13" s="759" customFormat="1">
      <c r="A8" s="758"/>
      <c r="B8" s="664"/>
      <c r="C8" s="664"/>
      <c r="D8" s="664"/>
      <c r="E8" s="684"/>
      <c r="F8" s="684"/>
      <c r="G8" s="684"/>
      <c r="H8" s="664"/>
      <c r="I8" s="671"/>
      <c r="J8" s="671"/>
      <c r="K8" s="671"/>
      <c r="L8" s="671"/>
    </row>
    <row r="9" spans="1:13" s="759" customFormat="1">
      <c r="A9" s="760"/>
      <c r="B9" s="761"/>
      <c r="C9" s="761"/>
      <c r="D9" s="761"/>
      <c r="E9" s="761"/>
      <c r="F9" s="761"/>
      <c r="G9" s="761"/>
      <c r="H9" s="761"/>
      <c r="I9" s="761"/>
      <c r="J9" s="761"/>
      <c r="K9" s="762"/>
      <c r="L9" s="761"/>
    </row>
    <row r="10" spans="1:13" s="759" customFormat="1">
      <c r="A10" s="760"/>
      <c r="B10" s="761"/>
      <c r="C10" s="761"/>
      <c r="D10" s="1956" t="s">
        <v>687</v>
      </c>
      <c r="E10" s="1957"/>
      <c r="F10" s="763"/>
      <c r="G10" s="764" t="s">
        <v>688</v>
      </c>
      <c r="H10" s="763"/>
      <c r="I10" s="765"/>
      <c r="J10" s="765"/>
      <c r="K10" s="766"/>
    </row>
    <row r="11" spans="1:13" s="759" customFormat="1" ht="15.5">
      <c r="A11" s="760">
        <v>1</v>
      </c>
      <c r="B11" s="761" t="s">
        <v>689</v>
      </c>
      <c r="C11" s="761"/>
      <c r="D11" s="1958" t="s">
        <v>690</v>
      </c>
      <c r="E11" s="1959"/>
      <c r="F11" s="767" t="s">
        <v>691</v>
      </c>
      <c r="G11" s="768" t="s">
        <v>692</v>
      </c>
      <c r="H11" s="767" t="s">
        <v>693</v>
      </c>
      <c r="I11" s="769"/>
      <c r="J11" s="769"/>
      <c r="K11" s="770"/>
    </row>
    <row r="12" spans="1:13" s="759" customFormat="1">
      <c r="A12" s="760">
        <v>2</v>
      </c>
      <c r="B12" s="761"/>
      <c r="C12" s="761"/>
      <c r="D12" s="771"/>
      <c r="E12" s="771"/>
      <c r="F12" s="634">
        <f>+E77</f>
        <v>52866554.109999999</v>
      </c>
      <c r="G12" s="772"/>
      <c r="H12" s="771"/>
      <c r="I12" s="771"/>
      <c r="J12" s="771"/>
      <c r="K12" s="771"/>
    </row>
    <row r="13" spans="1:13" s="759" customFormat="1">
      <c r="B13" s="773" t="s">
        <v>9</v>
      </c>
      <c r="C13" s="773" t="s">
        <v>10</v>
      </c>
      <c r="D13" s="768" t="s">
        <v>11</v>
      </c>
      <c r="E13" s="768" t="s">
        <v>14</v>
      </c>
      <c r="F13" s="764" t="s">
        <v>137</v>
      </c>
      <c r="G13" s="773" t="s">
        <v>138</v>
      </c>
      <c r="H13" s="774" t="s">
        <v>139</v>
      </c>
      <c r="I13" s="774" t="s">
        <v>550</v>
      </c>
      <c r="J13" s="774" t="s">
        <v>473</v>
      </c>
      <c r="K13" s="768" t="s">
        <v>474</v>
      </c>
      <c r="M13" s="776"/>
    </row>
    <row r="14" spans="1:13" s="759" customFormat="1">
      <c r="A14" s="760"/>
      <c r="B14" s="771"/>
      <c r="C14" s="764"/>
      <c r="D14" s="764"/>
      <c r="E14" s="878" t="s">
        <v>694</v>
      </c>
      <c r="F14" s="764"/>
      <c r="G14" s="764"/>
      <c r="H14" s="771"/>
      <c r="I14" s="764"/>
      <c r="J14" s="771"/>
      <c r="K14" s="771"/>
    </row>
    <row r="15" spans="1:13" s="759" customFormat="1">
      <c r="A15" s="760"/>
      <c r="B15" s="771"/>
      <c r="C15" s="764"/>
      <c r="D15" s="774" t="s">
        <v>695</v>
      </c>
      <c r="E15" s="775" t="s">
        <v>44</v>
      </c>
      <c r="F15" s="774" t="s">
        <v>696</v>
      </c>
      <c r="G15" s="774" t="s">
        <v>697</v>
      </c>
      <c r="H15" s="774" t="s">
        <v>698</v>
      </c>
      <c r="I15" s="774"/>
      <c r="J15" s="774" t="s">
        <v>178</v>
      </c>
      <c r="K15" s="774"/>
    </row>
    <row r="16" spans="1:13" s="759" customFormat="1" ht="25.5" customHeight="1">
      <c r="A16" s="760"/>
      <c r="B16" s="1960" t="s">
        <v>1260</v>
      </c>
      <c r="C16" s="1962" t="s">
        <v>1261</v>
      </c>
      <c r="D16" s="774" t="s">
        <v>699</v>
      </c>
      <c r="E16" s="775" t="s">
        <v>43</v>
      </c>
      <c r="F16" s="774" t="s">
        <v>700</v>
      </c>
      <c r="G16" s="774" t="s">
        <v>699</v>
      </c>
      <c r="H16" s="774" t="s">
        <v>701</v>
      </c>
      <c r="I16" s="764" t="s">
        <v>702</v>
      </c>
      <c r="J16" s="774" t="s">
        <v>703</v>
      </c>
      <c r="K16" s="774" t="s">
        <v>704</v>
      </c>
    </row>
    <row r="17" spans="1:11" s="759" customFormat="1" ht="15.5">
      <c r="A17" s="760"/>
      <c r="B17" s="1961"/>
      <c r="C17" s="1963"/>
      <c r="D17" s="768" t="s">
        <v>705</v>
      </c>
      <c r="E17" s="775" t="s">
        <v>692</v>
      </c>
      <c r="F17" s="777" t="s">
        <v>706</v>
      </c>
      <c r="G17" s="774" t="s">
        <v>707</v>
      </c>
      <c r="H17" s="768" t="s">
        <v>708</v>
      </c>
      <c r="I17" s="774" t="s">
        <v>709</v>
      </c>
      <c r="J17" s="768" t="s">
        <v>710</v>
      </c>
      <c r="K17" s="768" t="s">
        <v>711</v>
      </c>
    </row>
    <row r="18" spans="1:11" s="759" customFormat="1">
      <c r="A18" s="760">
        <v>3</v>
      </c>
      <c r="B18" s="771" t="s">
        <v>649</v>
      </c>
      <c r="C18" s="1818" t="s">
        <v>649</v>
      </c>
      <c r="D18" s="1816">
        <v>158649299.86223033</v>
      </c>
      <c r="E18" s="1203">
        <f t="shared" ref="E18:E27" si="0">IF(D$46=0,0,D18/D$46)</f>
        <v>0.94206274475528762</v>
      </c>
      <c r="F18" s="634">
        <f>IF(F$12=0,0,E18*F$12)</f>
        <v>49803611.070620529</v>
      </c>
      <c r="G18" s="1204">
        <f t="shared" ref="G18:G27" si="1">+$E$81*E18</f>
        <v>53027985.159430407</v>
      </c>
      <c r="H18" s="778">
        <f>+G18-F18</f>
        <v>3224374.0888098776</v>
      </c>
      <c r="I18" s="1204">
        <v>0</v>
      </c>
      <c r="J18" s="1204">
        <f>+'6B - True-Up Interest '!G41</f>
        <v>176050.82524901928</v>
      </c>
      <c r="K18" s="779">
        <f>+H18+J18+I18</f>
        <v>3400424.9140588967</v>
      </c>
    </row>
    <row r="19" spans="1:11" s="759" customFormat="1">
      <c r="A19" s="760" t="s">
        <v>712</v>
      </c>
      <c r="B19" s="1482" t="s">
        <v>1668</v>
      </c>
      <c r="C19" s="1817" t="s">
        <v>1656</v>
      </c>
      <c r="D19" s="1819">
        <v>1464820.3838264225</v>
      </c>
      <c r="E19" s="784">
        <f t="shared" si="0"/>
        <v>8.6981330050580272E-3</v>
      </c>
      <c r="F19" s="634">
        <f t="shared" ref="F19:F27" si="2">IF(F$12=0,0,E19*F$12)</f>
        <v>459840.31916787708</v>
      </c>
      <c r="G19" s="780">
        <f t="shared" si="1"/>
        <v>489611.19678581791</v>
      </c>
      <c r="H19" s="778">
        <f>+G19-F19</f>
        <v>29770.877617940831</v>
      </c>
      <c r="I19" s="780">
        <v>0</v>
      </c>
      <c r="J19" s="780">
        <f>+'6B - True-Up Interest '!G42</f>
        <v>1625.4899179395691</v>
      </c>
      <c r="K19" s="779">
        <f t="shared" ref="K19:K27" si="3">+H19+J19+I19</f>
        <v>31396.367535880399</v>
      </c>
    </row>
    <row r="20" spans="1:11" s="759" customFormat="1">
      <c r="A20" s="760" t="s">
        <v>713</v>
      </c>
      <c r="B20" s="1482" t="s">
        <v>1669</v>
      </c>
      <c r="C20" s="1817" t="s">
        <v>1657</v>
      </c>
      <c r="D20" s="1819">
        <v>309047.55238581327</v>
      </c>
      <c r="E20" s="784">
        <f t="shared" si="0"/>
        <v>1.8351306038747611E-3</v>
      </c>
      <c r="F20" s="634">
        <f t="shared" si="2"/>
        <v>97017.031368662036</v>
      </c>
      <c r="G20" s="780">
        <f t="shared" si="1"/>
        <v>103298.08600292937</v>
      </c>
      <c r="H20" s="778">
        <f t="shared" ref="H20:H27" si="4">+G20-F20</f>
        <v>6281.0546342673333</v>
      </c>
      <c r="I20" s="780">
        <v>0</v>
      </c>
      <c r="J20" s="780">
        <f>+'6B - True-Up Interest '!G43</f>
        <v>342.94558303099632</v>
      </c>
      <c r="K20" s="779">
        <f t="shared" si="3"/>
        <v>6624.0002172983295</v>
      </c>
    </row>
    <row r="21" spans="1:11" s="759" customFormat="1">
      <c r="A21" s="760" t="s">
        <v>714</v>
      </c>
      <c r="B21" s="1482" t="s">
        <v>1669</v>
      </c>
      <c r="C21" s="1817" t="s">
        <v>1658</v>
      </c>
      <c r="D21" s="1819">
        <v>241198.28465387312</v>
      </c>
      <c r="E21" s="784">
        <f t="shared" si="0"/>
        <v>1.4322402826146359E-3</v>
      </c>
      <c r="F21" s="634">
        <f t="shared" si="2"/>
        <v>75717.608399368342</v>
      </c>
      <c r="G21" s="780">
        <f t="shared" si="1"/>
        <v>80619.700624034303</v>
      </c>
      <c r="H21" s="778">
        <f t="shared" si="4"/>
        <v>4902.0922246659611</v>
      </c>
      <c r="I21" s="780">
        <v>0</v>
      </c>
      <c r="J21" s="780">
        <f>+'6B - True-Up Interest '!G44</f>
        <v>267.65423546676141</v>
      </c>
      <c r="K21" s="779">
        <f t="shared" si="3"/>
        <v>5169.7464601327229</v>
      </c>
    </row>
    <row r="22" spans="1:11" s="759" customFormat="1">
      <c r="A22" s="760" t="s">
        <v>715</v>
      </c>
      <c r="B22" s="1482" t="s">
        <v>1670</v>
      </c>
      <c r="C22" s="1817" t="s">
        <v>1659</v>
      </c>
      <c r="D22" s="1819">
        <v>652000.92597279779</v>
      </c>
      <c r="E22" s="784">
        <f t="shared" si="0"/>
        <v>3.8715946583962949E-3</v>
      </c>
      <c r="F22" s="634">
        <f t="shared" si="2"/>
        <v>204677.86850009469</v>
      </c>
      <c r="G22" s="780">
        <f t="shared" si="1"/>
        <v>217929.07662652418</v>
      </c>
      <c r="H22" s="778">
        <f t="shared" si="4"/>
        <v>13251.208126429497</v>
      </c>
      <c r="I22" s="780">
        <v>0</v>
      </c>
      <c r="J22" s="780">
        <f>+'6B - True-Up Interest '!G45</f>
        <v>723.51596370305037</v>
      </c>
      <c r="K22" s="779">
        <f t="shared" si="3"/>
        <v>13974.724090132548</v>
      </c>
    </row>
    <row r="23" spans="1:11">
      <c r="A23" s="760" t="s">
        <v>716</v>
      </c>
      <c r="B23" s="1482" t="s">
        <v>1671</v>
      </c>
      <c r="C23" s="1817" t="s">
        <v>1660</v>
      </c>
      <c r="D23" s="1819">
        <v>859752.64093759796</v>
      </c>
      <c r="E23" s="784">
        <f t="shared" si="0"/>
        <v>5.1052285351125184E-3</v>
      </c>
      <c r="F23" s="634">
        <f t="shared" si="2"/>
        <v>269895.84059544199</v>
      </c>
      <c r="G23" s="780">
        <f t="shared" si="1"/>
        <v>287369.37587503274</v>
      </c>
      <c r="H23" s="778">
        <f t="shared" si="4"/>
        <v>17473.535279590753</v>
      </c>
      <c r="I23" s="780">
        <v>0</v>
      </c>
      <c r="J23" s="780">
        <f>+'6B - True-Up Interest '!G46</f>
        <v>954.05502626565487</v>
      </c>
      <c r="K23" s="779">
        <f t="shared" si="3"/>
        <v>18427.590305856407</v>
      </c>
    </row>
    <row r="24" spans="1:11">
      <c r="A24" s="760" t="s">
        <v>717</v>
      </c>
      <c r="B24" s="1482" t="s">
        <v>1672</v>
      </c>
      <c r="C24" s="1817" t="s">
        <v>1661</v>
      </c>
      <c r="D24" s="1819">
        <v>1481220.8372569261</v>
      </c>
      <c r="E24" s="784">
        <f t="shared" si="0"/>
        <v>8.7955192285546855E-3</v>
      </c>
      <c r="F24" s="634">
        <f t="shared" si="2"/>
        <v>464988.79322193173</v>
      </c>
      <c r="G24" s="780">
        <f t="shared" si="1"/>
        <v>495092.99217902735</v>
      </c>
      <c r="H24" s="778">
        <f t="shared" si="4"/>
        <v>30104.198957095621</v>
      </c>
      <c r="I24" s="780">
        <v>0</v>
      </c>
      <c r="J24" s="780">
        <f>+'6B - True-Up Interest '!G47</f>
        <v>1643.6892630574207</v>
      </c>
      <c r="K24" s="779">
        <f t="shared" si="3"/>
        <v>31747.888220153043</v>
      </c>
    </row>
    <row r="25" spans="1:11">
      <c r="A25" s="760" t="s">
        <v>718</v>
      </c>
      <c r="B25" s="1482" t="s">
        <v>1673</v>
      </c>
      <c r="C25" s="1817" t="s">
        <v>1662</v>
      </c>
      <c r="D25" s="1819">
        <v>694064.92784980498</v>
      </c>
      <c r="E25" s="784">
        <f t="shared" si="0"/>
        <v>4.1213715505606895E-3</v>
      </c>
      <c r="F25" s="634">
        <f t="shared" si="2"/>
        <v>217882.71208513129</v>
      </c>
      <c r="G25" s="780">
        <f t="shared" si="1"/>
        <v>231988.82519911291</v>
      </c>
      <c r="H25" s="778">
        <f t="shared" si="4"/>
        <v>14106.113113981613</v>
      </c>
      <c r="I25" s="780">
        <v>0</v>
      </c>
      <c r="J25" s="780">
        <f>+'6B - True-Up Interest '!G48</f>
        <v>770.19377602339591</v>
      </c>
      <c r="K25" s="779">
        <f t="shared" si="3"/>
        <v>14876.306890005009</v>
      </c>
    </row>
    <row r="26" spans="1:11" ht="12.75" customHeight="1">
      <c r="A26" s="760" t="s">
        <v>719</v>
      </c>
      <c r="B26" s="1482" t="s">
        <v>1674</v>
      </c>
      <c r="C26" s="1817" t="s">
        <v>1663</v>
      </c>
      <c r="D26" s="1819">
        <v>21625.267588300951</v>
      </c>
      <c r="E26" s="784">
        <f t="shared" si="0"/>
        <v>1.2841127542317256E-4</v>
      </c>
      <c r="F26" s="634">
        <f t="shared" si="2"/>
        <v>6788.6616404932656</v>
      </c>
      <c r="G26" s="780">
        <f t="shared" si="1"/>
        <v>7228.1716322540151</v>
      </c>
      <c r="H26" s="778">
        <f t="shared" si="4"/>
        <v>439.50999176074947</v>
      </c>
      <c r="I26" s="780">
        <v>0</v>
      </c>
      <c r="J26" s="780">
        <f>+'6B - True-Up Interest '!G49</f>
        <v>23.997245550136917</v>
      </c>
      <c r="K26" s="779">
        <f t="shared" si="3"/>
        <v>463.50723731088641</v>
      </c>
    </row>
    <row r="27" spans="1:11">
      <c r="A27" s="760" t="s">
        <v>720</v>
      </c>
      <c r="B27" s="1482" t="s">
        <v>1675</v>
      </c>
      <c r="C27" s="1817" t="s">
        <v>1664</v>
      </c>
      <c r="D27" s="1819">
        <v>502231.04765568802</v>
      </c>
      <c r="E27" s="784">
        <f t="shared" si="0"/>
        <v>2.9822580979979481E-3</v>
      </c>
      <c r="F27" s="634">
        <f t="shared" si="2"/>
        <v>157661.70910779422</v>
      </c>
      <c r="G27" s="780">
        <f t="shared" si="1"/>
        <v>167869.00770957244</v>
      </c>
      <c r="H27" s="778">
        <f t="shared" si="4"/>
        <v>10207.298601778224</v>
      </c>
      <c r="I27" s="780">
        <v>0</v>
      </c>
      <c r="J27" s="780">
        <f>+'6B - True-Up Interest '!G50</f>
        <v>557.3185036570909</v>
      </c>
      <c r="K27" s="779">
        <f t="shared" si="3"/>
        <v>10764.617105435314</v>
      </c>
    </row>
    <row r="28" spans="1:11">
      <c r="A28" s="760" t="s">
        <v>721</v>
      </c>
      <c r="B28" s="865" t="s">
        <v>1676</v>
      </c>
      <c r="C28" s="1817" t="s">
        <v>1665</v>
      </c>
      <c r="D28" s="1819">
        <v>1742692.78755871</v>
      </c>
      <c r="E28" s="784">
        <f t="shared" ref="E28:E30" si="5">IF(D$46=0,0,D28/D$46)</f>
        <v>1.0348144946989758E-2</v>
      </c>
      <c r="F28" s="634">
        <f t="shared" ref="F28:F30" si="6">IF(F$12=0,0,E28*F$12)</f>
        <v>547070.76477815711</v>
      </c>
      <c r="G28" s="780">
        <f t="shared" ref="G28:G30" si="7">+$E$81*E28</f>
        <v>582489.09611551394</v>
      </c>
      <c r="H28" s="778">
        <f t="shared" ref="H28:H30" si="8">+G28-F28</f>
        <v>35418.331337356823</v>
      </c>
      <c r="I28" s="780">
        <v>0</v>
      </c>
      <c r="J28" s="780">
        <f>+'6B - True-Up Interest '!G51</f>
        <v>1933.8408910196822</v>
      </c>
      <c r="K28" s="779">
        <f t="shared" ref="K28:K31" si="9">+H28+J28+I28</f>
        <v>37352.172228376505</v>
      </c>
    </row>
    <row r="29" spans="1:11">
      <c r="A29" s="760" t="s">
        <v>722</v>
      </c>
      <c r="B29" s="865" t="s">
        <v>1677</v>
      </c>
      <c r="C29" s="1817" t="s">
        <v>1666</v>
      </c>
      <c r="D29" s="1819">
        <v>1064761.7255880137</v>
      </c>
      <c r="E29" s="784">
        <f t="shared" si="5"/>
        <v>6.3225766176647474E-3</v>
      </c>
      <c r="F29" s="634">
        <f t="shared" si="6"/>
        <v>334252.83887239412</v>
      </c>
      <c r="G29" s="780">
        <f t="shared" si="7"/>
        <v>355892.96033352782</v>
      </c>
      <c r="H29" s="778">
        <f t="shared" si="8"/>
        <v>21640.121461133705</v>
      </c>
      <c r="I29" s="780">
        <v>0</v>
      </c>
      <c r="J29" s="780">
        <f>+'6B - True-Up Interest '!G52</f>
        <v>1181.5506317779002</v>
      </c>
      <c r="K29" s="779">
        <f t="shared" si="9"/>
        <v>22821.672092911605</v>
      </c>
    </row>
    <row r="30" spans="1:11">
      <c r="A30" s="760" t="s">
        <v>723</v>
      </c>
      <c r="B30" s="865" t="s">
        <v>1678</v>
      </c>
      <c r="C30" s="1817" t="s">
        <v>1667</v>
      </c>
      <c r="D30" s="1819">
        <v>723582.32362716342</v>
      </c>
      <c r="E30" s="784">
        <f t="shared" si="5"/>
        <v>4.2966464424649964E-3</v>
      </c>
      <c r="F30" s="634">
        <f t="shared" si="6"/>
        <v>227148.89164211473</v>
      </c>
      <c r="G30" s="780">
        <f t="shared" si="7"/>
        <v>241854.91365072309</v>
      </c>
      <c r="H30" s="778">
        <f t="shared" si="8"/>
        <v>14706.022008608357</v>
      </c>
      <c r="I30" s="780">
        <v>0</v>
      </c>
      <c r="J30" s="780">
        <f>+'6B - True-Up Interest '!G53</f>
        <v>802.94880167001611</v>
      </c>
      <c r="K30" s="779">
        <f t="shared" si="9"/>
        <v>15508.970810278373</v>
      </c>
    </row>
    <row r="31" spans="1:11">
      <c r="A31" s="760" t="s">
        <v>724</v>
      </c>
      <c r="B31" s="1482" t="s">
        <v>1928</v>
      </c>
      <c r="C31" s="735"/>
      <c r="D31" s="1819"/>
      <c r="E31" s="784"/>
      <c r="F31" s="634"/>
      <c r="G31" s="780"/>
      <c r="H31" s="778"/>
      <c r="I31" s="780">
        <v>-243631</v>
      </c>
      <c r="J31" s="780">
        <f>+'6B - True-Up Interest '!G54</f>
        <v>-13302.252599999998</v>
      </c>
      <c r="K31" s="779">
        <f t="shared" si="9"/>
        <v>-256933.25260000001</v>
      </c>
    </row>
    <row r="32" spans="1:11">
      <c r="A32" s="760" t="s">
        <v>725</v>
      </c>
      <c r="B32" s="1482" t="s">
        <v>1929</v>
      </c>
      <c r="C32" s="735"/>
      <c r="D32" s="1819"/>
      <c r="E32" s="784"/>
      <c r="F32" s="634"/>
      <c r="G32" s="1819"/>
      <c r="H32" s="778"/>
      <c r="I32" s="1819"/>
      <c r="J32" s="1819"/>
      <c r="K32" s="779">
        <v>2093553.8838254672</v>
      </c>
    </row>
    <row r="33" spans="1:11">
      <c r="A33" s="760" t="s">
        <v>726</v>
      </c>
      <c r="B33" s="1482"/>
      <c r="C33" s="735"/>
      <c r="D33" s="780"/>
      <c r="E33" s="784"/>
      <c r="F33" s="634"/>
      <c r="G33" s="780"/>
      <c r="H33" s="778"/>
      <c r="I33" s="780"/>
      <c r="J33" s="780"/>
      <c r="K33" s="779"/>
    </row>
    <row r="34" spans="1:11">
      <c r="A34" s="760" t="s">
        <v>727</v>
      </c>
      <c r="B34" s="865"/>
      <c r="C34" s="735"/>
      <c r="D34" s="780"/>
      <c r="E34" s="784"/>
      <c r="F34" s="634"/>
      <c r="G34" s="780"/>
      <c r="H34" s="778"/>
      <c r="I34" s="780"/>
      <c r="J34" s="780"/>
      <c r="K34" s="779"/>
    </row>
    <row r="35" spans="1:11">
      <c r="A35" s="760" t="s">
        <v>728</v>
      </c>
      <c r="B35" s="865"/>
      <c r="C35" s="735"/>
      <c r="D35" s="780"/>
      <c r="E35" s="784"/>
      <c r="F35" s="634"/>
      <c r="G35" s="780"/>
      <c r="H35" s="778"/>
      <c r="I35" s="780"/>
      <c r="J35" s="780"/>
      <c r="K35" s="779"/>
    </row>
    <row r="36" spans="1:11">
      <c r="A36" s="760" t="s">
        <v>729</v>
      </c>
      <c r="B36" s="865"/>
      <c r="C36" s="735"/>
      <c r="D36" s="780"/>
      <c r="E36" s="784"/>
      <c r="F36" s="634"/>
      <c r="G36" s="780"/>
      <c r="H36" s="778"/>
      <c r="I36" s="780"/>
      <c r="J36" s="780"/>
      <c r="K36" s="779"/>
    </row>
    <row r="37" spans="1:11">
      <c r="A37" s="760" t="s">
        <v>730</v>
      </c>
      <c r="B37" s="865"/>
      <c r="C37" s="735"/>
      <c r="D37" s="780"/>
      <c r="E37" s="784"/>
      <c r="F37" s="634"/>
      <c r="G37" s="780"/>
      <c r="H37" s="778"/>
      <c r="I37" s="780"/>
      <c r="J37" s="780"/>
      <c r="K37" s="779"/>
    </row>
    <row r="38" spans="1:11">
      <c r="A38" s="760" t="s">
        <v>731</v>
      </c>
      <c r="B38" s="865"/>
      <c r="C38" s="735"/>
      <c r="D38" s="780"/>
      <c r="E38" s="784"/>
      <c r="F38" s="634"/>
      <c r="G38" s="780"/>
      <c r="H38" s="778"/>
      <c r="I38" s="780"/>
      <c r="J38" s="780"/>
      <c r="K38" s="779"/>
    </row>
    <row r="39" spans="1:11">
      <c r="A39" s="760" t="s">
        <v>732</v>
      </c>
      <c r="B39" s="865"/>
      <c r="C39" s="735"/>
      <c r="D39" s="780"/>
      <c r="E39" s="784"/>
      <c r="F39" s="634"/>
      <c r="G39" s="780"/>
      <c r="H39" s="778"/>
      <c r="I39" s="780"/>
      <c r="J39" s="780"/>
      <c r="K39" s="779"/>
    </row>
    <row r="40" spans="1:11">
      <c r="A40" s="760" t="s">
        <v>733</v>
      </c>
      <c r="B40" s="865"/>
      <c r="C40" s="735"/>
      <c r="D40" s="781"/>
      <c r="E40" s="784"/>
      <c r="F40" s="634"/>
      <c r="G40" s="780"/>
      <c r="H40" s="778"/>
      <c r="I40" s="780"/>
      <c r="J40" s="780"/>
      <c r="K40" s="779"/>
    </row>
    <row r="41" spans="1:11">
      <c r="A41" s="760" t="s">
        <v>734</v>
      </c>
      <c r="B41" s="782"/>
      <c r="C41" s="866"/>
      <c r="D41" s="781"/>
      <c r="E41" s="784"/>
      <c r="F41" s="783"/>
      <c r="G41" s="780"/>
      <c r="H41" s="778"/>
      <c r="I41" s="780"/>
      <c r="J41" s="780"/>
      <c r="K41" s="779"/>
    </row>
    <row r="42" spans="1:11" ht="13.5" customHeight="1">
      <c r="A42" s="760" t="s">
        <v>735</v>
      </c>
      <c r="B42" s="782"/>
      <c r="C42" s="866"/>
      <c r="D42" s="781"/>
      <c r="E42" s="784"/>
      <c r="F42" s="783"/>
      <c r="G42" s="781"/>
      <c r="H42" s="784"/>
      <c r="I42" s="781"/>
      <c r="J42" s="781"/>
      <c r="K42" s="785"/>
    </row>
    <row r="43" spans="1:11" ht="13.5" customHeight="1">
      <c r="A43" s="760"/>
      <c r="B43" s="782"/>
      <c r="C43" s="866"/>
      <c r="D43" s="781"/>
      <c r="E43" s="784"/>
      <c r="F43" s="783"/>
      <c r="G43" s="781"/>
      <c r="H43" s="784"/>
      <c r="I43" s="781"/>
      <c r="J43" s="781"/>
      <c r="K43" s="785"/>
    </row>
    <row r="44" spans="1:11">
      <c r="A44" s="760"/>
      <c r="B44" s="782"/>
      <c r="C44" s="866"/>
      <c r="D44" s="781"/>
      <c r="E44" s="784"/>
      <c r="F44" s="783"/>
      <c r="G44" s="781"/>
      <c r="H44" s="784"/>
      <c r="I44" s="781"/>
      <c r="J44" s="781"/>
      <c r="K44" s="785"/>
    </row>
    <row r="45" spans="1:11">
      <c r="A45" s="760"/>
      <c r="B45" s="786"/>
      <c r="C45" s="787"/>
      <c r="D45" s="788"/>
      <c r="E45" s="867"/>
      <c r="F45" s="787"/>
      <c r="G45" s="788"/>
      <c r="H45" s="789"/>
      <c r="I45" s="786"/>
      <c r="J45" s="786"/>
      <c r="K45" s="786"/>
    </row>
    <row r="46" spans="1:11">
      <c r="A46" s="760">
        <v>4</v>
      </c>
      <c r="B46" s="761" t="s">
        <v>736</v>
      </c>
      <c r="C46" s="761"/>
      <c r="D46" s="790">
        <f>SUM(D18:D45)</f>
        <v>168406298.56713146</v>
      </c>
      <c r="E46" s="868">
        <f>SUM(E18:E45)</f>
        <v>0.99999999999999989</v>
      </c>
      <c r="F46" s="790">
        <f>SUM(F18:F45)</f>
        <v>52866554.109999985</v>
      </c>
      <c r="G46" s="790">
        <f>SUM(G18:G45)</f>
        <v>56289228.562164471</v>
      </c>
      <c r="H46" s="790">
        <f>SUM(H18:H45)</f>
        <v>3422674.4521644874</v>
      </c>
      <c r="I46" s="791"/>
      <c r="J46" s="790">
        <f>SUM(J18:J45)</f>
        <v>173575.77248818093</v>
      </c>
      <c r="K46" s="790">
        <f>SUM(K18:K45)</f>
        <v>5446173.1084781345</v>
      </c>
    </row>
    <row r="47" spans="1:11">
      <c r="A47" s="760"/>
      <c r="B47" s="761"/>
      <c r="C47" s="761"/>
      <c r="D47" s="791"/>
      <c r="E47" s="791"/>
      <c r="F47" s="791"/>
      <c r="G47" s="791"/>
      <c r="H47" s="791"/>
      <c r="I47" s="791"/>
      <c r="J47" s="791"/>
      <c r="K47" s="791"/>
    </row>
    <row r="48" spans="1:11">
      <c r="A48" s="760"/>
      <c r="B48" s="761"/>
      <c r="C48" s="761"/>
      <c r="D48" s="791"/>
      <c r="E48" s="791"/>
      <c r="F48" s="791"/>
      <c r="G48" s="791" t="s">
        <v>737</v>
      </c>
      <c r="H48" s="791"/>
      <c r="I48" s="791"/>
      <c r="J48" s="792">
        <f>'6B - True-Up Interest '!E26</f>
        <v>3.2117647058823523E-3</v>
      </c>
      <c r="K48" s="791"/>
    </row>
    <row r="49" spans="1:12">
      <c r="A49" s="760"/>
      <c r="B49" s="761"/>
      <c r="C49" s="761"/>
      <c r="D49" s="791"/>
      <c r="E49" s="791"/>
      <c r="F49" s="791"/>
      <c r="G49" s="791" t="s">
        <v>738</v>
      </c>
      <c r="H49" s="791"/>
      <c r="I49" s="791"/>
      <c r="J49" s="790">
        <f>+J46</f>
        <v>173575.77248818093</v>
      </c>
      <c r="K49" s="791"/>
    </row>
    <row r="50" spans="1:12">
      <c r="A50" s="760"/>
      <c r="B50" s="761" t="s">
        <v>544</v>
      </c>
      <c r="C50" s="761"/>
      <c r="D50" s="761"/>
      <c r="E50" s="761"/>
      <c r="F50" s="761"/>
      <c r="G50" s="761"/>
      <c r="H50" s="761"/>
      <c r="I50" s="761"/>
      <c r="J50" s="761"/>
      <c r="K50" s="761"/>
      <c r="L50" s="761"/>
    </row>
    <row r="51" spans="1:12">
      <c r="A51" s="760"/>
      <c r="B51" s="761" t="s">
        <v>862</v>
      </c>
      <c r="C51" s="761"/>
      <c r="D51" s="761"/>
      <c r="E51" s="761"/>
      <c r="F51" s="761"/>
      <c r="G51" s="761"/>
      <c r="H51" s="761"/>
      <c r="I51" s="761"/>
      <c r="J51" s="761"/>
      <c r="K51" s="761"/>
      <c r="L51" s="761"/>
    </row>
    <row r="52" spans="1:12">
      <c r="A52" s="760"/>
      <c r="B52" s="761" t="s">
        <v>863</v>
      </c>
      <c r="C52" s="761"/>
      <c r="D52" s="761"/>
      <c r="E52" s="761"/>
      <c r="F52" s="761"/>
      <c r="G52" s="761"/>
      <c r="H52" s="761"/>
      <c r="I52" s="761"/>
      <c r="J52" s="761"/>
      <c r="K52" s="761"/>
      <c r="L52" s="761"/>
    </row>
    <row r="53" spans="1:12">
      <c r="A53" s="760"/>
      <c r="B53" s="761" t="s">
        <v>739</v>
      </c>
      <c r="C53" s="761"/>
      <c r="D53" s="761"/>
      <c r="E53" s="761"/>
      <c r="F53" s="761"/>
      <c r="G53" s="761"/>
      <c r="H53" s="761"/>
      <c r="I53" s="761"/>
      <c r="J53" s="761"/>
      <c r="K53" s="761"/>
      <c r="L53" s="761"/>
    </row>
    <row r="54" spans="1:12">
      <c r="A54" s="760"/>
      <c r="B54" s="664" t="s">
        <v>740</v>
      </c>
      <c r="C54" s="761"/>
      <c r="D54" s="761"/>
      <c r="E54" s="761"/>
      <c r="F54" s="761"/>
      <c r="G54" s="761"/>
      <c r="H54" s="761"/>
      <c r="I54" s="761"/>
      <c r="J54" s="761"/>
      <c r="K54" s="761"/>
      <c r="L54" s="761"/>
    </row>
    <row r="55" spans="1:12">
      <c r="A55" s="760"/>
      <c r="B55" s="664" t="s">
        <v>741</v>
      </c>
      <c r="C55" s="761"/>
      <c r="D55" s="761"/>
      <c r="E55" s="761"/>
      <c r="F55" s="761"/>
      <c r="G55" s="761"/>
      <c r="H55" s="761"/>
      <c r="I55" s="761"/>
      <c r="J55" s="761"/>
      <c r="K55" s="761"/>
      <c r="L55" s="761"/>
    </row>
    <row r="56" spans="1:12">
      <c r="A56" s="760"/>
      <c r="B56" s="761" t="s">
        <v>742</v>
      </c>
      <c r="C56" s="761"/>
      <c r="D56" s="761"/>
      <c r="E56" s="761"/>
      <c r="F56" s="761"/>
      <c r="G56" s="761"/>
      <c r="H56" s="761"/>
      <c r="I56" s="761"/>
      <c r="J56" s="761"/>
      <c r="K56" s="761"/>
      <c r="L56" s="761"/>
    </row>
    <row r="57" spans="1:12">
      <c r="A57" s="760"/>
      <c r="B57" s="793" t="s">
        <v>743</v>
      </c>
      <c r="C57" s="761"/>
      <c r="D57" s="761"/>
      <c r="E57" s="761"/>
      <c r="F57" s="761"/>
      <c r="G57" s="761"/>
      <c r="H57" s="761"/>
      <c r="I57" s="761"/>
      <c r="J57" s="761"/>
      <c r="K57" s="761"/>
      <c r="L57" s="761"/>
    </row>
    <row r="58" spans="1:12">
      <c r="A58" s="760"/>
      <c r="J58" s="761"/>
      <c r="K58" s="761"/>
      <c r="L58" s="761"/>
    </row>
    <row r="59" spans="1:12">
      <c r="A59" s="760"/>
      <c r="C59" s="761"/>
      <c r="D59" s="761"/>
      <c r="E59" s="761"/>
      <c r="F59" s="761"/>
      <c r="G59" s="761"/>
      <c r="H59" s="761"/>
      <c r="I59" s="761"/>
      <c r="J59" s="761"/>
      <c r="K59" s="761"/>
      <c r="L59" s="761"/>
    </row>
    <row r="60" spans="1:12">
      <c r="A60" s="760"/>
      <c r="C60" s="761"/>
      <c r="D60" s="761"/>
      <c r="E60" s="761"/>
      <c r="F60" s="761"/>
      <c r="G60" s="761"/>
      <c r="H60" s="761"/>
      <c r="I60" s="761"/>
      <c r="J60" s="761"/>
      <c r="K60" s="761"/>
      <c r="L60" s="761"/>
    </row>
    <row r="61" spans="1:12">
      <c r="A61" s="760"/>
      <c r="B61" s="794"/>
      <c r="C61" s="794"/>
      <c r="D61" s="795"/>
      <c r="E61" s="795"/>
      <c r="F61" s="795"/>
      <c r="G61" s="795"/>
      <c r="H61" s="795"/>
      <c r="I61" s="794"/>
      <c r="J61" s="794"/>
    </row>
    <row r="62" spans="1:12">
      <c r="A62" s="796" t="s">
        <v>744</v>
      </c>
      <c r="C62" s="794"/>
      <c r="D62" s="795"/>
      <c r="E62" s="795"/>
      <c r="F62" s="795"/>
      <c r="G62" s="795"/>
      <c r="H62" s="795"/>
      <c r="I62" s="794"/>
      <c r="J62" s="794"/>
    </row>
    <row r="63" spans="1:12">
      <c r="A63" s="760"/>
      <c r="B63" s="696" t="s">
        <v>513</v>
      </c>
      <c r="C63" s="797" t="s">
        <v>514</v>
      </c>
      <c r="D63" s="798" t="s">
        <v>515</v>
      </c>
      <c r="E63" s="798" t="s">
        <v>516</v>
      </c>
      <c r="F63" s="696"/>
      <c r="J63" s="794"/>
    </row>
    <row r="64" spans="1:12">
      <c r="A64" s="760"/>
      <c r="B64" s="799" t="str">
        <f>+A62</f>
        <v>Prior Period Adjustments</v>
      </c>
      <c r="C64" s="800" t="s">
        <v>108</v>
      </c>
      <c r="D64" s="800" t="s">
        <v>178</v>
      </c>
      <c r="E64" s="800" t="s">
        <v>44</v>
      </c>
      <c r="J64" s="794"/>
    </row>
    <row r="65" spans="1:10">
      <c r="A65" s="760"/>
      <c r="B65" s="801" t="s">
        <v>323</v>
      </c>
      <c r="C65" s="802" t="s">
        <v>745</v>
      </c>
      <c r="D65" s="801" t="s">
        <v>323</v>
      </c>
      <c r="E65" s="802" t="s">
        <v>746</v>
      </c>
      <c r="J65" s="794"/>
    </row>
    <row r="66" spans="1:10">
      <c r="A66" s="760" t="s">
        <v>591</v>
      </c>
      <c r="B66" s="803" t="s">
        <v>1546</v>
      </c>
      <c r="C66" s="804">
        <f>SUM(I31)</f>
        <v>-243631</v>
      </c>
      <c r="D66" s="804">
        <f>SUM(J31)</f>
        <v>-13302.252599999998</v>
      </c>
      <c r="E66" s="804">
        <f>+C66+D66</f>
        <v>-256933.25260000001</v>
      </c>
      <c r="J66" s="794"/>
    </row>
    <row r="67" spans="1:10">
      <c r="A67" s="760"/>
      <c r="B67" s="805"/>
      <c r="C67" s="747"/>
      <c r="D67" s="747"/>
      <c r="E67" s="748"/>
      <c r="J67" s="794"/>
    </row>
    <row r="68" spans="1:10">
      <c r="A68" s="760"/>
      <c r="B68" s="696"/>
      <c r="E68" s="666"/>
      <c r="J68" s="794"/>
    </row>
    <row r="69" spans="1:10">
      <c r="A69" s="760"/>
      <c r="B69" s="696"/>
      <c r="E69" s="666"/>
      <c r="J69" s="794"/>
    </row>
    <row r="70" spans="1:10">
      <c r="A70" s="760"/>
      <c r="C70" s="794"/>
      <c r="D70" s="794"/>
      <c r="E70" s="794"/>
      <c r="F70" s="794"/>
      <c r="G70" s="794"/>
      <c r="H70" s="806"/>
      <c r="J70" s="794"/>
    </row>
    <row r="71" spans="1:10">
      <c r="A71" s="760">
        <v>6</v>
      </c>
      <c r="B71" s="203" t="s">
        <v>1020</v>
      </c>
      <c r="C71" s="201"/>
      <c r="D71" s="201"/>
      <c r="E71" s="201"/>
      <c r="F71" s="201"/>
      <c r="G71" s="794"/>
      <c r="H71" s="806"/>
      <c r="J71" s="794"/>
    </row>
    <row r="72" spans="1:10">
      <c r="A72" s="760"/>
      <c r="B72" s="203"/>
      <c r="C72" s="201"/>
      <c r="D72" s="201"/>
      <c r="E72" s="201"/>
      <c r="F72" s="201"/>
      <c r="G72" s="794"/>
      <c r="H72" s="806"/>
      <c r="J72" s="794"/>
    </row>
    <row r="73" spans="1:10" ht="14.5">
      <c r="A73" s="760">
        <v>7</v>
      </c>
      <c r="B73" s="203"/>
      <c r="C73" s="200" t="s">
        <v>175</v>
      </c>
      <c r="D73" s="200" t="s">
        <v>176</v>
      </c>
      <c r="E73" s="200" t="s">
        <v>177</v>
      </c>
      <c r="F73"/>
      <c r="G73"/>
      <c r="H73" s="806"/>
      <c r="J73" s="794"/>
    </row>
    <row r="74" spans="1:10" ht="14.5">
      <c r="A74" s="760">
        <v>8</v>
      </c>
      <c r="B74" s="195"/>
      <c r="C74" s="1113" t="s">
        <v>1102</v>
      </c>
      <c r="D74" s="196" t="s">
        <v>575</v>
      </c>
      <c r="E74" s="196" t="s">
        <v>778</v>
      </c>
      <c r="F74"/>
      <c r="G74"/>
      <c r="H74"/>
      <c r="I74"/>
      <c r="J74"/>
    </row>
    <row r="75" spans="1:10" ht="14.5">
      <c r="A75" s="760">
        <v>9</v>
      </c>
      <c r="B75" s="198" t="s">
        <v>573</v>
      </c>
      <c r="C75" s="918">
        <v>0</v>
      </c>
      <c r="D75" s="918">
        <v>0</v>
      </c>
      <c r="E75" s="915">
        <f>+C75-D75</f>
        <v>0</v>
      </c>
      <c r="F75"/>
      <c r="G75"/>
      <c r="H75"/>
      <c r="I75"/>
      <c r="J75"/>
    </row>
    <row r="76" spans="1:10" ht="14.5">
      <c r="A76" s="760">
        <v>10</v>
      </c>
      <c r="B76" s="198" t="s">
        <v>574</v>
      </c>
      <c r="C76" s="918">
        <v>43728486.109999999</v>
      </c>
      <c r="D76" s="918">
        <v>-9138068</v>
      </c>
      <c r="E76" s="915">
        <f>+C76-D76</f>
        <v>52866554.109999999</v>
      </c>
      <c r="F76"/>
      <c r="G76"/>
      <c r="H76"/>
      <c r="I76"/>
      <c r="J76"/>
    </row>
    <row r="77" spans="1:10" ht="14.5">
      <c r="A77" s="760">
        <v>11</v>
      </c>
      <c r="B77" s="198"/>
      <c r="C77" s="201"/>
      <c r="D77" s="201"/>
      <c r="E77" s="915">
        <f>SUM(E75:E76)</f>
        <v>52866554.109999999</v>
      </c>
      <c r="F77" s="197"/>
      <c r="G77"/>
      <c r="H77"/>
      <c r="I77"/>
      <c r="J77"/>
    </row>
    <row r="78" spans="1:10" ht="14.5">
      <c r="A78" s="760"/>
      <c r="B78" s="198"/>
      <c r="C78" s="201"/>
      <c r="D78" s="201"/>
      <c r="E78" s="197"/>
      <c r="F78" s="197"/>
      <c r="G78"/>
      <c r="H78"/>
      <c r="I78"/>
      <c r="J78"/>
    </row>
    <row r="79" spans="1:10" ht="14.5">
      <c r="A79" s="760">
        <v>12</v>
      </c>
      <c r="B79" s="203" t="s">
        <v>1019</v>
      </c>
      <c r="C79" s="201"/>
      <c r="D79" s="201"/>
      <c r="E79" s="197"/>
      <c r="F79" s="197"/>
      <c r="G79"/>
      <c r="H79"/>
      <c r="I79"/>
      <c r="J79"/>
    </row>
    <row r="80" spans="1:10" ht="14.5">
      <c r="A80" s="760"/>
      <c r="B80" s="199"/>
      <c r="C80" s="201"/>
      <c r="D80" s="201"/>
      <c r="E80" s="197"/>
      <c r="F80" s="197"/>
      <c r="G80"/>
      <c r="H80"/>
      <c r="I80"/>
      <c r="J80"/>
    </row>
    <row r="81" spans="1:10" ht="14.5">
      <c r="A81" s="760">
        <v>13</v>
      </c>
      <c r="B81" s="198" t="s">
        <v>779</v>
      </c>
      <c r="C81" s="918">
        <v>168406298.56713146</v>
      </c>
      <c r="D81" s="918"/>
      <c r="E81" s="914">
        <f>+(C81-D81)*122/365</f>
        <v>56289228.562164485</v>
      </c>
      <c r="F81" s="794"/>
      <c r="G81"/>
      <c r="H81"/>
      <c r="I81"/>
      <c r="J81"/>
    </row>
    <row r="82" spans="1:10" ht="14.5">
      <c r="A82" s="760"/>
      <c r="C82" s="794"/>
      <c r="D82" s="794"/>
      <c r="E82" s="794"/>
      <c r="F82" s="794"/>
      <c r="G82"/>
      <c r="H82"/>
      <c r="I82"/>
      <c r="J82"/>
    </row>
    <row r="83" spans="1:10" ht="14.5">
      <c r="A83" s="760"/>
      <c r="C83" s="794"/>
      <c r="D83" s="794"/>
      <c r="E83" s="794"/>
      <c r="F83" s="794"/>
      <c r="G83"/>
      <c r="H83"/>
      <c r="I83"/>
      <c r="J83"/>
    </row>
    <row r="84" spans="1:10" ht="66" customHeight="1">
      <c r="A84" s="760"/>
      <c r="C84" s="755"/>
      <c r="D84" s="807"/>
      <c r="E84" s="807"/>
      <c r="F84" s="807"/>
      <c r="G84" s="940"/>
      <c r="H84" s="807"/>
      <c r="I84" s="807"/>
      <c r="J84" s="794"/>
    </row>
    <row r="85" spans="1:10" ht="56.25" customHeight="1">
      <c r="A85" s="808" t="s">
        <v>544</v>
      </c>
      <c r="B85" s="754" t="s">
        <v>9</v>
      </c>
      <c r="C85" s="1964" t="s">
        <v>1891</v>
      </c>
      <c r="D85" s="1964"/>
      <c r="E85" s="1964"/>
      <c r="F85" s="1964"/>
      <c r="G85" s="1964"/>
      <c r="H85" s="1964"/>
      <c r="I85" s="1964"/>
      <c r="J85" s="1964"/>
    </row>
    <row r="86" spans="1:10" ht="27" customHeight="1">
      <c r="A86" s="760"/>
      <c r="B86" s="809" t="s">
        <v>10</v>
      </c>
      <c r="C86" s="1955" t="s">
        <v>1266</v>
      </c>
      <c r="D86" s="1955"/>
      <c r="E86" s="1955"/>
      <c r="F86" s="1955"/>
      <c r="G86" s="1955"/>
      <c r="H86" s="1955"/>
      <c r="I86" s="1955"/>
      <c r="J86" s="1205"/>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7"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zoomScaleNormal="100" workbookViewId="0">
      <selection activeCell="G87" sqref="G87"/>
    </sheetView>
  </sheetViews>
  <sheetFormatPr defaultColWidth="11.453125" defaultRowHeight="13"/>
  <cols>
    <col min="1" max="1" width="5.1796875" style="810" customWidth="1"/>
    <col min="2" max="2" width="47.81640625" style="810" customWidth="1"/>
    <col min="3" max="3" width="24.26953125" style="810" customWidth="1"/>
    <col min="4" max="4" width="22.1796875" style="810" customWidth="1"/>
    <col min="5" max="5" width="12.1796875" style="810" customWidth="1"/>
    <col min="6" max="6" width="10" style="810" customWidth="1"/>
    <col min="7" max="7" width="16.54296875" style="810" customWidth="1"/>
    <col min="8" max="16" width="10" style="810" customWidth="1"/>
    <col min="17" max="17" width="13.7265625" style="810" bestFit="1" customWidth="1"/>
    <col min="18" max="16384" width="11.453125" style="810"/>
  </cols>
  <sheetData>
    <row r="1" spans="1:27">
      <c r="E1" s="601" t="s">
        <v>748</v>
      </c>
      <c r="I1" s="811"/>
      <c r="P1" s="946"/>
    </row>
    <row r="2" spans="1:27">
      <c r="E2" s="812" t="s">
        <v>753</v>
      </c>
      <c r="I2" s="946"/>
    </row>
    <row r="3" spans="1:27">
      <c r="E3" s="812" t="str">
        <f>'ATT H-3D'!$A$4</f>
        <v>Delmarva Power &amp; Light Company</v>
      </c>
    </row>
    <row r="4" spans="1:27">
      <c r="I4" s="606"/>
    </row>
    <row r="5" spans="1:27">
      <c r="F5" s="813"/>
      <c r="G5" s="813"/>
      <c r="H5" s="813"/>
      <c r="I5" s="606"/>
    </row>
    <row r="6" spans="1:27" ht="15.5">
      <c r="E6" s="814" t="s">
        <v>754</v>
      </c>
      <c r="F6" s="815"/>
      <c r="G6" s="816"/>
      <c r="H6" s="815"/>
    </row>
    <row r="7" spans="1:27" ht="46.5" customHeight="1">
      <c r="A7" s="817"/>
      <c r="B7" s="818"/>
      <c r="C7" s="819" t="s">
        <v>755</v>
      </c>
      <c r="D7" s="819"/>
      <c r="E7" s="820" t="s">
        <v>756</v>
      </c>
      <c r="F7" s="821"/>
      <c r="G7" s="821"/>
      <c r="H7" s="821"/>
      <c r="S7" s="813"/>
      <c r="T7" s="813"/>
      <c r="U7" s="813"/>
      <c r="V7" s="813"/>
      <c r="W7" s="813"/>
      <c r="X7" s="813"/>
      <c r="Y7" s="813"/>
      <c r="Z7" s="813"/>
      <c r="AA7" s="813"/>
    </row>
    <row r="8" spans="1:27" ht="15.5">
      <c r="A8" s="1446">
        <v>1</v>
      </c>
      <c r="B8" s="1447"/>
      <c r="C8" s="810" t="s">
        <v>528</v>
      </c>
      <c r="D8" s="823"/>
      <c r="E8" s="824">
        <v>4.1999999999999997E-3</v>
      </c>
      <c r="F8" s="1782">
        <v>2020</v>
      </c>
      <c r="G8" s="826"/>
      <c r="H8" s="826"/>
      <c r="S8" s="827"/>
      <c r="T8" s="827"/>
      <c r="U8" s="827"/>
      <c r="V8" s="828"/>
      <c r="W8" s="815"/>
      <c r="X8" s="816"/>
      <c r="Y8" s="815"/>
      <c r="Z8" s="827"/>
      <c r="AA8" s="813"/>
    </row>
    <row r="9" spans="1:27" ht="15.5">
      <c r="A9" s="1446">
        <v>2</v>
      </c>
      <c r="B9" s="1447"/>
      <c r="C9" s="810" t="s">
        <v>529</v>
      </c>
      <c r="D9" s="823"/>
      <c r="E9" s="824">
        <v>3.8999999999999998E-3</v>
      </c>
      <c r="F9" s="1782">
        <v>2020</v>
      </c>
      <c r="G9" s="826"/>
      <c r="H9" s="826"/>
      <c r="S9" s="827"/>
      <c r="T9" s="829"/>
      <c r="U9" s="829"/>
      <c r="V9" s="821"/>
      <c r="W9" s="821"/>
      <c r="X9" s="821"/>
      <c r="Y9" s="821"/>
      <c r="Z9" s="821"/>
      <c r="AA9" s="813"/>
    </row>
    <row r="10" spans="1:27" ht="15.5">
      <c r="A10" s="1446">
        <v>3</v>
      </c>
      <c r="B10" s="1447"/>
      <c r="C10" s="810" t="s">
        <v>553</v>
      </c>
      <c r="D10" s="823"/>
      <c r="E10" s="824">
        <v>4.1999999999999997E-3</v>
      </c>
      <c r="F10" s="1782">
        <v>2020</v>
      </c>
      <c r="G10" s="826"/>
      <c r="H10" s="826"/>
      <c r="S10" s="827"/>
      <c r="T10" s="829"/>
      <c r="U10" s="829"/>
      <c r="V10" s="825"/>
      <c r="W10" s="825"/>
      <c r="X10" s="830"/>
      <c r="Y10" s="830"/>
      <c r="Z10" s="830"/>
      <c r="AA10" s="813"/>
    </row>
    <row r="11" spans="1:27" ht="15.5">
      <c r="A11" s="1446">
        <v>4</v>
      </c>
      <c r="B11" s="1447"/>
      <c r="C11" s="810" t="s">
        <v>172</v>
      </c>
      <c r="D11" s="823"/>
      <c r="E11" s="824">
        <v>3.8999999999999998E-3</v>
      </c>
      <c r="F11" s="1782">
        <v>2020</v>
      </c>
      <c r="G11" s="826"/>
      <c r="H11" s="826"/>
      <c r="S11" s="827"/>
      <c r="T11" s="829"/>
      <c r="U11" s="829"/>
      <c r="V11" s="825"/>
      <c r="W11" s="825"/>
      <c r="X11" s="830"/>
      <c r="Y11" s="830"/>
      <c r="Z11" s="830"/>
      <c r="AA11" s="813"/>
    </row>
    <row r="12" spans="1:27" ht="15.75" customHeight="1">
      <c r="A12" s="1446">
        <v>5</v>
      </c>
      <c r="B12" s="1447"/>
      <c r="C12" s="810" t="s">
        <v>173</v>
      </c>
      <c r="D12" s="823"/>
      <c r="E12" s="824">
        <v>4.0000000000000001E-3</v>
      </c>
      <c r="F12" s="1782">
        <v>2020</v>
      </c>
      <c r="G12" s="826"/>
      <c r="H12" s="826"/>
      <c r="S12" s="827"/>
      <c r="T12" s="829"/>
      <c r="U12" s="829"/>
      <c r="V12" s="825"/>
      <c r="W12" s="825"/>
      <c r="X12" s="830"/>
      <c r="Y12" s="830"/>
      <c r="Z12" s="830"/>
      <c r="AA12" s="813"/>
    </row>
    <row r="13" spans="1:27" ht="15.5">
      <c r="A13" s="1446">
        <v>6</v>
      </c>
      <c r="B13" s="1447"/>
      <c r="C13" s="810" t="s">
        <v>174</v>
      </c>
      <c r="D13" s="823"/>
      <c r="E13" s="824">
        <v>3.8999999999999998E-3</v>
      </c>
      <c r="F13" s="1782">
        <v>2020</v>
      </c>
      <c r="G13" s="826"/>
      <c r="H13" s="826"/>
      <c r="S13" s="827"/>
      <c r="T13" s="829"/>
      <c r="U13" s="829"/>
      <c r="V13" s="825"/>
      <c r="W13" s="825"/>
      <c r="X13" s="830"/>
      <c r="Y13" s="830"/>
      <c r="Z13" s="830"/>
      <c r="AA13" s="813"/>
    </row>
    <row r="14" spans="1:27" ht="15.5">
      <c r="A14" s="1446">
        <v>7</v>
      </c>
      <c r="B14" s="1447"/>
      <c r="C14" s="810" t="s">
        <v>531</v>
      </c>
      <c r="D14" s="823"/>
      <c r="E14" s="824">
        <v>2.8999999999999998E-3</v>
      </c>
      <c r="F14" s="1782">
        <v>2020</v>
      </c>
      <c r="G14" s="826"/>
      <c r="H14" s="826"/>
      <c r="S14" s="827"/>
      <c r="T14" s="827"/>
      <c r="U14" s="827"/>
      <c r="V14" s="827"/>
      <c r="W14" s="827"/>
      <c r="X14" s="827"/>
      <c r="Y14" s="827"/>
      <c r="Z14" s="827"/>
      <c r="AA14" s="813"/>
    </row>
    <row r="15" spans="1:27" ht="15.5">
      <c r="A15" s="1446">
        <v>8</v>
      </c>
      <c r="B15" s="1447"/>
      <c r="C15" s="810" t="s">
        <v>554</v>
      </c>
      <c r="D15" s="823"/>
      <c r="E15" s="824">
        <v>2.8999999999999998E-3</v>
      </c>
      <c r="F15" s="1782">
        <v>2020</v>
      </c>
      <c r="G15" s="826"/>
      <c r="H15" s="826"/>
      <c r="S15" s="827"/>
      <c r="T15" s="827"/>
      <c r="U15" s="827"/>
      <c r="V15" s="827"/>
      <c r="W15" s="827"/>
      <c r="X15" s="827"/>
      <c r="Y15" s="827"/>
      <c r="Z15" s="827"/>
      <c r="AA15" s="813"/>
    </row>
    <row r="16" spans="1:27" ht="15.5">
      <c r="A16" s="1446">
        <v>9</v>
      </c>
      <c r="B16" s="1447"/>
      <c r="C16" s="810" t="s">
        <v>533</v>
      </c>
      <c r="D16" s="823"/>
      <c r="E16" s="824">
        <v>2.8E-3</v>
      </c>
      <c r="F16" s="1782">
        <v>2020</v>
      </c>
      <c r="G16" s="826"/>
      <c r="H16" s="826"/>
      <c r="S16" s="827"/>
      <c r="T16" s="827"/>
      <c r="U16" s="827"/>
      <c r="V16" s="827"/>
      <c r="W16" s="827"/>
      <c r="X16" s="827"/>
      <c r="Y16" s="827"/>
      <c r="Z16" s="827"/>
      <c r="AA16" s="813"/>
    </row>
    <row r="17" spans="1:27" ht="15.5">
      <c r="A17" s="1446">
        <v>10</v>
      </c>
      <c r="B17" s="1447"/>
      <c r="C17" s="810" t="s">
        <v>534</v>
      </c>
      <c r="D17" s="823"/>
      <c r="E17" s="824">
        <v>2.8E-3</v>
      </c>
      <c r="F17" s="1782">
        <v>2020</v>
      </c>
      <c r="H17" s="826"/>
      <c r="S17" s="827"/>
      <c r="T17" s="827"/>
      <c r="U17" s="827"/>
      <c r="V17" s="827"/>
      <c r="W17" s="827"/>
      <c r="X17" s="827"/>
      <c r="Y17" s="827"/>
      <c r="Z17" s="827"/>
      <c r="AA17" s="813"/>
    </row>
    <row r="18" spans="1:27" ht="15.5">
      <c r="A18" s="1446">
        <v>11</v>
      </c>
      <c r="B18" s="1447"/>
      <c r="C18" s="810" t="s">
        <v>535</v>
      </c>
      <c r="D18" s="823"/>
      <c r="E18" s="824">
        <v>2.7000000000000001E-3</v>
      </c>
      <c r="F18" s="1782">
        <v>2020</v>
      </c>
      <c r="G18" s="826"/>
      <c r="H18" s="826"/>
      <c r="S18" s="827"/>
      <c r="T18" s="827"/>
      <c r="U18" s="827"/>
      <c r="V18" s="827"/>
      <c r="W18" s="827"/>
      <c r="X18" s="827"/>
      <c r="Y18" s="827"/>
      <c r="Z18" s="827"/>
      <c r="AA18" s="813"/>
    </row>
    <row r="19" spans="1:27" ht="15.5">
      <c r="A19" s="1446">
        <v>12</v>
      </c>
      <c r="B19" s="1447"/>
      <c r="C19" s="810" t="s">
        <v>757</v>
      </c>
      <c r="D19" s="823"/>
      <c r="E19" s="824">
        <v>2.8E-3</v>
      </c>
      <c r="F19" s="1782">
        <v>2020</v>
      </c>
      <c r="S19" s="827"/>
      <c r="T19" s="827"/>
      <c r="U19" s="827"/>
      <c r="V19" s="827"/>
      <c r="W19" s="827"/>
      <c r="X19" s="827"/>
      <c r="Y19" s="827"/>
      <c r="Z19" s="827"/>
      <c r="AA19" s="813"/>
    </row>
    <row r="20" spans="1:27" ht="15.5">
      <c r="A20" s="1446">
        <v>13</v>
      </c>
      <c r="B20" s="1447"/>
      <c r="C20" s="810" t="s">
        <v>528</v>
      </c>
      <c r="D20" s="823"/>
      <c r="E20" s="824">
        <v>2.8E-3</v>
      </c>
      <c r="F20" s="1782">
        <v>2021</v>
      </c>
      <c r="G20" s="826"/>
      <c r="S20" s="827"/>
      <c r="T20" s="827"/>
      <c r="U20" s="827"/>
      <c r="V20" s="827"/>
      <c r="W20" s="827"/>
      <c r="X20" s="827"/>
      <c r="Y20" s="827"/>
      <c r="Z20" s="827"/>
      <c r="AA20" s="813"/>
    </row>
    <row r="21" spans="1:27" ht="15.5">
      <c r="A21" s="1446">
        <v>14</v>
      </c>
      <c r="B21" s="1447"/>
      <c r="C21" s="810" t="s">
        <v>529</v>
      </c>
      <c r="D21" s="823"/>
      <c r="E21" s="824">
        <v>2.5000000000000001E-3</v>
      </c>
      <c r="F21" s="1782">
        <v>2021</v>
      </c>
      <c r="G21" s="826"/>
      <c r="H21" s="826"/>
      <c r="S21" s="827"/>
      <c r="T21" s="827"/>
      <c r="U21" s="827"/>
      <c r="V21" s="827"/>
      <c r="W21" s="827"/>
      <c r="X21" s="827"/>
      <c r="Y21" s="827"/>
      <c r="Z21" s="827"/>
      <c r="AA21" s="813"/>
    </row>
    <row r="22" spans="1:27" ht="15.5">
      <c r="A22" s="1446">
        <v>15</v>
      </c>
      <c r="B22" s="1447"/>
      <c r="C22" s="810" t="s">
        <v>553</v>
      </c>
      <c r="D22" s="823"/>
      <c r="E22" s="824">
        <v>2.8E-3</v>
      </c>
      <c r="F22" s="1782">
        <v>2021</v>
      </c>
      <c r="G22" s="826"/>
      <c r="H22" s="826"/>
      <c r="S22" s="827"/>
      <c r="T22" s="827"/>
      <c r="U22" s="827"/>
      <c r="V22" s="827"/>
      <c r="W22" s="827"/>
      <c r="X22" s="827"/>
      <c r="Y22" s="827"/>
      <c r="Z22" s="827"/>
      <c r="AA22" s="813"/>
    </row>
    <row r="23" spans="1:27" ht="15.5">
      <c r="A23" s="1446">
        <v>16</v>
      </c>
      <c r="B23" s="1447"/>
      <c r="C23" s="810" t="s">
        <v>172</v>
      </c>
      <c r="D23" s="823"/>
      <c r="E23" s="824">
        <v>2.7000000000000001E-3</v>
      </c>
      <c r="F23" s="1782">
        <v>2021</v>
      </c>
      <c r="G23" s="826"/>
      <c r="H23" s="826"/>
      <c r="S23" s="827"/>
      <c r="T23" s="827"/>
      <c r="U23" s="827"/>
      <c r="V23" s="827"/>
      <c r="W23" s="827"/>
      <c r="X23" s="827"/>
      <c r="Y23" s="827"/>
      <c r="Z23" s="827"/>
      <c r="AA23" s="813"/>
    </row>
    <row r="24" spans="1:27" ht="15.5">
      <c r="A24" s="1446">
        <v>17</v>
      </c>
      <c r="B24" s="1447"/>
      <c r="C24" s="810" t="s">
        <v>173</v>
      </c>
      <c r="D24" s="823"/>
      <c r="E24" s="824">
        <v>2.8E-3</v>
      </c>
      <c r="F24" s="1782">
        <v>2021</v>
      </c>
      <c r="G24" s="826"/>
      <c r="H24" s="826"/>
      <c r="S24" s="827"/>
      <c r="T24" s="827"/>
      <c r="U24" s="827"/>
      <c r="V24" s="827"/>
      <c r="W24" s="827"/>
      <c r="X24" s="827"/>
      <c r="Y24" s="827"/>
      <c r="Z24" s="827"/>
      <c r="AA24" s="813"/>
    </row>
    <row r="25" spans="1:27" ht="15.5">
      <c r="A25" s="1446"/>
      <c r="B25" s="1447"/>
      <c r="C25" s="831"/>
      <c r="D25" s="832"/>
      <c r="E25" s="832"/>
      <c r="F25" s="832"/>
      <c r="G25" s="832"/>
      <c r="H25" s="832"/>
      <c r="S25" s="827"/>
      <c r="T25" s="827"/>
      <c r="U25" s="827"/>
      <c r="V25" s="833"/>
      <c r="W25" s="830"/>
      <c r="X25" s="827"/>
      <c r="Y25" s="827"/>
      <c r="Z25" s="827"/>
      <c r="AA25" s="813"/>
    </row>
    <row r="26" spans="1:27" ht="15.5">
      <c r="A26" s="1446">
        <v>18</v>
      </c>
      <c r="B26" s="1448" t="s">
        <v>758</v>
      </c>
      <c r="C26" s="834"/>
      <c r="D26" s="832"/>
      <c r="E26" s="1449">
        <f>AVERAGE(E8:E24)</f>
        <v>3.2117647058823523E-3</v>
      </c>
      <c r="F26" s="832"/>
      <c r="G26" s="832"/>
      <c r="H26" s="832"/>
      <c r="S26" s="827"/>
      <c r="T26" s="827"/>
      <c r="U26" s="827"/>
      <c r="V26" s="833"/>
      <c r="W26" s="830"/>
      <c r="X26" s="827"/>
      <c r="Y26" s="827"/>
      <c r="Z26" s="827"/>
      <c r="AA26" s="813"/>
    </row>
    <row r="27" spans="1:27" ht="15.5">
      <c r="A27" s="1447"/>
      <c r="B27" s="1447"/>
      <c r="C27" s="834"/>
      <c r="D27" s="832"/>
      <c r="E27" s="832"/>
      <c r="F27" s="823"/>
      <c r="G27" s="823"/>
      <c r="H27" s="823"/>
      <c r="S27" s="827"/>
      <c r="T27" s="827"/>
      <c r="U27" s="827"/>
      <c r="V27" s="827"/>
      <c r="W27" s="827"/>
      <c r="X27" s="827"/>
      <c r="Y27" s="827"/>
      <c r="Z27" s="827"/>
      <c r="AA27" s="813"/>
    </row>
    <row r="28" spans="1:27" ht="15.5">
      <c r="A28" s="1447" t="s">
        <v>759</v>
      </c>
      <c r="B28" s="1447"/>
      <c r="C28" s="822"/>
      <c r="D28" s="822"/>
      <c r="E28" s="822"/>
      <c r="F28" s="822"/>
      <c r="G28" s="822"/>
      <c r="H28" s="822"/>
      <c r="S28" s="827"/>
      <c r="T28" s="827"/>
      <c r="U28" s="827"/>
      <c r="V28" s="827"/>
      <c r="W28" s="827"/>
      <c r="X28" s="827"/>
      <c r="Y28" s="827"/>
      <c r="Z28" s="827"/>
      <c r="AA28" s="813"/>
    </row>
    <row r="29" spans="1:27" ht="15.5">
      <c r="A29" s="822"/>
      <c r="B29" s="835" t="s">
        <v>760</v>
      </c>
      <c r="C29" s="822"/>
      <c r="D29" s="822"/>
      <c r="E29" s="822"/>
      <c r="F29" s="822"/>
      <c r="G29" s="822"/>
      <c r="H29" s="822"/>
      <c r="S29" s="829"/>
      <c r="T29" s="813"/>
      <c r="U29" s="827"/>
      <c r="V29" s="827"/>
      <c r="W29" s="827"/>
      <c r="X29" s="827"/>
      <c r="Y29" s="827"/>
      <c r="Z29" s="827"/>
      <c r="AA29" s="813"/>
    </row>
    <row r="30" spans="1:27" ht="15.5">
      <c r="A30" s="822"/>
      <c r="B30" s="835"/>
      <c r="C30" s="822"/>
      <c r="D30" s="822"/>
      <c r="E30" s="822"/>
      <c r="F30" s="822"/>
      <c r="G30" s="822"/>
      <c r="H30" s="822"/>
      <c r="S30" s="835"/>
      <c r="U30" s="835"/>
      <c r="V30" s="835"/>
      <c r="W30" s="835"/>
      <c r="X30" s="835"/>
      <c r="Y30" s="835"/>
      <c r="Z30" s="835"/>
    </row>
    <row r="31" spans="1:27" ht="15.5">
      <c r="A31" s="822"/>
      <c r="B31" s="835"/>
      <c r="C31" s="822"/>
      <c r="D31" s="822"/>
      <c r="E31" s="822"/>
      <c r="F31" s="822"/>
      <c r="G31" s="822"/>
      <c r="H31" s="822"/>
      <c r="S31" s="835"/>
      <c r="T31" s="835"/>
      <c r="U31" s="835"/>
      <c r="V31" s="835"/>
      <c r="W31" s="835"/>
      <c r="X31" s="835"/>
      <c r="Y31" s="835"/>
      <c r="Z31" s="835"/>
    </row>
    <row r="32" spans="1:27" ht="15.5">
      <c r="A32" s="822"/>
      <c r="B32" s="822"/>
      <c r="C32" s="822"/>
      <c r="D32" s="822"/>
      <c r="E32" s="822"/>
      <c r="F32" s="822"/>
      <c r="G32" s="822"/>
      <c r="H32" s="822"/>
    </row>
    <row r="33" spans="1:17">
      <c r="A33" s="760"/>
      <c r="B33" s="836"/>
      <c r="C33" s="836"/>
      <c r="D33" s="1965"/>
      <c r="E33" s="1965"/>
      <c r="F33" s="837"/>
      <c r="G33" s="837"/>
      <c r="H33" s="879"/>
      <c r="I33" s="837"/>
      <c r="J33" s="837"/>
      <c r="K33" s="837"/>
    </row>
    <row r="34" spans="1:17">
      <c r="A34" s="760">
        <v>19</v>
      </c>
      <c r="B34" s="836" t="s">
        <v>171</v>
      </c>
      <c r="C34" s="836"/>
      <c r="D34" s="1965"/>
      <c r="E34" s="1965"/>
      <c r="F34" s="1965"/>
      <c r="G34" s="1965"/>
      <c r="H34" s="879"/>
      <c r="I34" s="1965"/>
      <c r="J34" s="1965"/>
      <c r="K34" s="1965"/>
      <c r="L34" s="1965"/>
    </row>
    <row r="35" spans="1:17">
      <c r="A35" s="760">
        <v>20</v>
      </c>
      <c r="B35" s="836"/>
      <c r="C35" s="836"/>
      <c r="D35" s="837"/>
      <c r="E35" s="837"/>
      <c r="F35" s="838"/>
      <c r="G35" s="837"/>
      <c r="H35" s="837"/>
      <c r="I35" s="837"/>
      <c r="J35" s="837"/>
      <c r="K35" s="837"/>
      <c r="L35" s="837"/>
    </row>
    <row r="36" spans="1:17">
      <c r="A36" s="759"/>
      <c r="B36" s="839" t="s">
        <v>9</v>
      </c>
      <c r="C36" s="840" t="s">
        <v>10</v>
      </c>
      <c r="D36" s="840" t="s">
        <v>11</v>
      </c>
      <c r="E36" s="840" t="s">
        <v>14</v>
      </c>
      <c r="F36" s="840" t="s">
        <v>137</v>
      </c>
      <c r="G36" s="841" t="s">
        <v>138</v>
      </c>
      <c r="H36" s="879"/>
      <c r="I36" s="879"/>
      <c r="J36" s="879"/>
      <c r="K36" s="879"/>
      <c r="L36" s="879"/>
      <c r="M36" s="879"/>
      <c r="N36" s="879"/>
      <c r="O36" s="879"/>
      <c r="P36" s="879"/>
      <c r="Q36" s="879"/>
    </row>
    <row r="37" spans="1:17">
      <c r="A37" s="760"/>
      <c r="B37" s="842"/>
      <c r="C37" s="879"/>
      <c r="D37" s="879"/>
      <c r="E37" s="879"/>
      <c r="F37" s="879"/>
      <c r="G37" s="843"/>
      <c r="H37" s="879"/>
      <c r="I37" s="837"/>
      <c r="J37" s="879"/>
      <c r="K37" s="837"/>
      <c r="L37" s="837"/>
      <c r="M37" s="813"/>
      <c r="N37" s="813"/>
      <c r="O37" s="813"/>
      <c r="P37" s="813"/>
      <c r="Q37" s="813"/>
    </row>
    <row r="38" spans="1:17">
      <c r="A38" s="760"/>
      <c r="B38" s="844"/>
      <c r="C38" s="879"/>
      <c r="D38" s="879"/>
      <c r="E38" s="879"/>
      <c r="F38" s="879"/>
      <c r="G38" s="845"/>
      <c r="H38" s="879"/>
      <c r="I38" s="879"/>
      <c r="J38" s="879"/>
      <c r="K38" s="879"/>
      <c r="L38" s="879"/>
      <c r="M38" s="879"/>
      <c r="N38" s="879"/>
      <c r="O38" s="879"/>
      <c r="P38" s="879"/>
      <c r="Q38" s="879"/>
    </row>
    <row r="39" spans="1:17" ht="26">
      <c r="A39" s="760"/>
      <c r="B39" s="742" t="s">
        <v>625</v>
      </c>
      <c r="C39" s="846" t="s">
        <v>626</v>
      </c>
      <c r="D39" s="847" t="s">
        <v>108</v>
      </c>
      <c r="E39" s="879" t="s">
        <v>761</v>
      </c>
      <c r="F39" s="848" t="s">
        <v>737</v>
      </c>
      <c r="G39" s="849" t="s">
        <v>178</v>
      </c>
      <c r="H39" s="813"/>
      <c r="I39" s="813"/>
      <c r="J39" s="813"/>
      <c r="K39" s="813"/>
      <c r="L39" s="813"/>
      <c r="M39" s="813"/>
      <c r="N39" s="813"/>
      <c r="O39" s="813"/>
      <c r="P39" s="879"/>
      <c r="Q39" s="879"/>
    </row>
    <row r="40" spans="1:17" ht="30" customHeight="1">
      <c r="A40" s="760"/>
      <c r="B40" s="844"/>
      <c r="C40" s="879"/>
      <c r="D40" s="847" t="s">
        <v>802</v>
      </c>
      <c r="E40" s="879"/>
      <c r="F40" s="847" t="s">
        <v>762</v>
      </c>
      <c r="G40" s="850" t="s">
        <v>763</v>
      </c>
      <c r="H40" s="879"/>
      <c r="I40" s="879"/>
      <c r="J40" s="879"/>
      <c r="K40" s="879"/>
      <c r="L40" s="879"/>
      <c r="M40" s="879"/>
      <c r="N40" s="879"/>
      <c r="O40" s="879"/>
      <c r="P40" s="879"/>
      <c r="Q40" s="879"/>
    </row>
    <row r="41" spans="1:17">
      <c r="A41" s="760">
        <v>21</v>
      </c>
      <c r="B41" s="842" t="s">
        <v>44</v>
      </c>
      <c r="C41" s="837" t="s">
        <v>649</v>
      </c>
      <c r="D41" s="636">
        <f>+'6A-Project True-up'!H18+'6A-Project True-up'!I18</f>
        <v>3224374.0888098776</v>
      </c>
      <c r="E41" s="636">
        <v>17</v>
      </c>
      <c r="F41" s="852">
        <f>+E26</f>
        <v>3.2117647058823523E-3</v>
      </c>
      <c r="G41" s="860">
        <f>+D41*E41*F41</f>
        <v>176050.82524901928</v>
      </c>
      <c r="H41" s="851"/>
      <c r="I41" s="635"/>
      <c r="J41" s="635"/>
      <c r="K41" s="635"/>
      <c r="L41" s="635"/>
      <c r="M41" s="813"/>
      <c r="N41" s="813"/>
      <c r="O41" s="813"/>
      <c r="P41" s="813"/>
      <c r="Q41" s="813"/>
    </row>
    <row r="42" spans="1:17">
      <c r="A42" s="760" t="s">
        <v>764</v>
      </c>
      <c r="B42" s="1482" t="s">
        <v>1668</v>
      </c>
      <c r="C42" s="735" t="s">
        <v>1656</v>
      </c>
      <c r="D42" s="636">
        <f>+'6A-Project True-up'!H19+'6A-Project True-up'!I19</f>
        <v>29770.877617940831</v>
      </c>
      <c r="E42" s="636">
        <v>17</v>
      </c>
      <c r="F42" s="852">
        <f>+F41</f>
        <v>3.2117647058823523E-3</v>
      </c>
      <c r="G42" s="860">
        <f>+D42*E42*F42</f>
        <v>1625.4899179395691</v>
      </c>
      <c r="H42" s="851"/>
      <c r="I42" s="837"/>
      <c r="J42" s="851"/>
      <c r="K42" s="635"/>
      <c r="L42" s="635"/>
      <c r="M42" s="813"/>
      <c r="N42" s="813"/>
      <c r="O42" s="813"/>
      <c r="P42" s="697"/>
      <c r="Q42" s="856"/>
    </row>
    <row r="43" spans="1:17">
      <c r="A43" s="760" t="s">
        <v>765</v>
      </c>
      <c r="B43" s="1482" t="s">
        <v>1669</v>
      </c>
      <c r="C43" s="735" t="s">
        <v>1657</v>
      </c>
      <c r="D43" s="636">
        <f>+'6A-Project True-up'!H20+'6A-Project True-up'!I20</f>
        <v>6281.0546342673333</v>
      </c>
      <c r="E43" s="636">
        <v>17</v>
      </c>
      <c r="F43" s="852">
        <f t="shared" ref="F43:F54" si="0">+F42</f>
        <v>3.2117647058823523E-3</v>
      </c>
      <c r="G43" s="860">
        <f t="shared" ref="G43:G50" si="1">+D43*E43*F43</f>
        <v>342.94558303099632</v>
      </c>
      <c r="H43" s="851"/>
      <c r="I43" s="837"/>
      <c r="J43" s="851"/>
      <c r="K43" s="635"/>
      <c r="L43" s="635"/>
      <c r="M43" s="813"/>
      <c r="N43" s="813"/>
      <c r="O43" s="813"/>
      <c r="P43" s="697"/>
      <c r="Q43" s="856"/>
    </row>
    <row r="44" spans="1:17">
      <c r="A44" s="760" t="s">
        <v>766</v>
      </c>
      <c r="B44" s="1482" t="s">
        <v>1669</v>
      </c>
      <c r="C44" s="735" t="s">
        <v>1658</v>
      </c>
      <c r="D44" s="636">
        <f>+'6A-Project True-up'!H21+'6A-Project True-up'!I21</f>
        <v>4902.0922246659611</v>
      </c>
      <c r="E44" s="636">
        <v>17</v>
      </c>
      <c r="F44" s="852">
        <f t="shared" si="0"/>
        <v>3.2117647058823523E-3</v>
      </c>
      <c r="G44" s="860">
        <f t="shared" si="1"/>
        <v>267.65423546676141</v>
      </c>
      <c r="H44" s="851"/>
      <c r="I44" s="837"/>
      <c r="J44" s="851"/>
      <c r="K44" s="635"/>
      <c r="L44" s="635"/>
      <c r="M44" s="813"/>
      <c r="N44" s="813"/>
      <c r="O44" s="813"/>
      <c r="P44" s="697"/>
      <c r="Q44" s="856"/>
    </row>
    <row r="45" spans="1:17">
      <c r="A45" s="760" t="s">
        <v>781</v>
      </c>
      <c r="B45" s="1482" t="s">
        <v>1670</v>
      </c>
      <c r="C45" s="735" t="s">
        <v>1659</v>
      </c>
      <c r="D45" s="636">
        <f>+'6A-Project True-up'!H22+'6A-Project True-up'!I22</f>
        <v>13251.208126429497</v>
      </c>
      <c r="E45" s="636">
        <v>17</v>
      </c>
      <c r="F45" s="852">
        <f t="shared" si="0"/>
        <v>3.2117647058823523E-3</v>
      </c>
      <c r="G45" s="860">
        <f t="shared" si="1"/>
        <v>723.51596370305037</v>
      </c>
      <c r="H45" s="851"/>
      <c r="I45" s="837"/>
      <c r="J45" s="851"/>
      <c r="K45" s="635"/>
      <c r="L45" s="635"/>
      <c r="M45" s="813"/>
      <c r="N45" s="813"/>
      <c r="O45" s="813"/>
      <c r="P45" s="697"/>
      <c r="Q45" s="856"/>
    </row>
    <row r="46" spans="1:17">
      <c r="A46" s="760" t="s">
        <v>782</v>
      </c>
      <c r="B46" s="1482" t="s">
        <v>1671</v>
      </c>
      <c r="C46" s="735" t="s">
        <v>1660</v>
      </c>
      <c r="D46" s="636">
        <f>+'6A-Project True-up'!H23+'6A-Project True-up'!I23</f>
        <v>17473.535279590753</v>
      </c>
      <c r="E46" s="636">
        <v>17</v>
      </c>
      <c r="F46" s="852">
        <f t="shared" si="0"/>
        <v>3.2117647058823523E-3</v>
      </c>
      <c r="G46" s="860">
        <f t="shared" si="1"/>
        <v>954.05502626565487</v>
      </c>
      <c r="H46" s="851"/>
      <c r="I46" s="837"/>
      <c r="J46" s="851"/>
      <c r="K46" s="635"/>
      <c r="L46" s="635"/>
      <c r="M46" s="813"/>
      <c r="N46" s="813"/>
      <c r="O46" s="813"/>
      <c r="P46" s="697"/>
      <c r="Q46" s="856"/>
    </row>
    <row r="47" spans="1:17">
      <c r="A47" s="760" t="s">
        <v>783</v>
      </c>
      <c r="B47" s="1482" t="s">
        <v>1672</v>
      </c>
      <c r="C47" s="735" t="s">
        <v>1661</v>
      </c>
      <c r="D47" s="636">
        <f>+'6A-Project True-up'!H24+'6A-Project True-up'!I24</f>
        <v>30104.198957095621</v>
      </c>
      <c r="E47" s="636">
        <v>17</v>
      </c>
      <c r="F47" s="852">
        <f t="shared" si="0"/>
        <v>3.2117647058823523E-3</v>
      </c>
      <c r="G47" s="860">
        <f t="shared" si="1"/>
        <v>1643.6892630574207</v>
      </c>
      <c r="H47" s="851"/>
      <c r="I47" s="837"/>
      <c r="J47" s="851"/>
      <c r="K47" s="635"/>
      <c r="L47" s="635"/>
      <c r="M47" s="813"/>
      <c r="N47" s="813"/>
      <c r="O47" s="813"/>
      <c r="P47" s="697"/>
      <c r="Q47" s="856"/>
    </row>
    <row r="48" spans="1:17">
      <c r="A48" s="760" t="s">
        <v>784</v>
      </c>
      <c r="B48" s="1482" t="s">
        <v>1673</v>
      </c>
      <c r="C48" s="735" t="s">
        <v>1662</v>
      </c>
      <c r="D48" s="636">
        <f>+'6A-Project True-up'!H25+'6A-Project True-up'!I25</f>
        <v>14106.113113981613</v>
      </c>
      <c r="E48" s="636">
        <v>17</v>
      </c>
      <c r="F48" s="852">
        <f t="shared" si="0"/>
        <v>3.2117647058823523E-3</v>
      </c>
      <c r="G48" s="860">
        <f t="shared" si="1"/>
        <v>770.19377602339591</v>
      </c>
      <c r="H48" s="851"/>
      <c r="I48" s="837"/>
      <c r="J48" s="851"/>
      <c r="K48" s="635"/>
      <c r="L48" s="635"/>
      <c r="M48" s="813"/>
      <c r="N48" s="813"/>
      <c r="O48" s="813"/>
      <c r="P48" s="697"/>
      <c r="Q48" s="856"/>
    </row>
    <row r="49" spans="1:17">
      <c r="A49" s="760" t="s">
        <v>785</v>
      </c>
      <c r="B49" s="1482" t="s">
        <v>1674</v>
      </c>
      <c r="C49" s="735" t="s">
        <v>1663</v>
      </c>
      <c r="D49" s="636">
        <f>+'6A-Project True-up'!H26+'6A-Project True-up'!I26</f>
        <v>439.50999176074947</v>
      </c>
      <c r="E49" s="636">
        <v>17</v>
      </c>
      <c r="F49" s="852">
        <f t="shared" si="0"/>
        <v>3.2117647058823523E-3</v>
      </c>
      <c r="G49" s="860">
        <f t="shared" si="1"/>
        <v>23.997245550136917</v>
      </c>
      <c r="H49" s="851"/>
      <c r="I49" s="837"/>
      <c r="J49" s="851"/>
      <c r="K49" s="635"/>
      <c r="L49" s="635"/>
      <c r="M49" s="813"/>
      <c r="N49" s="813"/>
      <c r="O49" s="813"/>
      <c r="P49" s="697"/>
      <c r="Q49" s="856"/>
    </row>
    <row r="50" spans="1:17">
      <c r="A50" s="760" t="s">
        <v>786</v>
      </c>
      <c r="B50" s="1482" t="s">
        <v>1675</v>
      </c>
      <c r="C50" s="735" t="s">
        <v>1664</v>
      </c>
      <c r="D50" s="636">
        <f>+'6A-Project True-up'!H27+'6A-Project True-up'!I27</f>
        <v>10207.298601778224</v>
      </c>
      <c r="E50" s="636">
        <v>17</v>
      </c>
      <c r="F50" s="852">
        <f t="shared" si="0"/>
        <v>3.2117647058823523E-3</v>
      </c>
      <c r="G50" s="860">
        <f t="shared" si="1"/>
        <v>557.3185036570909</v>
      </c>
      <c r="H50" s="851"/>
      <c r="I50" s="837"/>
      <c r="J50" s="851"/>
      <c r="K50" s="635"/>
      <c r="L50" s="635"/>
      <c r="M50" s="813"/>
      <c r="N50" s="813"/>
      <c r="O50" s="813"/>
      <c r="P50" s="697"/>
      <c r="Q50" s="856"/>
    </row>
    <row r="51" spans="1:17">
      <c r="A51" s="760" t="s">
        <v>787</v>
      </c>
      <c r="B51" s="865" t="s">
        <v>1676</v>
      </c>
      <c r="C51" s="735" t="s">
        <v>1665</v>
      </c>
      <c r="D51" s="636">
        <f>+'6A-Project True-up'!H28+'6A-Project True-up'!I28</f>
        <v>35418.331337356823</v>
      </c>
      <c r="E51" s="636">
        <v>17</v>
      </c>
      <c r="F51" s="852">
        <f t="shared" si="0"/>
        <v>3.2117647058823523E-3</v>
      </c>
      <c r="G51" s="860">
        <f t="shared" ref="G51:G53" si="2">+D51*E51*F51</f>
        <v>1933.8408910196822</v>
      </c>
      <c r="H51" s="851"/>
      <c r="I51" s="837"/>
      <c r="J51" s="851"/>
      <c r="K51" s="635"/>
      <c r="L51" s="635"/>
      <c r="M51" s="813"/>
      <c r="N51" s="813"/>
      <c r="O51" s="813"/>
      <c r="P51" s="697"/>
      <c r="Q51" s="856"/>
    </row>
    <row r="52" spans="1:17">
      <c r="A52" s="760" t="s">
        <v>788</v>
      </c>
      <c r="B52" s="865" t="s">
        <v>1677</v>
      </c>
      <c r="C52" s="735" t="s">
        <v>1666</v>
      </c>
      <c r="D52" s="636">
        <f>+'6A-Project True-up'!H29+'6A-Project True-up'!I29</f>
        <v>21640.121461133705</v>
      </c>
      <c r="E52" s="636">
        <v>17</v>
      </c>
      <c r="F52" s="852">
        <f t="shared" si="0"/>
        <v>3.2117647058823523E-3</v>
      </c>
      <c r="G52" s="860">
        <f t="shared" si="2"/>
        <v>1181.5506317779002</v>
      </c>
      <c r="H52" s="851"/>
      <c r="I52" s="837"/>
      <c r="J52" s="851"/>
      <c r="K52" s="635"/>
      <c r="L52" s="635"/>
      <c r="M52" s="813"/>
      <c r="N52" s="813"/>
      <c r="O52" s="813"/>
      <c r="P52" s="697"/>
      <c r="Q52" s="856"/>
    </row>
    <row r="53" spans="1:17">
      <c r="A53" s="760" t="s">
        <v>789</v>
      </c>
      <c r="B53" s="865" t="s">
        <v>1678</v>
      </c>
      <c r="C53" s="735" t="s">
        <v>1667</v>
      </c>
      <c r="D53" s="636">
        <f>+'6A-Project True-up'!H30+'6A-Project True-up'!I30</f>
        <v>14706.022008608357</v>
      </c>
      <c r="E53" s="636">
        <v>17</v>
      </c>
      <c r="F53" s="852">
        <f t="shared" si="0"/>
        <v>3.2117647058823523E-3</v>
      </c>
      <c r="G53" s="860">
        <f t="shared" si="2"/>
        <v>802.94880167001611</v>
      </c>
      <c r="H53" s="851"/>
      <c r="I53" s="837"/>
      <c r="J53" s="851"/>
      <c r="K53" s="635"/>
      <c r="L53" s="635"/>
      <c r="M53" s="813"/>
      <c r="N53" s="813"/>
      <c r="O53" s="813"/>
      <c r="P53" s="697"/>
      <c r="Q53" s="856"/>
    </row>
    <row r="54" spans="1:17">
      <c r="A54" s="760" t="s">
        <v>790</v>
      </c>
      <c r="B54" s="854" t="s">
        <v>1928</v>
      </c>
      <c r="C54" s="854"/>
      <c r="D54" s="636">
        <f>+'6A-Project True-up'!H31+'6A-Project True-up'!I31</f>
        <v>-243631</v>
      </c>
      <c r="E54" s="636">
        <v>17</v>
      </c>
      <c r="F54" s="852">
        <f t="shared" si="0"/>
        <v>3.2117647058823523E-3</v>
      </c>
      <c r="G54" s="860">
        <f t="shared" ref="G54" si="3">+D54*E54*F54</f>
        <v>-13302.252599999998</v>
      </c>
      <c r="H54" s="851"/>
      <c r="I54" s="837"/>
      <c r="J54" s="851"/>
      <c r="K54" s="635"/>
      <c r="L54" s="635"/>
      <c r="M54" s="813"/>
      <c r="N54" s="813"/>
      <c r="O54" s="813"/>
      <c r="P54" s="697"/>
      <c r="Q54" s="856"/>
    </row>
    <row r="55" spans="1:17">
      <c r="A55" s="760" t="s">
        <v>791</v>
      </c>
      <c r="B55" s="854"/>
      <c r="C55" s="854"/>
      <c r="D55" s="636"/>
      <c r="E55" s="636"/>
      <c r="F55" s="852"/>
      <c r="G55" s="860"/>
      <c r="H55" s="851"/>
      <c r="I55" s="837"/>
      <c r="J55" s="851"/>
      <c r="K55" s="635"/>
      <c r="L55" s="635"/>
      <c r="M55" s="813"/>
      <c r="N55" s="813"/>
      <c r="O55" s="813"/>
      <c r="P55" s="697"/>
      <c r="Q55" s="856"/>
    </row>
    <row r="56" spans="1:17">
      <c r="A56" s="760" t="s">
        <v>792</v>
      </c>
      <c r="B56" s="854"/>
      <c r="C56" s="854"/>
      <c r="D56" s="636"/>
      <c r="E56" s="636"/>
      <c r="F56" s="852"/>
      <c r="G56" s="860"/>
      <c r="H56" s="851"/>
      <c r="I56" s="837"/>
      <c r="J56" s="851"/>
      <c r="K56" s="635"/>
      <c r="L56" s="635"/>
      <c r="M56" s="813"/>
      <c r="N56" s="813"/>
      <c r="O56" s="813"/>
      <c r="P56" s="697"/>
      <c r="Q56" s="856"/>
    </row>
    <row r="57" spans="1:17">
      <c r="A57" s="760" t="s">
        <v>793</v>
      </c>
      <c r="B57" s="854"/>
      <c r="C57" s="854"/>
      <c r="D57" s="636"/>
      <c r="E57" s="636"/>
      <c r="F57" s="852"/>
      <c r="G57" s="860"/>
      <c r="H57" s="851"/>
      <c r="I57" s="837"/>
      <c r="J57" s="851"/>
      <c r="K57" s="635"/>
      <c r="L57" s="635"/>
      <c r="M57" s="813"/>
      <c r="N57" s="813"/>
      <c r="O57" s="813"/>
      <c r="P57" s="697"/>
      <c r="Q57" s="856"/>
    </row>
    <row r="58" spans="1:17">
      <c r="A58" s="760" t="s">
        <v>1267</v>
      </c>
      <c r="B58" s="854"/>
      <c r="C58" s="854"/>
      <c r="D58" s="636"/>
      <c r="E58" s="636"/>
      <c r="F58" s="852"/>
      <c r="G58" s="860"/>
      <c r="H58" s="851"/>
      <c r="I58" s="813"/>
      <c r="J58" s="813"/>
      <c r="K58" s="635"/>
      <c r="L58" s="635"/>
      <c r="M58" s="813"/>
      <c r="N58" s="813"/>
      <c r="O58" s="813"/>
      <c r="P58" s="697"/>
      <c r="Q58" s="856"/>
    </row>
    <row r="59" spans="1:17">
      <c r="A59" s="760" t="s">
        <v>1296</v>
      </c>
      <c r="B59" s="854"/>
      <c r="C59" s="854"/>
      <c r="D59" s="636"/>
      <c r="E59" s="636"/>
      <c r="F59" s="852"/>
      <c r="G59" s="860"/>
      <c r="H59" s="851"/>
      <c r="I59" s="813"/>
      <c r="J59" s="813"/>
      <c r="K59" s="635"/>
      <c r="L59" s="635"/>
      <c r="M59" s="813"/>
      <c r="N59" s="813"/>
      <c r="O59" s="813"/>
      <c r="P59" s="697"/>
      <c r="Q59" s="856"/>
    </row>
    <row r="60" spans="1:17">
      <c r="A60" s="760" t="s">
        <v>1297</v>
      </c>
      <c r="B60" s="854"/>
      <c r="C60" s="854"/>
      <c r="D60" s="636"/>
      <c r="E60" s="636"/>
      <c r="F60" s="852"/>
      <c r="G60" s="860"/>
      <c r="H60" s="851"/>
      <c r="I60" s="813"/>
      <c r="J60" s="813"/>
      <c r="K60" s="635"/>
      <c r="L60" s="635"/>
      <c r="M60" s="813"/>
      <c r="N60" s="813"/>
      <c r="O60" s="813"/>
      <c r="P60" s="697"/>
      <c r="Q60" s="856"/>
    </row>
    <row r="61" spans="1:17">
      <c r="A61" s="760" t="s">
        <v>1298</v>
      </c>
      <c r="B61" s="854"/>
      <c r="C61" s="854"/>
      <c r="D61" s="851"/>
      <c r="E61" s="636"/>
      <c r="F61" s="852"/>
      <c r="G61" s="860"/>
      <c r="H61" s="851"/>
      <c r="K61" s="635"/>
      <c r="L61" s="635"/>
      <c r="M61" s="813"/>
      <c r="N61" s="813"/>
      <c r="O61" s="813"/>
      <c r="P61" s="697"/>
      <c r="Q61" s="856"/>
    </row>
    <row r="62" spans="1:17">
      <c r="A62" s="760"/>
      <c r="B62" s="854"/>
      <c r="C62" s="854"/>
      <c r="D62" s="851"/>
      <c r="E62" s="636"/>
      <c r="F62" s="852"/>
      <c r="G62" s="853"/>
      <c r="H62" s="851"/>
      <c r="K62" s="635"/>
      <c r="L62" s="635"/>
      <c r="M62" s="813"/>
      <c r="N62" s="813"/>
      <c r="O62" s="813"/>
      <c r="P62" s="697"/>
      <c r="Q62" s="856"/>
    </row>
    <row r="63" spans="1:17">
      <c r="A63" s="760"/>
      <c r="B63" s="854"/>
      <c r="C63" s="854"/>
      <c r="D63" s="851"/>
      <c r="E63" s="636"/>
      <c r="F63" s="852"/>
      <c r="G63" s="853"/>
      <c r="H63" s="851"/>
      <c r="K63" s="635"/>
      <c r="L63" s="635"/>
      <c r="M63" s="813"/>
      <c r="N63" s="813"/>
      <c r="O63" s="813"/>
      <c r="P63" s="697"/>
      <c r="Q63" s="856"/>
    </row>
    <row r="64" spans="1:17">
      <c r="A64" s="760"/>
      <c r="B64" s="854"/>
      <c r="C64" s="854"/>
      <c r="D64" s="851"/>
      <c r="E64" s="636"/>
      <c r="F64" s="852"/>
      <c r="G64" s="853"/>
      <c r="H64" s="851"/>
      <c r="K64" s="635"/>
      <c r="L64" s="635"/>
      <c r="M64" s="813"/>
      <c r="N64" s="813"/>
      <c r="O64" s="813"/>
      <c r="P64" s="697"/>
      <c r="Q64" s="856"/>
    </row>
    <row r="65" spans="1:17">
      <c r="A65" s="760"/>
      <c r="B65" s="854"/>
      <c r="C65" s="854"/>
      <c r="D65" s="851"/>
      <c r="E65" s="636"/>
      <c r="F65" s="852"/>
      <c r="G65" s="853"/>
      <c r="H65" s="851"/>
      <c r="K65" s="635"/>
      <c r="L65" s="635"/>
      <c r="M65" s="813"/>
      <c r="N65" s="813"/>
      <c r="O65" s="813"/>
      <c r="P65" s="697"/>
      <c r="Q65" s="856"/>
    </row>
    <row r="66" spans="1:17">
      <c r="A66" s="760"/>
      <c r="B66" s="1208"/>
      <c r="C66" s="855"/>
      <c r="D66" s="851"/>
      <c r="E66" s="636"/>
      <c r="F66" s="852"/>
      <c r="G66" s="853"/>
      <c r="H66" s="851"/>
      <c r="K66" s="635"/>
      <c r="L66" s="635"/>
      <c r="M66" s="813"/>
      <c r="N66" s="813"/>
      <c r="O66" s="813"/>
      <c r="P66" s="697"/>
      <c r="Q66" s="856"/>
    </row>
    <row r="67" spans="1:17">
      <c r="A67" s="760"/>
      <c r="B67" s="1208"/>
      <c r="C67" s="735"/>
      <c r="D67" s="851"/>
      <c r="E67" s="636"/>
      <c r="F67" s="852"/>
      <c r="G67" s="853"/>
      <c r="H67" s="851"/>
      <c r="K67" s="635"/>
      <c r="L67" s="635"/>
      <c r="M67" s="813"/>
      <c r="N67" s="813"/>
      <c r="O67" s="813"/>
      <c r="P67" s="697"/>
      <c r="Q67" s="856"/>
    </row>
    <row r="68" spans="1:17">
      <c r="A68" s="760"/>
      <c r="B68" s="1208"/>
      <c r="C68" s="735"/>
      <c r="D68" s="851"/>
      <c r="E68" s="636"/>
      <c r="F68" s="852"/>
      <c r="G68" s="853"/>
      <c r="H68" s="851"/>
      <c r="K68" s="635"/>
      <c r="L68" s="635"/>
      <c r="M68" s="813"/>
      <c r="N68" s="813"/>
      <c r="O68" s="813"/>
      <c r="P68" s="697"/>
      <c r="Q68" s="856"/>
    </row>
    <row r="69" spans="1:17">
      <c r="A69" s="760"/>
      <c r="B69" s="1208"/>
      <c r="C69" s="855"/>
      <c r="D69" s="851"/>
      <c r="E69" s="636"/>
      <c r="F69" s="852"/>
      <c r="G69" s="853"/>
      <c r="H69" s="851"/>
      <c r="K69" s="635"/>
      <c r="L69" s="635"/>
      <c r="M69" s="813"/>
      <c r="N69" s="813"/>
      <c r="O69" s="813"/>
      <c r="P69" s="697"/>
      <c r="Q69" s="856"/>
    </row>
    <row r="70" spans="1:17">
      <c r="A70" s="760"/>
      <c r="B70" s="1209" t="s">
        <v>44</v>
      </c>
      <c r="C70" s="857"/>
      <c r="D70" s="861">
        <f>SUM(D41:D69)</f>
        <v>3179043.4521644874</v>
      </c>
      <c r="E70" s="858"/>
      <c r="F70" s="858"/>
      <c r="G70" s="862">
        <f>SUM(G41:G69)</f>
        <v>173575.77248818093</v>
      </c>
      <c r="H70" s="851"/>
      <c r="K70" s="635"/>
      <c r="L70" s="635"/>
      <c r="M70" s="813"/>
      <c r="N70" s="813"/>
      <c r="O70" s="813"/>
      <c r="P70" s="697"/>
      <c r="Q70" s="856"/>
    </row>
    <row r="71" spans="1:17">
      <c r="A71" s="760"/>
      <c r="B71" s="837"/>
      <c r="C71" s="837"/>
      <c r="D71" s="838"/>
      <c r="E71" s="859"/>
      <c r="F71" s="837"/>
      <c r="G71" s="859"/>
      <c r="H71" s="838"/>
      <c r="K71" s="837"/>
      <c r="L71" s="837"/>
      <c r="M71" s="813"/>
      <c r="N71" s="813"/>
      <c r="O71" s="813"/>
      <c r="P71" s="697"/>
      <c r="Q71" s="813"/>
    </row>
    <row r="72" spans="1:17">
      <c r="A72" s="760"/>
      <c r="B72" s="836"/>
      <c r="C72" s="836"/>
      <c r="D72" s="851"/>
      <c r="E72" s="851"/>
      <c r="F72" s="851"/>
      <c r="G72" s="851"/>
      <c r="H72" s="851"/>
      <c r="K72" s="851"/>
      <c r="L72" s="851"/>
      <c r="M72" s="813"/>
      <c r="N72" s="813"/>
      <c r="O72" s="813"/>
      <c r="P72" s="813"/>
      <c r="Q72" s="813"/>
    </row>
    <row r="73" spans="1:17">
      <c r="A73" s="760"/>
      <c r="B73" s="836"/>
      <c r="C73" s="836"/>
      <c r="D73" s="791"/>
      <c r="E73" s="791"/>
      <c r="F73" s="791"/>
      <c r="G73" s="791"/>
      <c r="H73" s="791"/>
      <c r="K73" s="791"/>
      <c r="L73" s="791"/>
    </row>
    <row r="74" spans="1:17">
      <c r="A74" s="760"/>
      <c r="B74" s="836"/>
      <c r="C74" s="836"/>
      <c r="D74" s="791"/>
      <c r="E74" s="791"/>
      <c r="F74" s="791"/>
      <c r="G74" s="791"/>
      <c r="H74" s="791"/>
      <c r="K74" s="791"/>
      <c r="L74" s="791"/>
    </row>
    <row r="75" spans="1:17">
      <c r="A75" s="760"/>
      <c r="B75" s="836"/>
      <c r="C75" s="836"/>
      <c r="D75" s="791"/>
      <c r="E75" s="791"/>
      <c r="F75" s="791"/>
      <c r="G75" s="791"/>
      <c r="H75" s="791"/>
      <c r="K75" s="791"/>
      <c r="L75" s="791"/>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24AC-E72B-4E12-9DDF-B06E2EA26AAE}">
  <dimension ref="A1:BY318"/>
  <sheetViews>
    <sheetView zoomScaleNormal="100" workbookViewId="0">
      <selection activeCell="G87" sqref="G87"/>
    </sheetView>
  </sheetViews>
  <sheetFormatPr defaultColWidth="9.1796875" defaultRowHeight="12.5"/>
  <cols>
    <col min="1" max="1" width="9.26953125" style="1527" bestFit="1" customWidth="1"/>
    <col min="2" max="2" width="27.54296875" style="1527" customWidth="1"/>
    <col min="3" max="3" width="15.1796875" style="1527" customWidth="1"/>
    <col min="4" max="4" width="13" style="1532" customWidth="1"/>
    <col min="5" max="5" width="13.453125" style="1527" customWidth="1"/>
    <col min="6" max="6" width="12.7265625" style="1527" customWidth="1"/>
    <col min="7" max="7" width="12.81640625" style="1527" customWidth="1"/>
    <col min="8" max="9" width="9.81640625" style="1533" customWidth="1"/>
    <col min="10" max="10" width="11.26953125" style="1533" customWidth="1"/>
    <col min="11" max="11" width="11.54296875" style="1533" customWidth="1"/>
    <col min="12" max="12" width="12.453125" style="1533" customWidth="1"/>
    <col min="13" max="14" width="12.26953125" style="1527" customWidth="1"/>
    <col min="15" max="15" width="12.81640625" style="1527" customWidth="1"/>
    <col min="16" max="16" width="12.453125" style="1527" customWidth="1"/>
    <col min="17" max="17" width="12" style="1527" customWidth="1"/>
    <col min="18" max="18" width="12.54296875" style="1527" customWidth="1"/>
    <col min="19" max="19" width="11.26953125" style="1527" customWidth="1"/>
    <col min="20" max="20" width="10.26953125" style="1527" customWidth="1"/>
    <col min="21" max="21" width="12" style="1527" customWidth="1"/>
    <col min="22" max="22" width="12.54296875" style="1527" customWidth="1"/>
    <col min="23" max="23" width="11.26953125" style="1527" customWidth="1"/>
    <col min="24" max="24" width="10.26953125" style="1527" customWidth="1"/>
    <col min="25" max="25" width="12" style="1527" customWidth="1"/>
    <col min="26" max="26" width="12.54296875" style="1527" customWidth="1"/>
    <col min="27" max="27" width="11.26953125" style="1527" customWidth="1"/>
    <col min="28" max="28" width="10.26953125" style="1527" customWidth="1"/>
    <col min="29" max="29" width="12" style="1527" customWidth="1"/>
    <col min="30" max="30" width="12.54296875" style="1527" customWidth="1"/>
    <col min="31" max="31" width="11.26953125" style="1527" customWidth="1"/>
    <col min="32" max="32" width="10.26953125" style="1527" customWidth="1"/>
    <col min="33" max="33" width="12" style="1527" customWidth="1"/>
    <col min="34" max="34" width="12.54296875" style="1527" customWidth="1"/>
    <col min="35" max="35" width="11.26953125" style="1527" customWidth="1"/>
    <col min="36" max="36" width="10.26953125" style="1527" customWidth="1"/>
    <col min="37" max="37" width="12" style="1527" customWidth="1"/>
    <col min="38" max="38" width="12.54296875" style="1527" customWidth="1"/>
    <col min="39" max="39" width="11.26953125" style="1527" customWidth="1"/>
    <col min="40" max="40" width="10.26953125" style="1527" customWidth="1"/>
    <col min="41" max="41" width="12" style="1527" customWidth="1"/>
    <col min="42" max="42" width="12.54296875" style="1527" customWidth="1"/>
    <col min="43" max="43" width="11.26953125" style="1527" customWidth="1"/>
    <col min="44" max="44" width="10.26953125" style="1527" customWidth="1"/>
    <col min="45" max="45" width="12" style="1527" customWidth="1"/>
    <col min="46" max="46" width="12.54296875" style="1527" customWidth="1"/>
    <col min="47" max="47" width="11.26953125" style="1527" customWidth="1"/>
    <col min="48" max="48" width="10.26953125" style="1527" customWidth="1"/>
    <col min="49" max="49" width="12" style="1527" customWidth="1"/>
    <col min="50" max="50" width="12.54296875" style="1527" customWidth="1"/>
    <col min="51" max="51" width="11.26953125" style="1527" customWidth="1"/>
    <col min="52" max="56" width="10.26953125" style="1527" customWidth="1"/>
    <col min="57" max="57" width="13.7265625" style="1527" bestFit="1" customWidth="1"/>
    <col min="58" max="58" width="21.81640625" style="1527" customWidth="1"/>
    <col min="59" max="59" width="18.453125" style="1527" customWidth="1"/>
    <col min="60" max="62" width="9.7265625" style="1527" bestFit="1" customWidth="1"/>
    <col min="63" max="16384" width="9.1796875" style="1527"/>
  </cols>
  <sheetData>
    <row r="1" spans="1:59" ht="18">
      <c r="C1" s="1528" t="s">
        <v>1574</v>
      </c>
      <c r="D1" s="1529"/>
      <c r="E1" s="1529"/>
      <c r="F1" s="1529"/>
      <c r="G1" s="1529"/>
      <c r="H1" s="1529"/>
      <c r="I1" s="1529"/>
      <c r="J1" s="1529"/>
      <c r="K1" s="1529"/>
      <c r="L1" s="1529"/>
    </row>
    <row r="3" spans="1:59" ht="15.5">
      <c r="C3" s="1530" t="s">
        <v>5</v>
      </c>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0"/>
      <c r="BF3" s="1530"/>
      <c r="BG3" s="1530"/>
    </row>
    <row r="5" spans="1:59" ht="13">
      <c r="C5" s="1531"/>
    </row>
    <row r="8" spans="1:59">
      <c r="A8" s="1527">
        <v>1</v>
      </c>
      <c r="C8" s="1527" t="s">
        <v>6</v>
      </c>
    </row>
    <row r="10" spans="1:59" ht="13">
      <c r="A10" s="1527">
        <v>2</v>
      </c>
      <c r="C10" s="1534" t="s">
        <v>7</v>
      </c>
    </row>
    <row r="11" spans="1:59" ht="13">
      <c r="A11" s="1527">
        <v>3</v>
      </c>
      <c r="C11" s="1534"/>
      <c r="D11" s="1532" t="s">
        <v>8</v>
      </c>
    </row>
    <row r="12" spans="1:59">
      <c r="A12" s="1527">
        <v>4</v>
      </c>
      <c r="C12" s="1532" t="s">
        <v>9</v>
      </c>
      <c r="D12" s="1532">
        <v>160</v>
      </c>
      <c r="E12" s="1535" t="s">
        <v>446</v>
      </c>
      <c r="H12" s="1536"/>
      <c r="I12" s="1536"/>
      <c r="J12" s="1536"/>
      <c r="K12" s="1536"/>
      <c r="L12" s="1537">
        <f>+'ATT H-3D'!H307</f>
        <v>9.2517348923135692E-2</v>
      </c>
    </row>
    <row r="13" spans="1:59">
      <c r="A13" s="1527">
        <v>5</v>
      </c>
      <c r="C13" s="1532" t="s">
        <v>10</v>
      </c>
      <c r="D13" s="1532">
        <v>167</v>
      </c>
      <c r="E13" s="1535" t="s">
        <v>1858</v>
      </c>
      <c r="H13" s="1536"/>
      <c r="I13" s="1536"/>
      <c r="J13" s="1536"/>
      <c r="K13" s="1536"/>
      <c r="L13" s="1537">
        <f>+'ATT H-3D'!H317</f>
        <v>9.7993468373753126E-2</v>
      </c>
    </row>
    <row r="14" spans="1:59">
      <c r="A14" s="1527">
        <v>6</v>
      </c>
      <c r="C14" s="1532" t="s">
        <v>11</v>
      </c>
      <c r="E14" s="1527" t="s">
        <v>12</v>
      </c>
      <c r="H14" s="1536"/>
      <c r="I14" s="1536"/>
      <c r="J14" s="1536"/>
      <c r="K14" s="1536"/>
      <c r="L14" s="1537">
        <f>+L13-L12</f>
        <v>5.4761194506174338E-3</v>
      </c>
    </row>
    <row r="15" spans="1:59">
      <c r="H15" s="1536"/>
      <c r="I15" s="1536"/>
      <c r="J15" s="1536"/>
      <c r="K15" s="1536"/>
      <c r="L15" s="1537"/>
    </row>
    <row r="16" spans="1:59" ht="13">
      <c r="A16" s="1527">
        <v>7</v>
      </c>
      <c r="C16" s="1534" t="s">
        <v>13</v>
      </c>
      <c r="H16" s="1536"/>
      <c r="I16" s="1536"/>
      <c r="J16" s="1536"/>
      <c r="K16" s="1536"/>
      <c r="L16" s="1537"/>
    </row>
    <row r="17" spans="1:59" ht="13">
      <c r="C17" s="1534"/>
      <c r="H17" s="1536"/>
      <c r="I17" s="1536"/>
      <c r="J17" s="1536"/>
      <c r="K17" s="1536"/>
      <c r="L17" s="1537"/>
    </row>
    <row r="18" spans="1:59">
      <c r="A18" s="1527">
        <v>8</v>
      </c>
      <c r="C18" s="1532" t="s">
        <v>14</v>
      </c>
      <c r="D18" s="1532">
        <v>161</v>
      </c>
      <c r="E18" s="1535" t="s">
        <v>447</v>
      </c>
      <c r="H18" s="1536"/>
      <c r="I18" s="1536"/>
      <c r="J18" s="1536"/>
      <c r="K18" s="1536"/>
      <c r="L18" s="1537">
        <f>+'ATT H-3D'!H308</f>
        <v>3.2133132523663392E-2</v>
      </c>
    </row>
    <row r="19" spans="1:59">
      <c r="C19" s="1532"/>
      <c r="E19" s="1535"/>
      <c r="H19" s="1536"/>
      <c r="I19" s="1536"/>
      <c r="J19" s="1536"/>
      <c r="K19" s="1536"/>
      <c r="L19" s="1536"/>
      <c r="N19" s="13"/>
    </row>
    <row r="20" spans="1:59" ht="15.5">
      <c r="C20" s="1538"/>
    </row>
    <row r="21" spans="1:59" ht="13">
      <c r="A21" s="1527">
        <v>9</v>
      </c>
      <c r="C21" s="1531" t="s">
        <v>15</v>
      </c>
    </row>
    <row r="22" spans="1:59" ht="13">
      <c r="A22" s="1527">
        <v>10</v>
      </c>
      <c r="C22" s="1531" t="s">
        <v>16</v>
      </c>
    </row>
    <row r="23" spans="1:59" ht="25.5" customHeight="1" thickBot="1">
      <c r="A23" s="1527">
        <v>11</v>
      </c>
      <c r="C23" s="1966" t="s">
        <v>17</v>
      </c>
      <c r="D23" s="1967"/>
      <c r="E23" s="1967"/>
      <c r="F23" s="1967"/>
      <c r="G23" s="1967"/>
      <c r="H23" s="1967"/>
      <c r="I23" s="1967"/>
      <c r="J23" s="1967"/>
      <c r="K23" s="1967"/>
      <c r="L23" s="1967"/>
      <c r="M23" s="1967"/>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c r="AN23" s="1967"/>
      <c r="AO23" s="1967"/>
      <c r="AP23" s="1967"/>
      <c r="AQ23" s="1967"/>
      <c r="AR23" s="1967"/>
      <c r="AS23" s="1967"/>
      <c r="AT23" s="1967"/>
      <c r="AU23" s="1967"/>
      <c r="AV23" s="1967"/>
      <c r="AW23" s="1967"/>
      <c r="AX23" s="1967"/>
      <c r="AY23" s="1967"/>
      <c r="AZ23" s="1967"/>
      <c r="BA23" s="1967"/>
      <c r="BB23" s="1967"/>
      <c r="BC23" s="1967"/>
      <c r="BD23" s="1967"/>
      <c r="BE23" s="1967"/>
      <c r="BF23" s="1539"/>
      <c r="BG23" s="1539"/>
    </row>
    <row r="24" spans="1:59" ht="78">
      <c r="C24" s="1540" t="s">
        <v>18</v>
      </c>
      <c r="D24" s="1541"/>
      <c r="E24" s="1968" t="s">
        <v>1628</v>
      </c>
      <c r="F24" s="1969"/>
      <c r="G24" s="1969"/>
      <c r="H24" s="1970"/>
      <c r="I24" s="1968" t="s">
        <v>1629</v>
      </c>
      <c r="J24" s="1969"/>
      <c r="K24" s="1969"/>
      <c r="L24" s="1970"/>
      <c r="M24" s="1968" t="s">
        <v>1630</v>
      </c>
      <c r="N24" s="1969"/>
      <c r="O24" s="1969"/>
      <c r="P24" s="1970"/>
      <c r="Q24" s="1542" t="s">
        <v>1631</v>
      </c>
      <c r="R24" s="1543"/>
      <c r="S24" s="1543"/>
      <c r="T24" s="1544"/>
      <c r="U24" s="1542" t="s">
        <v>1632</v>
      </c>
      <c r="V24" s="1543"/>
      <c r="W24" s="1543"/>
      <c r="X24" s="1544"/>
      <c r="Y24" s="1542" t="s">
        <v>1633</v>
      </c>
      <c r="Z24" s="1543"/>
      <c r="AA24" s="1543"/>
      <c r="AB24" s="1544"/>
      <c r="AC24" s="1542" t="s">
        <v>1634</v>
      </c>
      <c r="AD24" s="1543"/>
      <c r="AE24" s="1543"/>
      <c r="AF24" s="1544"/>
      <c r="AG24" s="1542" t="s">
        <v>1635</v>
      </c>
      <c r="AH24" s="1543"/>
      <c r="AI24" s="1543"/>
      <c r="AJ24" s="1544"/>
      <c r="AK24" s="1542" t="s">
        <v>1636</v>
      </c>
      <c r="AL24" s="1543"/>
      <c r="AM24" s="1543"/>
      <c r="AN24" s="1544"/>
      <c r="AO24" s="1542" t="s">
        <v>1637</v>
      </c>
      <c r="AP24" s="1543"/>
      <c r="AQ24" s="1543"/>
      <c r="AR24" s="1544"/>
      <c r="AS24" s="1542" t="s">
        <v>1638</v>
      </c>
      <c r="AT24" s="1543"/>
      <c r="AU24" s="1543"/>
      <c r="AV24" s="1544"/>
      <c r="AW24" s="1542" t="s">
        <v>1639</v>
      </c>
      <c r="AX24" s="1543"/>
      <c r="AY24" s="1543"/>
      <c r="AZ24" s="1544"/>
      <c r="BA24" s="1807" t="s">
        <v>1931</v>
      </c>
      <c r="BB24" s="1808"/>
      <c r="BC24" s="1808"/>
      <c r="BD24" s="1809"/>
      <c r="BE24" s="1545"/>
      <c r="BF24" s="1540"/>
      <c r="BG24" s="1546"/>
    </row>
    <row r="25" spans="1:59" ht="37.5">
      <c r="A25" s="1527">
        <v>12</v>
      </c>
      <c r="B25" s="16" t="s">
        <v>19</v>
      </c>
      <c r="C25" s="1547" t="s">
        <v>20</v>
      </c>
      <c r="D25" s="1548" t="s">
        <v>21</v>
      </c>
      <c r="E25" s="1549" t="s">
        <v>22</v>
      </c>
      <c r="F25" s="1532"/>
      <c r="G25" s="1532"/>
      <c r="H25" s="1550"/>
      <c r="I25" s="1549" t="s">
        <v>23</v>
      </c>
      <c r="J25" s="1532"/>
      <c r="K25" s="1532"/>
      <c r="L25" s="1550"/>
      <c r="M25" s="1549" t="s">
        <v>23</v>
      </c>
      <c r="N25" s="1532"/>
      <c r="O25" s="1532"/>
      <c r="P25" s="1550"/>
      <c r="Q25" s="1551" t="s">
        <v>23</v>
      </c>
      <c r="R25" s="1552"/>
      <c r="S25" s="1552"/>
      <c r="T25" s="1553"/>
      <c r="U25" s="1551" t="s">
        <v>23</v>
      </c>
      <c r="V25" s="1552"/>
      <c r="W25" s="1552"/>
      <c r="X25" s="1553"/>
      <c r="Y25" s="1551" t="s">
        <v>23</v>
      </c>
      <c r="Z25" s="1552"/>
      <c r="AA25" s="1552"/>
      <c r="AB25" s="1553"/>
      <c r="AC25" s="1551" t="s">
        <v>23</v>
      </c>
      <c r="AD25" s="1552"/>
      <c r="AE25" s="1552"/>
      <c r="AF25" s="1553"/>
      <c r="AG25" s="1551" t="s">
        <v>22</v>
      </c>
      <c r="AH25" s="1552"/>
      <c r="AI25" s="1552"/>
      <c r="AJ25" s="1553"/>
      <c r="AK25" s="1551" t="s">
        <v>22</v>
      </c>
      <c r="AL25" s="1552"/>
      <c r="AM25" s="1552"/>
      <c r="AN25" s="1553"/>
      <c r="AO25" s="1551" t="s">
        <v>23</v>
      </c>
      <c r="AP25" s="1552"/>
      <c r="AQ25" s="1552"/>
      <c r="AR25" s="1553"/>
      <c r="AS25" s="1551" t="s">
        <v>22</v>
      </c>
      <c r="AT25" s="1552"/>
      <c r="AU25" s="1552"/>
      <c r="AV25" s="1553"/>
      <c r="AW25" s="1551" t="s">
        <v>22</v>
      </c>
      <c r="AX25" s="1552"/>
      <c r="AY25" s="1552"/>
      <c r="AZ25" s="1553"/>
      <c r="BA25" s="130" t="s">
        <v>22</v>
      </c>
      <c r="BB25" s="1486"/>
      <c r="BC25" s="1486"/>
      <c r="BD25" s="1810"/>
      <c r="BE25" s="1554"/>
      <c r="BF25" s="1547"/>
      <c r="BG25" s="1555"/>
    </row>
    <row r="26" spans="1:59" ht="13">
      <c r="A26" s="1527">
        <v>13</v>
      </c>
      <c r="B26" s="1527" t="s">
        <v>24</v>
      </c>
      <c r="C26" s="1547" t="s">
        <v>25</v>
      </c>
      <c r="D26" s="1548"/>
      <c r="E26" s="1549">
        <v>35</v>
      </c>
      <c r="F26" s="1556"/>
      <c r="G26" s="1556"/>
      <c r="H26" s="1557"/>
      <c r="I26" s="1549">
        <v>35</v>
      </c>
      <c r="J26" s="1556"/>
      <c r="K26" s="1556"/>
      <c r="L26" s="1557"/>
      <c r="M26" s="1549">
        <v>35</v>
      </c>
      <c r="N26" s="1556"/>
      <c r="O26" s="1556"/>
      <c r="P26" s="1548"/>
      <c r="Q26" s="1549">
        <v>35</v>
      </c>
      <c r="R26" s="1556"/>
      <c r="S26" s="1556"/>
      <c r="T26" s="1548"/>
      <c r="U26" s="1549">
        <v>35</v>
      </c>
      <c r="V26" s="1556"/>
      <c r="W26" s="1556"/>
      <c r="X26" s="1548"/>
      <c r="Y26" s="1549">
        <v>35</v>
      </c>
      <c r="Z26" s="1556"/>
      <c r="AA26" s="1556"/>
      <c r="AB26" s="1548"/>
      <c r="AC26" s="1549">
        <v>35</v>
      </c>
      <c r="AD26" s="1556"/>
      <c r="AE26" s="1556"/>
      <c r="AF26" s="1548"/>
      <c r="AG26" s="1549">
        <v>35</v>
      </c>
      <c r="AH26" s="1556"/>
      <c r="AI26" s="1556"/>
      <c r="AJ26" s="1548"/>
      <c r="AK26" s="1549">
        <v>35</v>
      </c>
      <c r="AL26" s="1556"/>
      <c r="AM26" s="1556"/>
      <c r="AN26" s="1548"/>
      <c r="AO26" s="1549">
        <v>35</v>
      </c>
      <c r="AP26" s="1556"/>
      <c r="AQ26" s="1556"/>
      <c r="AR26" s="1548"/>
      <c r="AS26" s="1549">
        <v>35</v>
      </c>
      <c r="AT26" s="1556"/>
      <c r="AU26" s="1556"/>
      <c r="AV26" s="1548"/>
      <c r="AW26" s="1549">
        <v>35</v>
      </c>
      <c r="AX26" s="1556"/>
      <c r="AY26" s="1556"/>
      <c r="AZ26" s="1548"/>
      <c r="BA26" s="1811">
        <v>35</v>
      </c>
      <c r="BB26" s="35"/>
      <c r="BC26" s="35"/>
      <c r="BD26" s="1812"/>
      <c r="BE26" s="1554"/>
      <c r="BF26" s="1547"/>
      <c r="BG26" s="1555"/>
    </row>
    <row r="27" spans="1:59" ht="50">
      <c r="A27" s="1527">
        <v>14</v>
      </c>
      <c r="B27" s="16" t="s">
        <v>26</v>
      </c>
      <c r="C27" s="1547" t="s">
        <v>27</v>
      </c>
      <c r="D27" s="1548" t="s">
        <v>21</v>
      </c>
      <c r="E27" s="1549" t="s">
        <v>23</v>
      </c>
      <c r="F27" s="1556"/>
      <c r="G27" s="1556"/>
      <c r="H27" s="1557"/>
      <c r="I27" s="1549" t="s">
        <v>23</v>
      </c>
      <c r="J27" s="1556"/>
      <c r="K27" s="1556"/>
      <c r="L27" s="1557"/>
      <c r="M27" s="1549" t="s">
        <v>23</v>
      </c>
      <c r="N27" s="1556"/>
      <c r="O27" s="1556"/>
      <c r="P27" s="1548"/>
      <c r="Q27" s="1549" t="s">
        <v>23</v>
      </c>
      <c r="R27" s="1556"/>
      <c r="S27" s="1556"/>
      <c r="T27" s="1548"/>
      <c r="U27" s="1549" t="s">
        <v>23</v>
      </c>
      <c r="V27" s="1556"/>
      <c r="W27" s="1556"/>
      <c r="X27" s="1548"/>
      <c r="Y27" s="1549" t="s">
        <v>23</v>
      </c>
      <c r="Z27" s="1556"/>
      <c r="AA27" s="1556"/>
      <c r="AB27" s="1548"/>
      <c r="AC27" s="1549" t="s">
        <v>23</v>
      </c>
      <c r="AD27" s="1556"/>
      <c r="AE27" s="1556"/>
      <c r="AF27" s="1548"/>
      <c r="AG27" s="1549" t="s">
        <v>23</v>
      </c>
      <c r="AH27" s="1556"/>
      <c r="AI27" s="1556"/>
      <c r="AJ27" s="1548"/>
      <c r="AK27" s="1549" t="s">
        <v>23</v>
      </c>
      <c r="AL27" s="1556"/>
      <c r="AM27" s="1556"/>
      <c r="AN27" s="1548"/>
      <c r="AO27" s="1549" t="s">
        <v>23</v>
      </c>
      <c r="AP27" s="1556"/>
      <c r="AQ27" s="1556"/>
      <c r="AR27" s="1548"/>
      <c r="AS27" s="1549" t="s">
        <v>23</v>
      </c>
      <c r="AT27" s="1556"/>
      <c r="AU27" s="1556"/>
      <c r="AV27" s="1548"/>
      <c r="AW27" s="1549" t="s">
        <v>23</v>
      </c>
      <c r="AX27" s="1556"/>
      <c r="AY27" s="1556"/>
      <c r="AZ27" s="1548"/>
      <c r="BA27" s="1811" t="s">
        <v>23</v>
      </c>
      <c r="BB27" s="35"/>
      <c r="BC27" s="35"/>
      <c r="BD27" s="1812"/>
      <c r="BE27" s="1554"/>
      <c r="BF27" s="1547"/>
      <c r="BG27" s="1555"/>
    </row>
    <row r="28" spans="1:59" ht="13">
      <c r="A28" s="1527">
        <v>15</v>
      </c>
      <c r="B28" s="16" t="s">
        <v>28</v>
      </c>
      <c r="C28" s="1547" t="s">
        <v>29</v>
      </c>
      <c r="D28" s="1548"/>
      <c r="E28" s="1549">
        <v>150</v>
      </c>
      <c r="F28" s="1556"/>
      <c r="G28" s="1556"/>
      <c r="H28" s="1557"/>
      <c r="I28" s="1549">
        <v>150</v>
      </c>
      <c r="J28" s="1556"/>
      <c r="K28" s="1556"/>
      <c r="L28" s="1557"/>
      <c r="M28" s="1549">
        <v>150</v>
      </c>
      <c r="N28" s="1556"/>
      <c r="O28" s="1556"/>
      <c r="P28" s="1548"/>
      <c r="Q28" s="1549">
        <v>150</v>
      </c>
      <c r="R28" s="1556"/>
      <c r="S28" s="1556"/>
      <c r="T28" s="1548"/>
      <c r="U28" s="1549">
        <v>150</v>
      </c>
      <c r="V28" s="1556"/>
      <c r="W28" s="1556"/>
      <c r="X28" s="1548"/>
      <c r="Y28" s="1549">
        <v>150</v>
      </c>
      <c r="Z28" s="1556"/>
      <c r="AA28" s="1556"/>
      <c r="AB28" s="1548"/>
      <c r="AC28" s="1549">
        <v>150</v>
      </c>
      <c r="AD28" s="1556"/>
      <c r="AE28" s="1556"/>
      <c r="AF28" s="1548"/>
      <c r="AG28" s="1549">
        <v>0</v>
      </c>
      <c r="AH28" s="1556"/>
      <c r="AI28" s="1556"/>
      <c r="AJ28" s="1548"/>
      <c r="AK28" s="1549">
        <v>0</v>
      </c>
      <c r="AL28" s="1556"/>
      <c r="AM28" s="1556"/>
      <c r="AN28" s="1548"/>
      <c r="AO28" s="1549">
        <v>150</v>
      </c>
      <c r="AP28" s="1556"/>
      <c r="AQ28" s="1556"/>
      <c r="AR28" s="1548"/>
      <c r="AS28" s="1549">
        <v>0</v>
      </c>
      <c r="AT28" s="1556"/>
      <c r="AU28" s="1556"/>
      <c r="AV28" s="1548"/>
      <c r="AW28" s="1549">
        <v>0</v>
      </c>
      <c r="AX28" s="1556"/>
      <c r="AY28" s="1556"/>
      <c r="AZ28" s="1548"/>
      <c r="BA28" s="1811">
        <v>0</v>
      </c>
      <c r="BB28" s="35"/>
      <c r="BC28" s="35"/>
      <c r="BD28" s="1812"/>
      <c r="BE28" s="1554"/>
      <c r="BF28" s="1547"/>
      <c r="BG28" s="1555"/>
    </row>
    <row r="29" spans="1:59" ht="37.5">
      <c r="A29" s="1527">
        <v>16</v>
      </c>
      <c r="B29" s="16" t="s">
        <v>30</v>
      </c>
      <c r="C29" s="1547" t="s">
        <v>31</v>
      </c>
      <c r="D29" s="1548"/>
      <c r="E29" s="1558">
        <f>+$L$12</f>
        <v>9.2517348923135692E-2</v>
      </c>
      <c r="F29" s="1554"/>
      <c r="G29" s="1559"/>
      <c r="H29" s="1560"/>
      <c r="I29" s="1558">
        <f>+$L$12</f>
        <v>9.2517348923135692E-2</v>
      </c>
      <c r="J29" s="1554"/>
      <c r="K29" s="1559"/>
      <c r="L29" s="1560"/>
      <c r="M29" s="1558">
        <f>+$L$12</f>
        <v>9.2517348923135692E-2</v>
      </c>
      <c r="N29" s="1556"/>
      <c r="O29" s="1556"/>
      <c r="P29" s="1548"/>
      <c r="Q29" s="1558">
        <f>+$L$12</f>
        <v>9.2517348923135692E-2</v>
      </c>
      <c r="R29" s="1554"/>
      <c r="S29" s="1554"/>
      <c r="T29" s="1555"/>
      <c r="U29" s="1558">
        <f>+$L$12</f>
        <v>9.2517348923135692E-2</v>
      </c>
      <c r="V29" s="1554"/>
      <c r="W29" s="1554"/>
      <c r="X29" s="1555"/>
      <c r="Y29" s="1558">
        <f>+$L$12</f>
        <v>9.2517348923135692E-2</v>
      </c>
      <c r="Z29" s="1554"/>
      <c r="AA29" s="1554"/>
      <c r="AB29" s="1555"/>
      <c r="AC29" s="1558">
        <f>+$L$12</f>
        <v>9.2517348923135692E-2</v>
      </c>
      <c r="AD29" s="1554"/>
      <c r="AE29" s="1554"/>
      <c r="AF29" s="1555"/>
      <c r="AG29" s="1558">
        <f>+$L$12</f>
        <v>9.2517348923135692E-2</v>
      </c>
      <c r="AH29" s="1554"/>
      <c r="AI29" s="1554"/>
      <c r="AJ29" s="1555"/>
      <c r="AK29" s="1558">
        <f>+$L$12</f>
        <v>9.2517348923135692E-2</v>
      </c>
      <c r="AL29" s="1554"/>
      <c r="AM29" s="1554"/>
      <c r="AN29" s="1555"/>
      <c r="AO29" s="1558">
        <f>+$L$12</f>
        <v>9.2517348923135692E-2</v>
      </c>
      <c r="AP29" s="1554"/>
      <c r="AQ29" s="1554"/>
      <c r="AR29" s="1555"/>
      <c r="AS29" s="1558">
        <f>+$L$12</f>
        <v>9.2517348923135692E-2</v>
      </c>
      <c r="AT29" s="1554"/>
      <c r="AU29" s="1554"/>
      <c r="AV29" s="1555"/>
      <c r="AW29" s="1558">
        <f>+$L$12</f>
        <v>9.2517348923135692E-2</v>
      </c>
      <c r="AX29" s="1554"/>
      <c r="AY29" s="1554"/>
      <c r="AZ29" s="1555"/>
      <c r="BA29" s="1813">
        <f>+$L$12</f>
        <v>9.2517348923135692E-2</v>
      </c>
      <c r="BB29" s="34"/>
      <c r="BC29" s="34"/>
      <c r="BD29" s="21"/>
      <c r="BE29" s="1554"/>
      <c r="BF29" s="1547"/>
      <c r="BG29" s="1555"/>
    </row>
    <row r="30" spans="1:59" ht="25">
      <c r="A30" s="1527">
        <v>17</v>
      </c>
      <c r="B30" s="16" t="s">
        <v>32</v>
      </c>
      <c r="C30" s="1547" t="s">
        <v>33</v>
      </c>
      <c r="D30" s="1561"/>
      <c r="E30" s="1477">
        <f>+$L14*E28/100+E29</f>
        <v>0.10073152809906184</v>
      </c>
      <c r="F30" s="1478"/>
      <c r="G30" s="1478"/>
      <c r="H30" s="1479"/>
      <c r="I30" s="1477">
        <f>+$L14*I28/100+I29</f>
        <v>0.10073152809906184</v>
      </c>
      <c r="J30" s="1478"/>
      <c r="K30" s="1478"/>
      <c r="L30" s="1479"/>
      <c r="M30" s="1477">
        <f>+$L14*M28/100+M29</f>
        <v>0.10073152809906184</v>
      </c>
      <c r="N30" s="1554"/>
      <c r="O30" s="1554"/>
      <c r="P30" s="1555"/>
      <c r="Q30" s="1477">
        <f>+$L14*Q28/100+Q29</f>
        <v>0.10073152809906184</v>
      </c>
      <c r="R30" s="1554"/>
      <c r="S30" s="1554"/>
      <c r="T30" s="1555"/>
      <c r="U30" s="1477">
        <f>+$L14*U28/100+U29</f>
        <v>0.10073152809906184</v>
      </c>
      <c r="V30" s="1554"/>
      <c r="W30" s="1554"/>
      <c r="X30" s="1555"/>
      <c r="Y30" s="1477">
        <f>+$L14*Y28/100+Y29</f>
        <v>0.10073152809906184</v>
      </c>
      <c r="Z30" s="1554"/>
      <c r="AA30" s="1554"/>
      <c r="AB30" s="1555"/>
      <c r="AC30" s="1477">
        <f>+$L14*AC28/100+AC29</f>
        <v>0.10073152809906184</v>
      </c>
      <c r="AD30" s="1554"/>
      <c r="AE30" s="1554"/>
      <c r="AF30" s="1555"/>
      <c r="AG30" s="1477">
        <f>+$L14*AG28/100+AG29</f>
        <v>9.2517348923135692E-2</v>
      </c>
      <c r="AH30" s="1554"/>
      <c r="AI30" s="1554"/>
      <c r="AJ30" s="1555"/>
      <c r="AK30" s="1477">
        <f>+$L14*AK28/100+AK29</f>
        <v>9.2517348923135692E-2</v>
      </c>
      <c r="AL30" s="1554"/>
      <c r="AM30" s="1554"/>
      <c r="AN30" s="1555"/>
      <c r="AO30" s="1477">
        <f>+$L14*AO28/100+AO29</f>
        <v>0.10073152809906184</v>
      </c>
      <c r="AP30" s="1554"/>
      <c r="AQ30" s="1554"/>
      <c r="AR30" s="1555"/>
      <c r="AS30" s="1477">
        <f>+$L14*AS28/100+AS29</f>
        <v>9.2517348923135692E-2</v>
      </c>
      <c r="AT30" s="1554"/>
      <c r="AU30" s="1554"/>
      <c r="AV30" s="1555"/>
      <c r="AW30" s="1477">
        <f>+$L14*AW28/100+AW29</f>
        <v>9.2517348923135692E-2</v>
      </c>
      <c r="AX30" s="1554"/>
      <c r="AY30" s="1554"/>
      <c r="AZ30" s="1555"/>
      <c r="BA30" s="1477">
        <f>+$L14*BA28/100+BA29</f>
        <v>9.2517348923135692E-2</v>
      </c>
      <c r="BB30" s="34"/>
      <c r="BC30" s="34"/>
      <c r="BD30" s="21"/>
      <c r="BE30" s="1554"/>
      <c r="BF30" s="1547"/>
      <c r="BG30" s="1555"/>
    </row>
    <row r="31" spans="1:59" ht="25.5">
      <c r="A31" s="1527">
        <v>18</v>
      </c>
      <c r="B31" s="1480" t="s">
        <v>34</v>
      </c>
      <c r="C31" s="1547" t="s">
        <v>35</v>
      </c>
      <c r="D31" s="1548"/>
      <c r="E31" s="1562">
        <v>14689101</v>
      </c>
      <c r="F31" s="1563"/>
      <c r="G31" s="1563"/>
      <c r="H31" s="1564"/>
      <c r="I31" s="1565">
        <v>3099104</v>
      </c>
      <c r="J31" s="1563"/>
      <c r="K31" s="1563"/>
      <c r="L31" s="1564"/>
      <c r="M31" s="1562">
        <v>2418717</v>
      </c>
      <c r="N31" s="23"/>
      <c r="O31" s="23"/>
      <c r="P31" s="1560"/>
      <c r="Q31" s="1562">
        <v>6414723</v>
      </c>
      <c r="R31" s="23"/>
      <c r="S31" s="23"/>
      <c r="T31" s="1560"/>
      <c r="U31" s="1562">
        <f>8379558</f>
        <v>8379558</v>
      </c>
      <c r="V31" s="23"/>
      <c r="W31" s="23"/>
      <c r="X31" s="1560"/>
      <c r="Y31" s="1562">
        <v>14504530</v>
      </c>
      <c r="Z31" s="23"/>
      <c r="AA31" s="23"/>
      <c r="AB31" s="1560"/>
      <c r="AC31" s="1562">
        <v>6681345</v>
      </c>
      <c r="AD31" s="23"/>
      <c r="AE31" s="23"/>
      <c r="AF31" s="1560"/>
      <c r="AG31" s="1562">
        <v>217662</v>
      </c>
      <c r="AH31" s="23"/>
      <c r="AI31" s="23"/>
      <c r="AJ31" s="1560"/>
      <c r="AK31" s="1562">
        <v>5055041</v>
      </c>
      <c r="AL31" s="23"/>
      <c r="AM31" s="23"/>
      <c r="AN31" s="1560"/>
      <c r="AO31" s="1562">
        <v>16372433</v>
      </c>
      <c r="AP31" s="23"/>
      <c r="AQ31" s="23"/>
      <c r="AR31" s="1560"/>
      <c r="AS31" s="1562">
        <v>10567349</v>
      </c>
      <c r="AT31" s="23"/>
      <c r="AU31" s="23"/>
      <c r="AV31" s="1560"/>
      <c r="AW31" s="1562">
        <v>7246743</v>
      </c>
      <c r="AX31" s="23"/>
      <c r="AY31" s="23"/>
      <c r="AZ31" s="1560"/>
      <c r="BA31" s="1814">
        <v>5454268</v>
      </c>
      <c r="BB31" s="23"/>
      <c r="BC31" s="23"/>
      <c r="BD31" s="1560"/>
      <c r="BE31" s="1554"/>
      <c r="BF31" s="1547"/>
      <c r="BG31" s="1555"/>
    </row>
    <row r="32" spans="1:59" ht="13">
      <c r="A32" s="1527">
        <v>19</v>
      </c>
      <c r="B32" s="1481" t="s">
        <v>36</v>
      </c>
      <c r="C32" s="1547" t="s">
        <v>1568</v>
      </c>
      <c r="D32" s="1548"/>
      <c r="E32" s="1566">
        <f>IF(E31=0,0,E31/E26)</f>
        <v>419688.6</v>
      </c>
      <c r="F32" s="23"/>
      <c r="G32" s="23"/>
      <c r="H32" s="1560"/>
      <c r="I32" s="1566">
        <f>IF(I31=0,0,I31/I26)</f>
        <v>88545.828571428574</v>
      </c>
      <c r="J32" s="23"/>
      <c r="K32" s="23"/>
      <c r="L32" s="1560"/>
      <c r="M32" s="1566">
        <f>IF(M31=0,0,M31/M26)</f>
        <v>69106.2</v>
      </c>
      <c r="N32" s="23"/>
      <c r="O32" s="23"/>
      <c r="P32" s="1560"/>
      <c r="Q32" s="1566">
        <f>+Q31/Q26</f>
        <v>183277.8</v>
      </c>
      <c r="R32" s="23"/>
      <c r="S32" s="23"/>
      <c r="T32" s="1560"/>
      <c r="U32" s="1566">
        <f>+U31/U26</f>
        <v>239415.94285714286</v>
      </c>
      <c r="V32" s="23"/>
      <c r="W32" s="23"/>
      <c r="X32" s="1560"/>
      <c r="Y32" s="1566">
        <f>+Y31/Y26</f>
        <v>414415.14285714284</v>
      </c>
      <c r="Z32" s="23"/>
      <c r="AA32" s="23"/>
      <c r="AB32" s="1560"/>
      <c r="AC32" s="1566">
        <f>+AC31/AC26</f>
        <v>190895.57142857142</v>
      </c>
      <c r="AD32" s="23"/>
      <c r="AE32" s="23"/>
      <c r="AF32" s="1560"/>
      <c r="AG32" s="1566">
        <f>+AG31/AG26</f>
        <v>6218.9142857142861</v>
      </c>
      <c r="AH32" s="23"/>
      <c r="AI32" s="23"/>
      <c r="AJ32" s="1560"/>
      <c r="AK32" s="1566">
        <f>+AK31/AK26</f>
        <v>144429.74285714285</v>
      </c>
      <c r="AL32" s="23"/>
      <c r="AM32" s="23"/>
      <c r="AN32" s="1560"/>
      <c r="AO32" s="1566">
        <f>+AO31/AO26</f>
        <v>467783.8</v>
      </c>
      <c r="AP32" s="23"/>
      <c r="AQ32" s="23"/>
      <c r="AR32" s="1560"/>
      <c r="AS32" s="1566">
        <f>+AS31/AS26</f>
        <v>301924.25714285712</v>
      </c>
      <c r="AT32" s="23"/>
      <c r="AU32" s="23"/>
      <c r="AV32" s="1560"/>
      <c r="AW32" s="1566">
        <f>+AW31/AW26</f>
        <v>207049.8</v>
      </c>
      <c r="AX32" s="23"/>
      <c r="AY32" s="23"/>
      <c r="AZ32" s="1560"/>
      <c r="BA32" s="1566">
        <f>+BA31/BA26</f>
        <v>155836.22857142857</v>
      </c>
      <c r="BB32" s="23"/>
      <c r="BC32" s="23"/>
      <c r="BD32" s="1560"/>
      <c r="BE32" s="1554"/>
      <c r="BF32" s="1547"/>
      <c r="BG32" s="1555"/>
    </row>
    <row r="33" spans="1:77" ht="27" customHeight="1">
      <c r="A33" s="1527">
        <f>+A32+1</f>
        <v>20</v>
      </c>
      <c r="B33" s="16" t="s">
        <v>37</v>
      </c>
      <c r="C33" s="1971" t="s">
        <v>38</v>
      </c>
      <c r="D33" s="1972"/>
      <c r="E33" s="1567">
        <v>6</v>
      </c>
      <c r="F33" s="1568"/>
      <c r="G33" s="1568"/>
      <c r="H33" s="1569"/>
      <c r="I33" s="1567">
        <v>6</v>
      </c>
      <c r="J33" s="1568"/>
      <c r="K33" s="1568"/>
      <c r="L33" s="1569"/>
      <c r="M33" s="1567">
        <v>6</v>
      </c>
      <c r="N33" s="24"/>
      <c r="O33" s="24"/>
      <c r="P33" s="1570"/>
      <c r="Q33" s="1562">
        <v>6</v>
      </c>
      <c r="R33" s="24"/>
      <c r="S33" s="24"/>
      <c r="T33" s="1570"/>
      <c r="U33" s="1562">
        <v>12</v>
      </c>
      <c r="V33" s="24"/>
      <c r="W33" s="24"/>
      <c r="X33" s="1570"/>
      <c r="Y33" s="1562">
        <v>9</v>
      </c>
      <c r="Z33" s="24"/>
      <c r="AA33" s="24"/>
      <c r="AB33" s="1570"/>
      <c r="AC33" s="1562">
        <v>8</v>
      </c>
      <c r="AD33" s="24"/>
      <c r="AE33" s="24"/>
      <c r="AF33" s="1570"/>
      <c r="AG33" s="1562">
        <v>6</v>
      </c>
      <c r="AH33" s="24"/>
      <c r="AI33" s="24"/>
      <c r="AJ33" s="1570"/>
      <c r="AK33" s="1562">
        <v>6</v>
      </c>
      <c r="AL33" s="24"/>
      <c r="AM33" s="24"/>
      <c r="AN33" s="1570"/>
      <c r="AO33" s="1562">
        <v>12</v>
      </c>
      <c r="AP33" s="24"/>
      <c r="AQ33" s="24"/>
      <c r="AR33" s="1570"/>
      <c r="AS33" s="1562">
        <v>4</v>
      </c>
      <c r="AT33" s="24"/>
      <c r="AU33" s="24"/>
      <c r="AV33" s="1570"/>
      <c r="AW33" s="1562">
        <v>5</v>
      </c>
      <c r="AX33" s="24"/>
      <c r="AY33" s="24"/>
      <c r="AZ33" s="1570"/>
      <c r="BA33" s="1814">
        <v>6</v>
      </c>
      <c r="BB33" s="24"/>
      <c r="BC33" s="24"/>
      <c r="BD33" s="1570"/>
      <c r="BE33" s="1554"/>
      <c r="BF33" s="1547"/>
      <c r="BG33" s="1555"/>
    </row>
    <row r="34" spans="1:77" ht="13.5" thickBot="1">
      <c r="C34" s="1571"/>
      <c r="D34" s="1572"/>
      <c r="E34" s="1573"/>
      <c r="F34" s="28"/>
      <c r="G34" s="28"/>
      <c r="H34" s="1574"/>
      <c r="I34" s="1573"/>
      <c r="J34" s="28"/>
      <c r="K34" s="28"/>
      <c r="L34" s="1574"/>
      <c r="M34" s="1573"/>
      <c r="N34" s="28"/>
      <c r="O34" s="28"/>
      <c r="P34" s="1574"/>
      <c r="Q34" s="1573"/>
      <c r="R34" s="28"/>
      <c r="S34" s="28"/>
      <c r="T34" s="1574"/>
      <c r="U34" s="1573"/>
      <c r="V34" s="28"/>
      <c r="W34" s="28"/>
      <c r="X34" s="1574"/>
      <c r="Y34" s="1573"/>
      <c r="Z34" s="28"/>
      <c r="AA34" s="28"/>
      <c r="AB34" s="1574"/>
      <c r="AC34" s="1573"/>
      <c r="AD34" s="28"/>
      <c r="AE34" s="28"/>
      <c r="AF34" s="1574"/>
      <c r="AG34" s="1573"/>
      <c r="AH34" s="28"/>
      <c r="AI34" s="28"/>
      <c r="AJ34" s="1574"/>
      <c r="AK34" s="1573"/>
      <c r="AL34" s="28"/>
      <c r="AM34" s="28"/>
      <c r="AN34" s="1574"/>
      <c r="AO34" s="1573"/>
      <c r="AP34" s="28"/>
      <c r="AQ34" s="28"/>
      <c r="AR34" s="1574"/>
      <c r="AS34" s="1573"/>
      <c r="AT34" s="28"/>
      <c r="AU34" s="28"/>
      <c r="AV34" s="1574"/>
      <c r="AW34" s="1573"/>
      <c r="AX34" s="28"/>
      <c r="AY34" s="28"/>
      <c r="AZ34" s="1574"/>
      <c r="BA34" s="1573"/>
      <c r="BB34" s="28"/>
      <c r="BC34" s="28"/>
      <c r="BD34" s="1574"/>
      <c r="BE34" s="1575"/>
      <c r="BF34" s="1571"/>
      <c r="BG34" s="1576"/>
    </row>
    <row r="35" spans="1:77" ht="13">
      <c r="C35" s="1540"/>
      <c r="D35" s="1577" t="s">
        <v>39</v>
      </c>
      <c r="E35" s="1578" t="s">
        <v>40</v>
      </c>
      <c r="F35" s="1578" t="s">
        <v>41</v>
      </c>
      <c r="G35" s="1578" t="s">
        <v>42</v>
      </c>
      <c r="H35" s="1579" t="s">
        <v>43</v>
      </c>
      <c r="I35" s="1578" t="s">
        <v>40</v>
      </c>
      <c r="J35" s="1578" t="s">
        <v>41</v>
      </c>
      <c r="K35" s="1578" t="s">
        <v>42</v>
      </c>
      <c r="L35" s="1579" t="s">
        <v>43</v>
      </c>
      <c r="M35" s="1580" t="s">
        <v>40</v>
      </c>
      <c r="N35" s="1578" t="s">
        <v>41</v>
      </c>
      <c r="O35" s="1578" t="s">
        <v>42</v>
      </c>
      <c r="P35" s="1581" t="s">
        <v>43</v>
      </c>
      <c r="Q35" s="1580" t="s">
        <v>40</v>
      </c>
      <c r="R35" s="1578" t="s">
        <v>41</v>
      </c>
      <c r="S35" s="1578" t="s">
        <v>42</v>
      </c>
      <c r="T35" s="1581" t="s">
        <v>43</v>
      </c>
      <c r="U35" s="1580" t="s">
        <v>40</v>
      </c>
      <c r="V35" s="1578" t="s">
        <v>41</v>
      </c>
      <c r="W35" s="1578" t="s">
        <v>42</v>
      </c>
      <c r="X35" s="1581" t="s">
        <v>43</v>
      </c>
      <c r="Y35" s="1580" t="s">
        <v>40</v>
      </c>
      <c r="Z35" s="1578" t="s">
        <v>41</v>
      </c>
      <c r="AA35" s="1578" t="s">
        <v>42</v>
      </c>
      <c r="AB35" s="1581" t="s">
        <v>43</v>
      </c>
      <c r="AC35" s="1580" t="s">
        <v>40</v>
      </c>
      <c r="AD35" s="1578" t="s">
        <v>41</v>
      </c>
      <c r="AE35" s="1578" t="s">
        <v>42</v>
      </c>
      <c r="AF35" s="1581" t="s">
        <v>43</v>
      </c>
      <c r="AG35" s="1580" t="s">
        <v>40</v>
      </c>
      <c r="AH35" s="1578" t="s">
        <v>41</v>
      </c>
      <c r="AI35" s="1578" t="s">
        <v>42</v>
      </c>
      <c r="AJ35" s="1581" t="s">
        <v>43</v>
      </c>
      <c r="AK35" s="1580" t="s">
        <v>40</v>
      </c>
      <c r="AL35" s="1578" t="s">
        <v>41</v>
      </c>
      <c r="AM35" s="1578" t="s">
        <v>42</v>
      </c>
      <c r="AN35" s="1581" t="s">
        <v>43</v>
      </c>
      <c r="AO35" s="1580" t="s">
        <v>40</v>
      </c>
      <c r="AP35" s="1578" t="s">
        <v>41</v>
      </c>
      <c r="AQ35" s="1578" t="s">
        <v>42</v>
      </c>
      <c r="AR35" s="1581" t="s">
        <v>43</v>
      </c>
      <c r="AS35" s="1580" t="s">
        <v>40</v>
      </c>
      <c r="AT35" s="1578" t="s">
        <v>41</v>
      </c>
      <c r="AU35" s="1578" t="s">
        <v>42</v>
      </c>
      <c r="AV35" s="1581" t="s">
        <v>43</v>
      </c>
      <c r="AW35" s="1580" t="s">
        <v>40</v>
      </c>
      <c r="AX35" s="1578" t="s">
        <v>41</v>
      </c>
      <c r="AY35" s="1578" t="s">
        <v>42</v>
      </c>
      <c r="AZ35" s="1581" t="s">
        <v>43</v>
      </c>
      <c r="BA35" s="1804" t="s">
        <v>40</v>
      </c>
      <c r="BB35" s="1805" t="s">
        <v>41</v>
      </c>
      <c r="BC35" s="1805" t="s">
        <v>42</v>
      </c>
      <c r="BD35" s="1806" t="s">
        <v>43</v>
      </c>
      <c r="BE35" s="1577" t="s">
        <v>44</v>
      </c>
      <c r="BF35" s="1552" t="s">
        <v>45</v>
      </c>
      <c r="BG35" s="1553" t="s">
        <v>46</v>
      </c>
    </row>
    <row r="36" spans="1:77" ht="13" hidden="1">
      <c r="A36" s="1527">
        <f>+A33+1</f>
        <v>21</v>
      </c>
      <c r="C36" s="1547" t="str">
        <f>+C29</f>
        <v>Base FCR</v>
      </c>
      <c r="D36" s="1582">
        <v>2008</v>
      </c>
      <c r="E36" s="1583"/>
      <c r="F36" s="23"/>
      <c r="G36" s="1583">
        <v>0</v>
      </c>
      <c r="H36" s="1560">
        <v>0</v>
      </c>
      <c r="I36" s="1583"/>
      <c r="J36" s="23"/>
      <c r="K36" s="1583">
        <v>0</v>
      </c>
      <c r="L36" s="1560">
        <v>0</v>
      </c>
      <c r="M36" s="1583"/>
      <c r="N36" s="23"/>
      <c r="O36" s="1583">
        <v>0</v>
      </c>
      <c r="P36" s="1560">
        <v>0</v>
      </c>
      <c r="Q36" s="1547"/>
      <c r="R36" s="1554"/>
      <c r="S36" s="1554"/>
      <c r="T36" s="1560"/>
      <c r="U36" s="1547"/>
      <c r="V36" s="1554"/>
      <c r="W36" s="1554"/>
      <c r="X36" s="1560"/>
      <c r="Y36" s="1547"/>
      <c r="Z36" s="1554"/>
      <c r="AA36" s="1554"/>
      <c r="AB36" s="1560"/>
      <c r="AC36" s="1547"/>
      <c r="AD36" s="1554"/>
      <c r="AE36" s="1554"/>
      <c r="AF36" s="1560"/>
      <c r="AG36" s="1547"/>
      <c r="AH36" s="1554"/>
      <c r="AI36" s="1554"/>
      <c r="AJ36" s="1560"/>
      <c r="AK36" s="1547"/>
      <c r="AL36" s="1554"/>
      <c r="AM36" s="1554"/>
      <c r="AN36" s="1560"/>
      <c r="AO36" s="1547"/>
      <c r="AP36" s="1554"/>
      <c r="AQ36" s="1554"/>
      <c r="AR36" s="1560"/>
      <c r="AS36" s="1547"/>
      <c r="AT36" s="1554"/>
      <c r="AU36" s="1554"/>
      <c r="AV36" s="1560"/>
      <c r="AW36" s="1547"/>
      <c r="AX36" s="1554"/>
      <c r="AY36" s="1554"/>
      <c r="AZ36" s="1560"/>
      <c r="BA36" s="1547"/>
      <c r="BB36" s="1554"/>
      <c r="BC36" s="1554"/>
      <c r="BD36" s="1560"/>
      <c r="BE36" s="1584">
        <v>11906709.865205778</v>
      </c>
      <c r="BF36" s="1554"/>
      <c r="BG36" s="1585">
        <f>+BE36</f>
        <v>11906709.865205778</v>
      </c>
    </row>
    <row r="37" spans="1:77" ht="13" hidden="1">
      <c r="A37" s="1527">
        <f>+A36+1</f>
        <v>22</v>
      </c>
      <c r="C37" s="1547" t="s">
        <v>47</v>
      </c>
      <c r="D37" s="1582">
        <v>2008</v>
      </c>
      <c r="E37" s="1583"/>
      <c r="F37" s="23"/>
      <c r="G37" s="1583">
        <v>0</v>
      </c>
      <c r="H37" s="1560">
        <v>0</v>
      </c>
      <c r="I37" s="1583"/>
      <c r="J37" s="23"/>
      <c r="K37" s="1583">
        <v>0</v>
      </c>
      <c r="L37" s="1560">
        <v>0</v>
      </c>
      <c r="M37" s="1583"/>
      <c r="N37" s="23"/>
      <c r="O37" s="1583">
        <v>0</v>
      </c>
      <c r="P37" s="1560">
        <v>0</v>
      </c>
      <c r="Q37" s="1547"/>
      <c r="R37" s="1554"/>
      <c r="S37" s="1554"/>
      <c r="T37" s="1560"/>
      <c r="U37" s="1547"/>
      <c r="V37" s="1554"/>
      <c r="W37" s="1554"/>
      <c r="X37" s="1560"/>
      <c r="Y37" s="1547"/>
      <c r="Z37" s="1554"/>
      <c r="AA37" s="1554"/>
      <c r="AB37" s="1560"/>
      <c r="AC37" s="1547"/>
      <c r="AD37" s="1554"/>
      <c r="AE37" s="1554"/>
      <c r="AF37" s="1560"/>
      <c r="AG37" s="1547"/>
      <c r="AH37" s="1554"/>
      <c r="AI37" s="1554"/>
      <c r="AJ37" s="1560"/>
      <c r="AK37" s="1547"/>
      <c r="AL37" s="1554"/>
      <c r="AM37" s="1554"/>
      <c r="AN37" s="1560"/>
      <c r="AO37" s="1547"/>
      <c r="AP37" s="1554"/>
      <c r="AQ37" s="1554"/>
      <c r="AR37" s="1560"/>
      <c r="AS37" s="1547"/>
      <c r="AT37" s="1554"/>
      <c r="AU37" s="1554"/>
      <c r="AV37" s="1560"/>
      <c r="AW37" s="1547"/>
      <c r="AX37" s="1554"/>
      <c r="AY37" s="1554"/>
      <c r="AZ37" s="1560"/>
      <c r="BA37" s="1547"/>
      <c r="BB37" s="1554"/>
      <c r="BC37" s="1554"/>
      <c r="BD37" s="1560"/>
      <c r="BE37" s="1584">
        <v>11906709.865205778</v>
      </c>
      <c r="BF37" s="1586">
        <f>+BE37</f>
        <v>11906709.865205778</v>
      </c>
      <c r="BG37" s="1555"/>
    </row>
    <row r="38" spans="1:77" ht="13" hidden="1">
      <c r="A38" s="1527">
        <f t="shared" ref="A38:A77" si="0">+A37+1</f>
        <v>23</v>
      </c>
      <c r="C38" s="1547" t="str">
        <f>+C36</f>
        <v>Base FCR</v>
      </c>
      <c r="D38" s="1582">
        <f t="shared" ref="D38:D75" si="1">+D36+1</f>
        <v>2009</v>
      </c>
      <c r="E38" s="1583">
        <v>14689101</v>
      </c>
      <c r="F38" s="23">
        <v>209844.3</v>
      </c>
      <c r="G38" s="1583">
        <v>14479256.699999999</v>
      </c>
      <c r="H38" s="1560">
        <v>2027345.7502079715</v>
      </c>
      <c r="I38" s="1583">
        <v>3099104</v>
      </c>
      <c r="J38" s="23">
        <v>44272.914285714287</v>
      </c>
      <c r="K38" s="1583">
        <v>3054831.0857142857</v>
      </c>
      <c r="L38" s="1560">
        <v>427729.05733662838</v>
      </c>
      <c r="M38" s="1583">
        <v>2418717</v>
      </c>
      <c r="N38" s="23">
        <v>34553.1</v>
      </c>
      <c r="O38" s="1583">
        <v>2384163.9</v>
      </c>
      <c r="P38" s="1560">
        <v>333824.08024192724</v>
      </c>
      <c r="Q38" s="1587"/>
      <c r="R38" s="23"/>
      <c r="S38" s="1583"/>
      <c r="T38" s="1560"/>
      <c r="U38" s="1587"/>
      <c r="V38" s="23"/>
      <c r="W38" s="1583"/>
      <c r="X38" s="1560"/>
      <c r="Y38" s="1587"/>
      <c r="Z38" s="23"/>
      <c r="AA38" s="1583"/>
      <c r="AB38" s="1560"/>
      <c r="AC38" s="1587"/>
      <c r="AD38" s="23"/>
      <c r="AE38" s="1583"/>
      <c r="AF38" s="1560"/>
      <c r="AG38" s="1587"/>
      <c r="AH38" s="23"/>
      <c r="AI38" s="1583"/>
      <c r="AJ38" s="1560"/>
      <c r="AK38" s="1587"/>
      <c r="AL38" s="23"/>
      <c r="AM38" s="1583"/>
      <c r="AN38" s="1560"/>
      <c r="AO38" s="1587"/>
      <c r="AP38" s="23"/>
      <c r="AQ38" s="1583"/>
      <c r="AR38" s="1560"/>
      <c r="AS38" s="1587"/>
      <c r="AT38" s="23"/>
      <c r="AU38" s="1583"/>
      <c r="AV38" s="1560"/>
      <c r="AW38" s="1587"/>
      <c r="AX38" s="23"/>
      <c r="AY38" s="1583"/>
      <c r="AZ38" s="1560"/>
      <c r="BA38" s="1587"/>
      <c r="BB38" s="23"/>
      <c r="BC38" s="1583"/>
      <c r="BD38" s="1560"/>
      <c r="BE38" s="1584">
        <v>11906709.865205778</v>
      </c>
      <c r="BF38" s="1554"/>
      <c r="BG38" s="1585">
        <f>+BE38</f>
        <v>11906709.865205778</v>
      </c>
      <c r="BU38" s="1588"/>
      <c r="BV38" s="1588"/>
      <c r="BW38" s="1588"/>
      <c r="BX38" s="1588"/>
      <c r="BY38" s="1588"/>
    </row>
    <row r="39" spans="1:77" ht="13" hidden="1">
      <c r="A39" s="1527">
        <f t="shared" si="0"/>
        <v>24</v>
      </c>
      <c r="C39" s="1547" t="str">
        <f>+C37</f>
        <v>W Increased ROE</v>
      </c>
      <c r="D39" s="1582">
        <f t="shared" si="1"/>
        <v>2009</v>
      </c>
      <c r="E39" s="1583">
        <v>14689101</v>
      </c>
      <c r="F39" s="23">
        <v>209844.3</v>
      </c>
      <c r="G39" s="1583">
        <v>14479256.699999999</v>
      </c>
      <c r="H39" s="1560">
        <v>2170869.4430184173</v>
      </c>
      <c r="I39" s="1583">
        <v>3099104</v>
      </c>
      <c r="J39" s="23">
        <v>44272.914285714287</v>
      </c>
      <c r="K39" s="1583">
        <v>3054831.0857142857</v>
      </c>
      <c r="L39" s="1560">
        <v>458009.66133571754</v>
      </c>
      <c r="M39" s="1583">
        <v>2418717</v>
      </c>
      <c r="N39" s="23">
        <v>34553.1</v>
      </c>
      <c r="O39" s="1583">
        <v>2384163.9</v>
      </c>
      <c r="P39" s="1560">
        <v>357456.78558607347</v>
      </c>
      <c r="Q39" s="1587"/>
      <c r="R39" s="23"/>
      <c r="S39" s="1583"/>
      <c r="T39" s="1560"/>
      <c r="U39" s="1587"/>
      <c r="V39" s="23"/>
      <c r="W39" s="1583"/>
      <c r="X39" s="1560"/>
      <c r="Y39" s="1587"/>
      <c r="Z39" s="23"/>
      <c r="AA39" s="1583"/>
      <c r="AB39" s="1560"/>
      <c r="AC39" s="1587"/>
      <c r="AD39" s="23"/>
      <c r="AE39" s="1583"/>
      <c r="AF39" s="1560"/>
      <c r="AG39" s="1587"/>
      <c r="AH39" s="23"/>
      <c r="AI39" s="1583"/>
      <c r="AJ39" s="1560"/>
      <c r="AK39" s="1587"/>
      <c r="AL39" s="23"/>
      <c r="AM39" s="1583"/>
      <c r="AN39" s="1560"/>
      <c r="AO39" s="1587"/>
      <c r="AP39" s="23"/>
      <c r="AQ39" s="1583"/>
      <c r="AR39" s="1560"/>
      <c r="AS39" s="1587"/>
      <c r="AT39" s="23"/>
      <c r="AU39" s="1583"/>
      <c r="AV39" s="1560"/>
      <c r="AW39" s="1587"/>
      <c r="AX39" s="23"/>
      <c r="AY39" s="1583"/>
      <c r="AZ39" s="1560"/>
      <c r="BA39" s="1587"/>
      <c r="BB39" s="23"/>
      <c r="BC39" s="1583"/>
      <c r="BD39" s="1560"/>
      <c r="BE39" s="1584">
        <v>11906709.865205778</v>
      </c>
      <c r="BF39" s="1586">
        <f>+BE39</f>
        <v>11906709.865205778</v>
      </c>
      <c r="BG39" s="1555"/>
      <c r="BU39" s="1588"/>
      <c r="BV39" s="1588"/>
      <c r="BW39" s="1588"/>
      <c r="BX39" s="1588"/>
      <c r="BY39" s="1588"/>
    </row>
    <row r="40" spans="1:77" ht="13" hidden="1">
      <c r="A40" s="1527">
        <f t="shared" si="0"/>
        <v>25</v>
      </c>
      <c r="C40" s="1547" t="str">
        <f t="shared" ref="C40:C75" si="2">+C38</f>
        <v>Base FCR</v>
      </c>
      <c r="D40" s="1582">
        <f t="shared" si="1"/>
        <v>2010</v>
      </c>
      <c r="E40" s="1583">
        <v>14479256.699999999</v>
      </c>
      <c r="F40" s="1583">
        <v>419688.6</v>
      </c>
      <c r="G40" s="1583">
        <v>14059568.1</v>
      </c>
      <c r="H40" s="1560">
        <v>2184508.8487526681</v>
      </c>
      <c r="I40" s="1587">
        <v>3054831.0857142857</v>
      </c>
      <c r="J40" s="1583">
        <v>88545.828571428574</v>
      </c>
      <c r="K40" s="1583">
        <v>2966285.2571428572</v>
      </c>
      <c r="L40" s="1560">
        <v>460887.30080927268</v>
      </c>
      <c r="M40" s="1587">
        <v>2384163.9</v>
      </c>
      <c r="N40" s="1583">
        <v>69106.2</v>
      </c>
      <c r="O40" s="1583">
        <v>2315057.7000000002</v>
      </c>
      <c r="P40" s="1560">
        <v>359702.65907549456</v>
      </c>
      <c r="Q40" s="1587">
        <v>6414723</v>
      </c>
      <c r="R40" s="23">
        <v>91638.9</v>
      </c>
      <c r="S40" s="1583">
        <v>6323084.0999999996</v>
      </c>
      <c r="T40" s="1560">
        <v>932508.31708739861</v>
      </c>
      <c r="U40" s="1587">
        <v>8379558</v>
      </c>
      <c r="V40" s="23">
        <v>0</v>
      </c>
      <c r="W40" s="1583">
        <v>8379558</v>
      </c>
      <c r="X40" s="1560">
        <v>1114347.6726665786</v>
      </c>
      <c r="Y40" s="1587">
        <v>14504530</v>
      </c>
      <c r="Z40" s="23">
        <v>103603.78571428571</v>
      </c>
      <c r="AA40" s="1583">
        <v>14400926.214285715</v>
      </c>
      <c r="AB40" s="1560">
        <v>2018697.4709817434</v>
      </c>
      <c r="AC40" s="1587"/>
      <c r="AD40" s="23"/>
      <c r="AE40" s="1583"/>
      <c r="AF40" s="1560"/>
      <c r="AG40" s="1587"/>
      <c r="AH40" s="23"/>
      <c r="AI40" s="1583"/>
      <c r="AJ40" s="1560"/>
      <c r="AK40" s="1587"/>
      <c r="AL40" s="23"/>
      <c r="AM40" s="1583"/>
      <c r="AN40" s="1560"/>
      <c r="AO40" s="1587"/>
      <c r="AP40" s="23"/>
      <c r="AQ40" s="1583"/>
      <c r="AR40" s="1560"/>
      <c r="AS40" s="1587"/>
      <c r="AT40" s="23"/>
      <c r="AU40" s="1583"/>
      <c r="AV40" s="1560"/>
      <c r="AW40" s="1587"/>
      <c r="AX40" s="23"/>
      <c r="AY40" s="1583"/>
      <c r="AZ40" s="1560"/>
      <c r="BA40" s="1587"/>
      <c r="BB40" s="23"/>
      <c r="BC40" s="1583"/>
      <c r="BD40" s="1560"/>
      <c r="BE40" s="1584">
        <v>11906709.865205778</v>
      </c>
      <c r="BF40" s="1554"/>
      <c r="BG40" s="1585">
        <f>+BE40</f>
        <v>11906709.865205778</v>
      </c>
      <c r="BU40" s="1588"/>
      <c r="BV40" s="1588"/>
      <c r="BW40" s="1588"/>
      <c r="BX40" s="1588"/>
      <c r="BY40" s="1588"/>
    </row>
    <row r="41" spans="1:77" ht="13" hidden="1">
      <c r="A41" s="1527">
        <f t="shared" si="0"/>
        <v>26</v>
      </c>
      <c r="C41" s="1547" t="str">
        <f t="shared" si="2"/>
        <v>W Increased ROE</v>
      </c>
      <c r="D41" s="1582">
        <f t="shared" si="1"/>
        <v>2010</v>
      </c>
      <c r="E41" s="1583">
        <v>14479256.699999999</v>
      </c>
      <c r="F41" s="1583">
        <v>419688.6</v>
      </c>
      <c r="G41" s="1583">
        <v>14059568.1</v>
      </c>
      <c r="H41" s="1560">
        <v>2323872.4345251299</v>
      </c>
      <c r="I41" s="1587">
        <v>3054831.0857142857</v>
      </c>
      <c r="J41" s="1583">
        <v>88545.828571428574</v>
      </c>
      <c r="K41" s="1583">
        <v>2966285.2571428572</v>
      </c>
      <c r="L41" s="1560">
        <v>490290.20614172157</v>
      </c>
      <c r="M41" s="1587">
        <v>2384163.9</v>
      </c>
      <c r="N41" s="1583">
        <v>69106.2</v>
      </c>
      <c r="O41" s="1583">
        <v>2315057.7000000002</v>
      </c>
      <c r="P41" s="1560">
        <v>382650.35846763657</v>
      </c>
      <c r="Q41" s="1587">
        <v>6414723</v>
      </c>
      <c r="R41" s="23">
        <v>91638.9</v>
      </c>
      <c r="S41" s="1583">
        <v>6323084.0999999996</v>
      </c>
      <c r="T41" s="1560">
        <v>999766.33878652658</v>
      </c>
      <c r="U41" s="1587">
        <v>8379558</v>
      </c>
      <c r="V41" s="23">
        <v>0</v>
      </c>
      <c r="W41" s="1583">
        <v>8379558</v>
      </c>
      <c r="X41" s="1560">
        <v>1203480.2043362272</v>
      </c>
      <c r="Y41" s="1587">
        <v>14504530</v>
      </c>
      <c r="Z41" s="23">
        <v>103603.78571428571</v>
      </c>
      <c r="AA41" s="1583">
        <v>14400926.214285715</v>
      </c>
      <c r="AB41" s="1560">
        <v>2171878.7022432368</v>
      </c>
      <c r="AC41" s="1587"/>
      <c r="AD41" s="23"/>
      <c r="AE41" s="1583"/>
      <c r="AF41" s="1560"/>
      <c r="AG41" s="1587"/>
      <c r="AH41" s="23"/>
      <c r="AI41" s="1583"/>
      <c r="AJ41" s="1560"/>
      <c r="AK41" s="1587"/>
      <c r="AL41" s="23"/>
      <c r="AM41" s="1583"/>
      <c r="AN41" s="1560"/>
      <c r="AO41" s="1587"/>
      <c r="AP41" s="23"/>
      <c r="AQ41" s="1583"/>
      <c r="AR41" s="1560"/>
      <c r="AS41" s="1587"/>
      <c r="AT41" s="23"/>
      <c r="AU41" s="1583"/>
      <c r="AV41" s="1560"/>
      <c r="AW41" s="1587"/>
      <c r="AX41" s="23"/>
      <c r="AY41" s="1583"/>
      <c r="AZ41" s="1560"/>
      <c r="BA41" s="1587"/>
      <c r="BB41" s="23"/>
      <c r="BC41" s="1583"/>
      <c r="BD41" s="1560"/>
      <c r="BE41" s="1584">
        <v>11906709.865205778</v>
      </c>
      <c r="BF41" s="1586">
        <f>+BE41</f>
        <v>11906709.865205778</v>
      </c>
      <c r="BG41" s="1555"/>
      <c r="BU41" s="1588"/>
      <c r="BV41" s="1588"/>
      <c r="BW41" s="1588"/>
      <c r="BX41" s="1588"/>
      <c r="BY41" s="1588"/>
    </row>
    <row r="42" spans="1:77" ht="13" hidden="1">
      <c r="A42" s="1527">
        <f t="shared" si="0"/>
        <v>27</v>
      </c>
      <c r="C42" s="1547" t="str">
        <f t="shared" si="2"/>
        <v>Base FCR</v>
      </c>
      <c r="D42" s="1582">
        <f t="shared" si="1"/>
        <v>2011</v>
      </c>
      <c r="E42" s="1583">
        <v>14059568.1</v>
      </c>
      <c r="F42" s="1583">
        <v>419688.6</v>
      </c>
      <c r="G42" s="1583">
        <v>13639879.5</v>
      </c>
      <c r="H42" s="22">
        <v>2165363.6335302796</v>
      </c>
      <c r="I42" s="1583">
        <v>2966285.2571428572</v>
      </c>
      <c r="J42" s="1583">
        <v>88545.828571428574</v>
      </c>
      <c r="K42" s="1583">
        <v>2877739.4285714286</v>
      </c>
      <c r="L42" s="1560">
        <v>456848.04659782955</v>
      </c>
      <c r="M42" s="1587">
        <v>2315057.7000000002</v>
      </c>
      <c r="N42" s="1583">
        <v>69106.2</v>
      </c>
      <c r="O42" s="1583">
        <v>2245951.5</v>
      </c>
      <c r="P42" s="1560">
        <v>356550.19538646087</v>
      </c>
      <c r="Q42" s="1587">
        <v>6323084.0999999996</v>
      </c>
      <c r="R42" s="1583">
        <v>183277.8</v>
      </c>
      <c r="S42" s="1583">
        <v>6139806.2999999998</v>
      </c>
      <c r="T42" s="1560">
        <v>969069.68097826838</v>
      </c>
      <c r="U42" s="1587">
        <v>8379558</v>
      </c>
      <c r="V42" s="1583">
        <v>239415.94285714286</v>
      </c>
      <c r="W42" s="1583">
        <v>8140142.0571428575</v>
      </c>
      <c r="X42" s="1560">
        <v>1281217.1375483493</v>
      </c>
      <c r="Y42" s="1587">
        <v>14400926.214285715</v>
      </c>
      <c r="Z42" s="1583">
        <v>414415.14285714284</v>
      </c>
      <c r="AA42" s="1583">
        <v>13986511.071428571</v>
      </c>
      <c r="AB42" s="1560">
        <v>2204453.1841453887</v>
      </c>
      <c r="AC42" s="1587">
        <v>6681345</v>
      </c>
      <c r="AD42" s="1583">
        <v>63631.857142857138</v>
      </c>
      <c r="AE42" s="1583">
        <v>6617713.1428571427</v>
      </c>
      <c r="AF42" s="1560">
        <v>416530.15475828311</v>
      </c>
      <c r="AG42" s="1583"/>
      <c r="AH42" s="23"/>
      <c r="AI42" s="1583"/>
      <c r="AJ42" s="1560"/>
      <c r="AK42" s="1583"/>
      <c r="AL42" s="23"/>
      <c r="AM42" s="1583"/>
      <c r="AN42" s="1560"/>
      <c r="AO42" s="1583"/>
      <c r="AP42" s="23"/>
      <c r="AQ42" s="1583"/>
      <c r="AR42" s="1560"/>
      <c r="AS42" s="1583"/>
      <c r="AT42" s="23"/>
      <c r="AU42" s="1583"/>
      <c r="AV42" s="1560"/>
      <c r="AW42" s="1583"/>
      <c r="AX42" s="23"/>
      <c r="AY42" s="1583"/>
      <c r="AZ42" s="1560"/>
      <c r="BA42" s="1583"/>
      <c r="BB42" s="23"/>
      <c r="BC42" s="1583"/>
      <c r="BD42" s="1560"/>
      <c r="BE42" s="1584">
        <v>11906709.865205778</v>
      </c>
      <c r="BF42" s="1554"/>
      <c r="BG42" s="1585">
        <v>11906709.865205778</v>
      </c>
      <c r="BU42" s="1588"/>
      <c r="BV42" s="1588"/>
      <c r="BW42" s="1588"/>
      <c r="BX42" s="1588"/>
      <c r="BY42" s="1588"/>
    </row>
    <row r="43" spans="1:77" ht="13" hidden="1">
      <c r="A43" s="1527">
        <f t="shared" si="0"/>
        <v>28</v>
      </c>
      <c r="C43" s="1547" t="str">
        <f t="shared" si="2"/>
        <v>W Increased ROE</v>
      </c>
      <c r="D43" s="1582">
        <f t="shared" si="1"/>
        <v>2011</v>
      </c>
      <c r="E43" s="1583">
        <v>14059568.1</v>
      </c>
      <c r="F43" s="1583">
        <v>419688.6</v>
      </c>
      <c r="G43" s="1583">
        <v>13639879.5</v>
      </c>
      <c r="H43" s="22">
        <v>2299493.7392377472</v>
      </c>
      <c r="I43" s="1583">
        <v>2966285.2571428572</v>
      </c>
      <c r="J43" s="1583">
        <v>88545.828571428574</v>
      </c>
      <c r="K43" s="1583">
        <v>2877739.4285714286</v>
      </c>
      <c r="L43" s="1560">
        <v>485146.79320719896</v>
      </c>
      <c r="M43" s="1587">
        <v>2315057.7000000002</v>
      </c>
      <c r="N43" s="1583">
        <v>69106.2</v>
      </c>
      <c r="O43" s="1583">
        <v>2245951.5</v>
      </c>
      <c r="P43" s="1560">
        <v>378636.14652032865</v>
      </c>
      <c r="Q43" s="1587">
        <v>6323084.0999999996</v>
      </c>
      <c r="R43" s="1583">
        <v>183277.8</v>
      </c>
      <c r="S43" s="1583">
        <v>6139806.2999999998</v>
      </c>
      <c r="T43" s="1560">
        <v>1029446.5243398519</v>
      </c>
      <c r="U43" s="1587">
        <v>8379558</v>
      </c>
      <c r="V43" s="1583">
        <v>239415.94285714286</v>
      </c>
      <c r="W43" s="1583">
        <v>8140142.0571428575</v>
      </c>
      <c r="X43" s="1560">
        <v>1361264.6273079454</v>
      </c>
      <c r="Y43" s="1587">
        <v>14400926.214285715</v>
      </c>
      <c r="Z43" s="1583">
        <v>414415.14285714284</v>
      </c>
      <c r="AA43" s="1583">
        <v>13986511.071428571</v>
      </c>
      <c r="AB43" s="1560">
        <v>2341991.9511476466</v>
      </c>
      <c r="AC43" s="1587">
        <v>6681345</v>
      </c>
      <c r="AD43" s="23">
        <v>63631.857142857138</v>
      </c>
      <c r="AE43" s="1583">
        <v>6617713.1428571427</v>
      </c>
      <c r="AF43" s="1560">
        <v>443645.33086721686</v>
      </c>
      <c r="AG43" s="1587"/>
      <c r="AH43" s="23"/>
      <c r="AI43" s="1583"/>
      <c r="AJ43" s="1560"/>
      <c r="AK43" s="1587"/>
      <c r="AL43" s="23"/>
      <c r="AM43" s="1583"/>
      <c r="AN43" s="1560"/>
      <c r="AO43" s="1587"/>
      <c r="AP43" s="23"/>
      <c r="AQ43" s="1583"/>
      <c r="AR43" s="1560"/>
      <c r="AS43" s="1587"/>
      <c r="AT43" s="23"/>
      <c r="AU43" s="1583"/>
      <c r="AV43" s="1560"/>
      <c r="AW43" s="1587"/>
      <c r="AX43" s="23"/>
      <c r="AY43" s="1583"/>
      <c r="AZ43" s="1560"/>
      <c r="BA43" s="1587"/>
      <c r="BB43" s="23"/>
      <c r="BC43" s="1583"/>
      <c r="BD43" s="1560"/>
      <c r="BE43" s="1584">
        <v>12708000.492262214</v>
      </c>
      <c r="BF43" s="1586">
        <v>12708000.492262214</v>
      </c>
      <c r="BG43" s="1555"/>
      <c r="BH43" s="1589"/>
      <c r="BU43" s="1588"/>
      <c r="BV43" s="1588"/>
      <c r="BW43" s="1588"/>
      <c r="BX43" s="1588"/>
      <c r="BY43" s="1588"/>
    </row>
    <row r="44" spans="1:77" ht="13" hidden="1">
      <c r="A44" s="1527">
        <f t="shared" si="0"/>
        <v>29</v>
      </c>
      <c r="C44" s="1547" t="str">
        <f t="shared" si="2"/>
        <v>Base FCR</v>
      </c>
      <c r="D44" s="1582">
        <f t="shared" si="1"/>
        <v>2012</v>
      </c>
      <c r="E44" s="1583">
        <v>13639879.5</v>
      </c>
      <c r="F44" s="1583">
        <v>419688.6</v>
      </c>
      <c r="G44" s="1583">
        <v>13220190.9</v>
      </c>
      <c r="H44" s="22">
        <v>2127592.4368447736</v>
      </c>
      <c r="I44" s="1583">
        <v>2877739.4285714286</v>
      </c>
      <c r="J44" s="1583">
        <v>88545.828571428574</v>
      </c>
      <c r="K44" s="1583">
        <v>2789193.6</v>
      </c>
      <c r="L44" s="1560">
        <v>448879.08602407901</v>
      </c>
      <c r="M44" s="1587">
        <v>2245951.5</v>
      </c>
      <c r="N44" s="1583">
        <v>69106.2</v>
      </c>
      <c r="O44" s="1583">
        <v>2176845.2999999998</v>
      </c>
      <c r="P44" s="1560">
        <v>350330.76537957491</v>
      </c>
      <c r="Q44" s="1587">
        <v>6139806.2999999998</v>
      </c>
      <c r="R44" s="1583">
        <v>183277.8</v>
      </c>
      <c r="S44" s="1583">
        <v>5956528.5</v>
      </c>
      <c r="T44" s="1560">
        <v>952796.02832038235</v>
      </c>
      <c r="U44" s="1587">
        <v>8140142.0571428575</v>
      </c>
      <c r="V44" s="1583">
        <v>239415.94285714286</v>
      </c>
      <c r="W44" s="1583">
        <v>7900726.1142857149</v>
      </c>
      <c r="X44" s="1560">
        <v>1260103.204222504</v>
      </c>
      <c r="Y44" s="1587">
        <v>13986511.071428571</v>
      </c>
      <c r="Z44" s="1583">
        <v>414415.14285714284</v>
      </c>
      <c r="AA44" s="1583">
        <v>13572095.928571427</v>
      </c>
      <c r="AB44" s="1560">
        <v>2167781.2542672637</v>
      </c>
      <c r="AC44" s="1587">
        <v>6617713.1428571427</v>
      </c>
      <c r="AD44" s="1583">
        <v>190895.57142857142</v>
      </c>
      <c r="AE44" s="1583">
        <v>6426817.5714285709</v>
      </c>
      <c r="AF44" s="1560">
        <v>1021169.9957520708</v>
      </c>
      <c r="AG44" s="1587">
        <v>217662</v>
      </c>
      <c r="AH44" s="1583">
        <v>3109.4571428571426</v>
      </c>
      <c r="AI44" s="1583">
        <v>214552.54285714286</v>
      </c>
      <c r="AJ44" s="1560">
        <v>19278.196040402228</v>
      </c>
      <c r="AK44" s="1587">
        <v>5055041</v>
      </c>
      <c r="AL44" s="1590">
        <v>72214.871428571423</v>
      </c>
      <c r="AM44" s="1583">
        <v>4982826.1285714284</v>
      </c>
      <c r="AN44" s="1591">
        <v>447722.02492980356</v>
      </c>
      <c r="AO44" s="1587">
        <v>16372433</v>
      </c>
      <c r="AP44" s="1590">
        <v>0</v>
      </c>
      <c r="AQ44" s="1583">
        <v>16372433</v>
      </c>
      <c r="AR44" s="1591">
        <v>176261.58194120065</v>
      </c>
      <c r="AS44" s="1587"/>
      <c r="AT44" s="1590"/>
      <c r="AU44" s="1583"/>
      <c r="AV44" s="1591"/>
      <c r="AW44" s="1587"/>
      <c r="AX44" s="1590"/>
      <c r="AY44" s="1583"/>
      <c r="AZ44" s="1591"/>
      <c r="BA44" s="1587"/>
      <c r="BB44" s="1590"/>
      <c r="BC44" s="1583"/>
      <c r="BD44" s="1591"/>
      <c r="BE44" s="1584">
        <v>14133541.233374584</v>
      </c>
      <c r="BF44" s="1554"/>
      <c r="BG44" s="1585">
        <v>14133541.233374584</v>
      </c>
      <c r="BU44" s="1588"/>
      <c r="BV44" s="1588"/>
      <c r="BW44" s="1588"/>
      <c r="BX44" s="1588"/>
      <c r="BY44" s="1588"/>
    </row>
    <row r="45" spans="1:77" ht="13" hidden="1">
      <c r="A45" s="1527">
        <f t="shared" si="0"/>
        <v>30</v>
      </c>
      <c r="C45" s="1547" t="str">
        <f t="shared" si="2"/>
        <v>W Increased ROE</v>
      </c>
      <c r="D45" s="1582">
        <f t="shared" si="1"/>
        <v>2012</v>
      </c>
      <c r="E45" s="1583">
        <v>13639879.5</v>
      </c>
      <c r="F45" s="1583">
        <v>419688.6</v>
      </c>
      <c r="G45" s="1583">
        <v>13220190.9</v>
      </c>
      <c r="H45" s="22">
        <v>2265406.2326637851</v>
      </c>
      <c r="I45" s="1583">
        <v>2877739.4285714286</v>
      </c>
      <c r="J45" s="1583">
        <v>88545.828571428574</v>
      </c>
      <c r="K45" s="1583">
        <v>2789193.6</v>
      </c>
      <c r="L45" s="1560">
        <v>477955.01693897182</v>
      </c>
      <c r="M45" s="1587">
        <v>2245951.5</v>
      </c>
      <c r="N45" s="1583">
        <v>69106.2</v>
      </c>
      <c r="O45" s="1583">
        <v>2176845.2999999998</v>
      </c>
      <c r="P45" s="1560">
        <v>373023.27534202754</v>
      </c>
      <c r="Q45" s="1587">
        <v>6139806.2999999998</v>
      </c>
      <c r="R45" s="1583">
        <v>183277.8</v>
      </c>
      <c r="S45" s="1583">
        <v>5956528.5</v>
      </c>
      <c r="T45" s="1560">
        <v>1014889.8217231028</v>
      </c>
      <c r="U45" s="1587">
        <v>8140142.0571428575</v>
      </c>
      <c r="V45" s="1583">
        <v>239415.94285714286</v>
      </c>
      <c r="W45" s="1583">
        <v>7900726.1142857149</v>
      </c>
      <c r="X45" s="1560">
        <v>1342464.2732700096</v>
      </c>
      <c r="Y45" s="1587">
        <v>13986511.071428571</v>
      </c>
      <c r="Z45" s="1583">
        <v>414415.14285714284</v>
      </c>
      <c r="AA45" s="1583">
        <v>13572095.928571427</v>
      </c>
      <c r="AB45" s="1560">
        <v>2309263.4818148389</v>
      </c>
      <c r="AC45" s="1587">
        <v>6617713.1428571427</v>
      </c>
      <c r="AD45" s="1583">
        <v>190895.57142857142</v>
      </c>
      <c r="AE45" s="1583">
        <v>6426817.5714285709</v>
      </c>
      <c r="AF45" s="1560">
        <v>1088166.3145839639</v>
      </c>
      <c r="AG45" s="1587">
        <v>217662</v>
      </c>
      <c r="AH45" s="1583">
        <v>3109.4571428571426</v>
      </c>
      <c r="AI45" s="1583">
        <v>214552.54285714286</v>
      </c>
      <c r="AJ45" s="1560">
        <v>19278.196040402228</v>
      </c>
      <c r="AK45" s="1587">
        <v>5055041</v>
      </c>
      <c r="AL45" s="1590">
        <v>72214.871428571423</v>
      </c>
      <c r="AM45" s="1583">
        <v>4982826.1285714284</v>
      </c>
      <c r="AN45" s="1591">
        <v>447722.02492980356</v>
      </c>
      <c r="AO45" s="1587">
        <v>16372433</v>
      </c>
      <c r="AP45" s="1590">
        <v>0</v>
      </c>
      <c r="AQ45" s="1583">
        <v>16372433</v>
      </c>
      <c r="AR45" s="1591">
        <v>190484.44223364955</v>
      </c>
      <c r="AS45" s="1587"/>
      <c r="AT45" s="1592"/>
      <c r="AU45" s="1583"/>
      <c r="AV45" s="1591"/>
      <c r="AW45" s="1587"/>
      <c r="AX45" s="1592"/>
      <c r="AY45" s="1583"/>
      <c r="AZ45" s="1591"/>
      <c r="BA45" s="1587"/>
      <c r="BB45" s="1592"/>
      <c r="BC45" s="1583"/>
      <c r="BD45" s="1591"/>
      <c r="BE45" s="1584">
        <v>15106780.567413883</v>
      </c>
      <c r="BF45" s="1586">
        <v>15106780.567413883</v>
      </c>
      <c r="BG45" s="1555"/>
      <c r="BH45" s="1589"/>
      <c r="BJ45" s="1588"/>
      <c r="BU45" s="1588"/>
      <c r="BV45" s="1588"/>
      <c r="BW45" s="1588"/>
      <c r="BX45" s="1588"/>
      <c r="BY45" s="1588"/>
    </row>
    <row r="46" spans="1:77" ht="13" hidden="1">
      <c r="A46" s="1527">
        <f t="shared" si="0"/>
        <v>31</v>
      </c>
      <c r="C46" s="1547" t="str">
        <f t="shared" si="2"/>
        <v>Base FCR</v>
      </c>
      <c r="D46" s="1582">
        <f t="shared" si="1"/>
        <v>2013</v>
      </c>
      <c r="E46" s="1583">
        <v>13220190.9</v>
      </c>
      <c r="F46" s="1583">
        <v>419688.6</v>
      </c>
      <c r="G46" s="1583">
        <v>12800502.300000001</v>
      </c>
      <c r="H46" s="22">
        <v>2138771.9232177455</v>
      </c>
      <c r="I46" s="1583">
        <v>2789193.6</v>
      </c>
      <c r="J46" s="1583">
        <v>88545.828571428574</v>
      </c>
      <c r="K46" s="1583">
        <v>2700647.7714285715</v>
      </c>
      <c r="L46" s="1560">
        <v>451237.73213430878</v>
      </c>
      <c r="M46" s="1587">
        <v>2176845.2999999998</v>
      </c>
      <c r="N46" s="1583">
        <v>69106.2</v>
      </c>
      <c r="O46" s="1583">
        <v>2107739.0999999996</v>
      </c>
      <c r="P46" s="1560">
        <v>352171.58693438454</v>
      </c>
      <c r="Q46" s="1587">
        <v>5956528.5</v>
      </c>
      <c r="R46" s="1583">
        <v>183277.8</v>
      </c>
      <c r="S46" s="1583">
        <v>5773250.7000000002</v>
      </c>
      <c r="T46" s="1560">
        <v>958614.4833991488</v>
      </c>
      <c r="U46" s="1587">
        <v>7900726.1142857149</v>
      </c>
      <c r="V46" s="1583">
        <v>239415.94285714286</v>
      </c>
      <c r="W46" s="1583">
        <v>7661310.1714285724</v>
      </c>
      <c r="X46" s="1560">
        <v>1268315.4532850536</v>
      </c>
      <c r="Y46" s="1587">
        <v>13572095.928571427</v>
      </c>
      <c r="Z46" s="1583">
        <v>414415.14285714284</v>
      </c>
      <c r="AA46" s="1583">
        <v>13157680.785714284</v>
      </c>
      <c r="AB46" s="1560">
        <v>2181466.8632372082</v>
      </c>
      <c r="AC46" s="1587">
        <v>6426817.5714285709</v>
      </c>
      <c r="AD46" s="1583">
        <v>190895.57142857142</v>
      </c>
      <c r="AE46" s="1583">
        <v>6235921.9999999991</v>
      </c>
      <c r="AF46" s="1560">
        <v>1028368.1380392306</v>
      </c>
      <c r="AG46" s="1587">
        <v>214552.54285714286</v>
      </c>
      <c r="AH46" s="1583">
        <v>6218.9142857142861</v>
      </c>
      <c r="AI46" s="1583">
        <v>208333.62857142859</v>
      </c>
      <c r="AJ46" s="1560">
        <v>34197.727784508228</v>
      </c>
      <c r="AK46" s="1587">
        <v>4982826.1285714284</v>
      </c>
      <c r="AL46" s="1583">
        <v>144429.74285714285</v>
      </c>
      <c r="AM46" s="1583">
        <v>4838396.3857142851</v>
      </c>
      <c r="AN46" s="1560">
        <v>794217.2545392774</v>
      </c>
      <c r="AO46" s="1587">
        <v>16372433</v>
      </c>
      <c r="AP46" s="1583">
        <v>467783.8</v>
      </c>
      <c r="AQ46" s="1583">
        <v>15904649.199999999</v>
      </c>
      <c r="AR46" s="1560">
        <v>2603748.1989399111</v>
      </c>
      <c r="AS46" s="1587">
        <v>10567349</v>
      </c>
      <c r="AT46" s="1590">
        <v>201282.83809523808</v>
      </c>
      <c r="AU46" s="1583">
        <v>10366066.161904762</v>
      </c>
      <c r="AV46" s="1591">
        <v>1245390.1931422888</v>
      </c>
      <c r="AW46" s="1587"/>
      <c r="AX46" s="1590"/>
      <c r="AY46" s="1583"/>
      <c r="AZ46" s="1591"/>
      <c r="BA46" s="1587"/>
      <c r="BB46" s="1590"/>
      <c r="BC46" s="1583"/>
      <c r="BD46" s="1591"/>
      <c r="BE46" s="1584">
        <v>23442695.082597896</v>
      </c>
      <c r="BF46" s="1554"/>
      <c r="BG46" s="1585">
        <f>+BE46</f>
        <v>23442695.082597896</v>
      </c>
      <c r="BU46" s="1588"/>
      <c r="BV46" s="1588"/>
      <c r="BW46" s="1588"/>
      <c r="BX46" s="1588"/>
      <c r="BY46" s="1588"/>
    </row>
    <row r="47" spans="1:77" ht="13" hidden="1">
      <c r="A47" s="1527">
        <f t="shared" si="0"/>
        <v>32</v>
      </c>
      <c r="C47" s="1547" t="str">
        <f t="shared" si="2"/>
        <v>W Increased ROE</v>
      </c>
      <c r="D47" s="1582">
        <f t="shared" si="1"/>
        <v>2013</v>
      </c>
      <c r="E47" s="1583">
        <v>13220190.9</v>
      </c>
      <c r="F47" s="1583">
        <v>419688.6</v>
      </c>
      <c r="G47" s="1583">
        <v>12800502.300000001</v>
      </c>
      <c r="H47" s="22">
        <v>2272417.4509916049</v>
      </c>
      <c r="I47" s="1583">
        <v>2789193.6</v>
      </c>
      <c r="J47" s="1583">
        <v>88545.828571428574</v>
      </c>
      <c r="K47" s="1583">
        <v>2700647.7714285715</v>
      </c>
      <c r="L47" s="1560">
        <v>479434.24257467396</v>
      </c>
      <c r="M47" s="1587">
        <v>2176845.2999999998</v>
      </c>
      <c r="N47" s="1583">
        <v>69106.2</v>
      </c>
      <c r="O47" s="1583">
        <v>2107739.0999999996</v>
      </c>
      <c r="P47" s="1560">
        <v>374177.74714804266</v>
      </c>
      <c r="Q47" s="1587">
        <v>5956528.5</v>
      </c>
      <c r="R47" s="1583">
        <v>183277.8</v>
      </c>
      <c r="S47" s="1583">
        <v>5773250.7000000002</v>
      </c>
      <c r="T47" s="1560">
        <v>1018890.9568288126</v>
      </c>
      <c r="U47" s="1587">
        <v>7900726.1142857149</v>
      </c>
      <c r="V47" s="1583">
        <v>239415.94285714286</v>
      </c>
      <c r="W47" s="1583">
        <v>7661310.1714285724</v>
      </c>
      <c r="X47" s="1560">
        <v>1348304.489441846</v>
      </c>
      <c r="Y47" s="1587">
        <v>13572095.928571427</v>
      </c>
      <c r="Z47" s="1583">
        <v>414415.14285714284</v>
      </c>
      <c r="AA47" s="1583">
        <v>13157680.785714284</v>
      </c>
      <c r="AB47" s="1560">
        <v>2318841.56554766</v>
      </c>
      <c r="AC47" s="1587">
        <v>6426817.5714285709</v>
      </c>
      <c r="AD47" s="1583">
        <v>190895.57142857142</v>
      </c>
      <c r="AE47" s="1583">
        <v>6235921.9999999991</v>
      </c>
      <c r="AF47" s="1560">
        <v>1093475.199255619</v>
      </c>
      <c r="AG47" s="1587">
        <v>214552.54285714286</v>
      </c>
      <c r="AH47" s="1583">
        <v>6218.9142857142861</v>
      </c>
      <c r="AI47" s="1583">
        <v>208333.62857142859</v>
      </c>
      <c r="AJ47" s="1560">
        <v>34197.727784508228</v>
      </c>
      <c r="AK47" s="1587">
        <v>4982826.1285714284</v>
      </c>
      <c r="AL47" s="1583">
        <v>144429.74285714285</v>
      </c>
      <c r="AM47" s="1583">
        <v>4838396.3857142851</v>
      </c>
      <c r="AN47" s="1560">
        <v>794217.2545392774</v>
      </c>
      <c r="AO47" s="1587">
        <v>16372433</v>
      </c>
      <c r="AP47" s="1583">
        <v>467783.8</v>
      </c>
      <c r="AQ47" s="1583">
        <v>15904649.199999999</v>
      </c>
      <c r="AR47" s="1560">
        <v>2769803.0291782599</v>
      </c>
      <c r="AS47" s="1587">
        <v>10567349</v>
      </c>
      <c r="AT47" s="1590">
        <v>201282.83809523808</v>
      </c>
      <c r="AU47" s="1583">
        <v>10366066.161904762</v>
      </c>
      <c r="AV47" s="1591">
        <v>1245390.1931422888</v>
      </c>
      <c r="AW47" s="1587"/>
      <c r="AX47" s="1590"/>
      <c r="AY47" s="1583"/>
      <c r="AZ47" s="1591"/>
      <c r="BA47" s="1587"/>
      <c r="BB47" s="1590"/>
      <c r="BC47" s="1583"/>
      <c r="BD47" s="1591"/>
      <c r="BE47" s="1584">
        <v>24109183.424690232</v>
      </c>
      <c r="BF47" s="1586">
        <f>+BE47</f>
        <v>24109183.424690232</v>
      </c>
      <c r="BG47" s="1555"/>
      <c r="BH47" s="1589"/>
      <c r="BI47" s="1589"/>
      <c r="BU47" s="1588"/>
      <c r="BV47" s="1588"/>
      <c r="BW47" s="1588"/>
      <c r="BX47" s="1588"/>
      <c r="BY47" s="1588"/>
    </row>
    <row r="48" spans="1:77" ht="13" hidden="1">
      <c r="A48" s="1527">
        <f t="shared" si="0"/>
        <v>33</v>
      </c>
      <c r="C48" s="1547" t="str">
        <f t="shared" si="2"/>
        <v>Base FCR</v>
      </c>
      <c r="D48" s="1582">
        <f t="shared" si="1"/>
        <v>2014</v>
      </c>
      <c r="E48" s="1583">
        <v>12800502.300000001</v>
      </c>
      <c r="F48" s="1583">
        <v>419688.6</v>
      </c>
      <c r="G48" s="1583">
        <v>12380813.700000001</v>
      </c>
      <c r="H48" s="22">
        <v>1875792.5659522433</v>
      </c>
      <c r="I48" s="1583">
        <v>2700647.7714285715</v>
      </c>
      <c r="J48" s="1583">
        <v>88545.828571428574</v>
      </c>
      <c r="K48" s="1583">
        <v>2612101.942857143</v>
      </c>
      <c r="L48" s="1560">
        <v>395754.39261482796</v>
      </c>
      <c r="M48" s="1587">
        <v>2107739.0999999996</v>
      </c>
      <c r="N48" s="1583">
        <v>69106.2</v>
      </c>
      <c r="O48" s="1583">
        <v>2038632.8999999997</v>
      </c>
      <c r="P48" s="1560">
        <v>308869.23357272247</v>
      </c>
      <c r="Q48" s="1587">
        <v>5773250.7000000002</v>
      </c>
      <c r="R48" s="1583">
        <v>183277.8</v>
      </c>
      <c r="S48" s="1583">
        <v>5589972.9000000004</v>
      </c>
      <c r="T48" s="1560">
        <v>840712.91747176717</v>
      </c>
      <c r="U48" s="1587">
        <v>7661310.1714285724</v>
      </c>
      <c r="V48" s="1583">
        <v>239415.94285714286</v>
      </c>
      <c r="W48" s="1583">
        <v>7421894.2285714298</v>
      </c>
      <c r="X48" s="1560">
        <v>1112302.8049784042</v>
      </c>
      <c r="Y48" s="1587">
        <v>13157680.785714284</v>
      </c>
      <c r="Z48" s="1583">
        <v>414415.14285714284</v>
      </c>
      <c r="AA48" s="1583">
        <v>12743265.64285714</v>
      </c>
      <c r="AB48" s="1560">
        <v>1913146.9783702842</v>
      </c>
      <c r="AC48" s="1587">
        <v>6235921.9999999991</v>
      </c>
      <c r="AD48" s="1583">
        <v>190895.57142857142</v>
      </c>
      <c r="AE48" s="1583">
        <v>6045026.4285714272</v>
      </c>
      <c r="AF48" s="1560">
        <v>901849.40452994336</v>
      </c>
      <c r="AG48" s="1587">
        <v>208333.62857142859</v>
      </c>
      <c r="AH48" s="1583">
        <v>6218.9142857142861</v>
      </c>
      <c r="AI48" s="1583">
        <v>202114.71428571432</v>
      </c>
      <c r="AJ48" s="1560">
        <v>29989.568152247564</v>
      </c>
      <c r="AK48" s="1587">
        <v>4838396.3857142851</v>
      </c>
      <c r="AL48" s="1583">
        <v>144429.74285714285</v>
      </c>
      <c r="AM48" s="1583">
        <v>4693966.6428571418</v>
      </c>
      <c r="AN48" s="1560">
        <v>696485.82013353554</v>
      </c>
      <c r="AO48" s="1587">
        <v>15904649.199999999</v>
      </c>
      <c r="AP48" s="1583">
        <v>467783.8</v>
      </c>
      <c r="AQ48" s="1583">
        <v>15436865.399999999</v>
      </c>
      <c r="AR48" s="1560">
        <v>2283309.1342363888</v>
      </c>
      <c r="AS48" s="1587">
        <v>10366066.161904762</v>
      </c>
      <c r="AT48" s="1583">
        <v>301924.25714285712</v>
      </c>
      <c r="AU48" s="1583">
        <v>10064141.904761905</v>
      </c>
      <c r="AV48" s="1560">
        <v>1485565.1144016958</v>
      </c>
      <c r="AW48" s="1587"/>
      <c r="AX48" s="1583"/>
      <c r="AY48" s="1583"/>
      <c r="AZ48" s="1560"/>
      <c r="BA48" s="1587"/>
      <c r="BB48" s="1583"/>
      <c r="BC48" s="1583"/>
      <c r="BD48" s="1560"/>
      <c r="BE48" s="1584">
        <v>11843777.934414061</v>
      </c>
      <c r="BF48" s="1554"/>
      <c r="BG48" s="1585">
        <v>11843777.934414061</v>
      </c>
      <c r="BU48" s="1588"/>
      <c r="BV48" s="1588"/>
      <c r="BW48" s="1588"/>
      <c r="BX48" s="1588"/>
      <c r="BY48" s="1588"/>
    </row>
    <row r="49" spans="1:77" ht="13" hidden="1">
      <c r="A49" s="1527">
        <f t="shared" si="0"/>
        <v>34</v>
      </c>
      <c r="C49" s="1547" t="str">
        <f t="shared" si="2"/>
        <v>W Increased ROE</v>
      </c>
      <c r="D49" s="1582">
        <f t="shared" si="1"/>
        <v>2014</v>
      </c>
      <c r="E49" s="1583">
        <v>12800502.300000001</v>
      </c>
      <c r="F49" s="1583">
        <v>419688.6</v>
      </c>
      <c r="G49" s="1583">
        <v>12380813.700000001</v>
      </c>
      <c r="H49" s="22">
        <v>1998346.362561645</v>
      </c>
      <c r="I49" s="1583">
        <v>2700647.7714285715</v>
      </c>
      <c r="J49" s="1583">
        <v>88545.828571428574</v>
      </c>
      <c r="K49" s="1583">
        <v>2612101.942857143</v>
      </c>
      <c r="L49" s="1560">
        <v>421610.77152374701</v>
      </c>
      <c r="M49" s="1587">
        <v>2107739.0999999996</v>
      </c>
      <c r="N49" s="1583">
        <v>69106.2</v>
      </c>
      <c r="O49" s="1583">
        <v>2038632.8999999997</v>
      </c>
      <c r="P49" s="1560">
        <v>329049.02206173225</v>
      </c>
      <c r="Q49" s="1587">
        <v>5773250.7000000002</v>
      </c>
      <c r="R49" s="1583">
        <v>183277.8</v>
      </c>
      <c r="S49" s="1583">
        <v>5589972.9000000004</v>
      </c>
      <c r="T49" s="1560">
        <v>896046.30818732781</v>
      </c>
      <c r="U49" s="1587">
        <v>7661310.1714285724</v>
      </c>
      <c r="V49" s="1583">
        <v>239415.94285714286</v>
      </c>
      <c r="W49" s="1583">
        <v>7421894.2285714298</v>
      </c>
      <c r="X49" s="1560">
        <v>1185769.8110884174</v>
      </c>
      <c r="Y49" s="1587">
        <v>13157680.785714284</v>
      </c>
      <c r="Z49" s="1583">
        <v>414415.14285714284</v>
      </c>
      <c r="AA49" s="1583">
        <v>12743265.64285714</v>
      </c>
      <c r="AB49" s="1560">
        <v>2039288.5732263871</v>
      </c>
      <c r="AC49" s="1587">
        <v>6235921.9999999991</v>
      </c>
      <c r="AD49" s="1583">
        <v>190895.57142857142</v>
      </c>
      <c r="AE49" s="1583">
        <v>6045026.4285714272</v>
      </c>
      <c r="AF49" s="1560">
        <v>961687.22758236527</v>
      </c>
      <c r="AG49" s="1587">
        <v>208333.62857142859</v>
      </c>
      <c r="AH49" s="1583">
        <v>6218.9142857142861</v>
      </c>
      <c r="AI49" s="1583">
        <v>202114.71428571432</v>
      </c>
      <c r="AJ49" s="1560">
        <v>29989.568152247564</v>
      </c>
      <c r="AK49" s="1587">
        <v>4838396.3857142851</v>
      </c>
      <c r="AL49" s="1583">
        <v>144429.74285714285</v>
      </c>
      <c r="AM49" s="1583">
        <v>4693966.6428571418</v>
      </c>
      <c r="AN49" s="1560">
        <v>696485.82013353554</v>
      </c>
      <c r="AO49" s="1587">
        <v>15904649.199999999</v>
      </c>
      <c r="AP49" s="1583">
        <v>467783.8</v>
      </c>
      <c r="AQ49" s="1583">
        <v>15436865.399999999</v>
      </c>
      <c r="AR49" s="1560">
        <v>2436113.8293363811</v>
      </c>
      <c r="AS49" s="1587">
        <v>10366066.161904762</v>
      </c>
      <c r="AT49" s="1583">
        <v>301924.25714285712</v>
      </c>
      <c r="AU49" s="1583">
        <v>10064141.904761905</v>
      </c>
      <c r="AV49" s="1560">
        <v>1485565.1144016958</v>
      </c>
      <c r="AW49" s="1587"/>
      <c r="AX49" s="1583"/>
      <c r="AY49" s="1583"/>
      <c r="AZ49" s="1560"/>
      <c r="BA49" s="1587"/>
      <c r="BB49" s="1583"/>
      <c r="BC49" s="1583"/>
      <c r="BD49" s="1560"/>
      <c r="BE49" s="1584">
        <v>12479952.408255482</v>
      </c>
      <c r="BF49" s="1586">
        <v>12479952.408255482</v>
      </c>
      <c r="BG49" s="1555"/>
      <c r="BH49" s="1589"/>
      <c r="BI49" s="1589"/>
      <c r="BU49" s="1588"/>
      <c r="BV49" s="1588"/>
      <c r="BW49" s="1588"/>
      <c r="BX49" s="1588"/>
      <c r="BY49" s="1588"/>
    </row>
    <row r="50" spans="1:77" ht="13" hidden="1">
      <c r="A50" s="1527">
        <f t="shared" si="0"/>
        <v>35</v>
      </c>
      <c r="C50" s="1547" t="str">
        <f t="shared" si="2"/>
        <v>Base FCR</v>
      </c>
      <c r="D50" s="1582">
        <f t="shared" si="1"/>
        <v>2015</v>
      </c>
      <c r="E50" s="1583">
        <v>12380813.700000001</v>
      </c>
      <c r="F50" s="1583">
        <v>419688.6</v>
      </c>
      <c r="G50" s="1583">
        <v>11961125.100000001</v>
      </c>
      <c r="H50" s="22">
        <v>1790570.9998638085</v>
      </c>
      <c r="I50" s="1583">
        <v>2612101.942857143</v>
      </c>
      <c r="J50" s="1583">
        <v>88545.828571428574</v>
      </c>
      <c r="K50" s="1583">
        <v>2523556.1142857145</v>
      </c>
      <c r="L50" s="1560">
        <v>377774.3612738403</v>
      </c>
      <c r="M50" s="1587">
        <v>2038632.8999999997</v>
      </c>
      <c r="N50" s="1583">
        <v>69106.2</v>
      </c>
      <c r="O50" s="1583">
        <v>1969526.6999999997</v>
      </c>
      <c r="P50" s="1560">
        <v>294836.59463418426</v>
      </c>
      <c r="Q50" s="1587">
        <v>5589972.9000000004</v>
      </c>
      <c r="R50" s="1583">
        <v>183277.8</v>
      </c>
      <c r="S50" s="1583">
        <v>5406695.1000000006</v>
      </c>
      <c r="T50" s="1560">
        <v>802947.19498190633</v>
      </c>
      <c r="U50" s="1587">
        <v>7421894.2285714298</v>
      </c>
      <c r="V50" s="1583">
        <v>239415.94285714286</v>
      </c>
      <c r="W50" s="1583">
        <v>7182478.2857142873</v>
      </c>
      <c r="X50" s="1560">
        <v>1062610.4991359408</v>
      </c>
      <c r="Y50" s="1587">
        <v>12743265.64285714</v>
      </c>
      <c r="Z50" s="1583">
        <v>414415.14285714284</v>
      </c>
      <c r="AA50" s="1583">
        <v>12328850.499999996</v>
      </c>
      <c r="AB50" s="1560">
        <v>1827443.0996504473</v>
      </c>
      <c r="AC50" s="1587">
        <v>6045026.4285714272</v>
      </c>
      <c r="AD50" s="1583">
        <v>190895.57142857142</v>
      </c>
      <c r="AE50" s="1583">
        <v>5854130.8571428554</v>
      </c>
      <c r="AF50" s="1560">
        <v>861846.24634098168</v>
      </c>
      <c r="AG50" s="1587">
        <v>202114.71428571432</v>
      </c>
      <c r="AH50" s="1583">
        <v>6218.9142857142861</v>
      </c>
      <c r="AI50" s="1583">
        <v>195895.80000000005</v>
      </c>
      <c r="AJ50" s="1560">
        <v>28670.824301038905</v>
      </c>
      <c r="AK50" s="1587">
        <v>4693966.6428571418</v>
      </c>
      <c r="AL50" s="1583">
        <v>144429.74285714285</v>
      </c>
      <c r="AM50" s="1583">
        <v>4549536.8999999985</v>
      </c>
      <c r="AN50" s="1560">
        <v>665858.95721599518</v>
      </c>
      <c r="AO50" s="1587">
        <v>15436865.399999999</v>
      </c>
      <c r="AP50" s="1583">
        <v>467783.8</v>
      </c>
      <c r="AQ50" s="1583">
        <v>14969081.599999998</v>
      </c>
      <c r="AR50" s="1560">
        <v>2183412.5837475401</v>
      </c>
      <c r="AS50" s="1587">
        <v>10064141.904761905</v>
      </c>
      <c r="AT50" s="1583">
        <v>301924.25714285712</v>
      </c>
      <c r="AU50" s="1583">
        <v>9762217.6476190481</v>
      </c>
      <c r="AV50" s="1560">
        <v>1420786.5919879982</v>
      </c>
      <c r="AW50" s="1587">
        <v>6694564.4199999999</v>
      </c>
      <c r="AX50" s="1590">
        <v>111576.07366666666</v>
      </c>
      <c r="AY50" s="1583">
        <v>6582988.3463333333</v>
      </c>
      <c r="AZ50" s="1591">
        <v>614566.82005260792</v>
      </c>
      <c r="BA50" s="1587">
        <v>6694564.4199999999</v>
      </c>
      <c r="BB50" s="1590">
        <v>111576.07366666666</v>
      </c>
      <c r="BC50" s="1583">
        <v>6582988.3463333333</v>
      </c>
      <c r="BD50" s="1591">
        <v>614566.82005260792</v>
      </c>
      <c r="BE50" s="1584">
        <v>11931324.773186289</v>
      </c>
      <c r="BF50" s="1554"/>
      <c r="BG50" s="1585">
        <v>11931324.773186289</v>
      </c>
      <c r="BU50" s="1588"/>
      <c r="BV50" s="1588"/>
      <c r="BW50" s="1588"/>
      <c r="BX50" s="1588"/>
      <c r="BY50" s="1588"/>
    </row>
    <row r="51" spans="1:77" ht="13" hidden="1">
      <c r="A51" s="1527">
        <f t="shared" si="0"/>
        <v>36</v>
      </c>
      <c r="C51" s="1547" t="str">
        <f t="shared" si="2"/>
        <v>W Increased ROE</v>
      </c>
      <c r="D51" s="1582">
        <f t="shared" si="1"/>
        <v>2015</v>
      </c>
      <c r="E51" s="1583">
        <v>12380813.700000001</v>
      </c>
      <c r="F51" s="1583">
        <v>419688.6</v>
      </c>
      <c r="G51" s="1583">
        <v>11961125.100000001</v>
      </c>
      <c r="H51" s="22">
        <v>1910863.7187810787</v>
      </c>
      <c r="I51" s="1583">
        <v>2612101.942857143</v>
      </c>
      <c r="J51" s="1583">
        <v>88545.828571428574</v>
      </c>
      <c r="K51" s="1583">
        <v>2523556.1142857145</v>
      </c>
      <c r="L51" s="1560">
        <v>403153.69840055669</v>
      </c>
      <c r="M51" s="1587">
        <v>2038632.8999999997</v>
      </c>
      <c r="N51" s="1583">
        <v>69106.2</v>
      </c>
      <c r="O51" s="1583">
        <v>1969526.6999999997</v>
      </c>
      <c r="P51" s="1560">
        <v>314644.07258817361</v>
      </c>
      <c r="Q51" s="1587">
        <v>5589972.9000000004</v>
      </c>
      <c r="R51" s="1583">
        <v>183277.8</v>
      </c>
      <c r="S51" s="1583">
        <v>5406695.1000000006</v>
      </c>
      <c r="T51" s="1560">
        <v>857322.18466708926</v>
      </c>
      <c r="U51" s="1587">
        <v>7421894.2285714298</v>
      </c>
      <c r="V51" s="1583">
        <v>239415.94285714286</v>
      </c>
      <c r="W51" s="1583">
        <v>7182478.2857142873</v>
      </c>
      <c r="X51" s="1560">
        <v>1134844.493373893</v>
      </c>
      <c r="Y51" s="1587">
        <v>12743265.64285714</v>
      </c>
      <c r="Z51" s="1583">
        <v>414415.14285714284</v>
      </c>
      <c r="AA51" s="1583">
        <v>12328850.499999996</v>
      </c>
      <c r="AB51" s="1560">
        <v>1951434.0231940481</v>
      </c>
      <c r="AC51" s="1587">
        <v>6045026.4285714272</v>
      </c>
      <c r="AD51" s="1583">
        <v>190895.57142857142</v>
      </c>
      <c r="AE51" s="1583">
        <v>5854130.8571428554</v>
      </c>
      <c r="AF51" s="1560">
        <v>920721.08560699713</v>
      </c>
      <c r="AG51" s="1587">
        <v>202114.71428571432</v>
      </c>
      <c r="AH51" s="1583">
        <v>6218.9142857142861</v>
      </c>
      <c r="AI51" s="1583">
        <v>195895.80000000005</v>
      </c>
      <c r="AJ51" s="1560">
        <v>28670.824301038905</v>
      </c>
      <c r="AK51" s="1587">
        <v>4693966.6428571418</v>
      </c>
      <c r="AL51" s="1583">
        <v>144429.74285714285</v>
      </c>
      <c r="AM51" s="1583">
        <v>4549536.8999999985</v>
      </c>
      <c r="AN51" s="1560">
        <v>665858.95721599518</v>
      </c>
      <c r="AO51" s="1587">
        <v>15436865.399999999</v>
      </c>
      <c r="AP51" s="1583">
        <v>467783.8</v>
      </c>
      <c r="AQ51" s="1583">
        <v>14969081.599999998</v>
      </c>
      <c r="AR51" s="1560">
        <v>2333956.2416646769</v>
      </c>
      <c r="AS51" s="1587">
        <v>10064141.904761905</v>
      </c>
      <c r="AT51" s="1583">
        <v>301924.25714285712</v>
      </c>
      <c r="AU51" s="1583">
        <v>9762217.6476190481</v>
      </c>
      <c r="AV51" s="1560">
        <v>1420786.5919879982</v>
      </c>
      <c r="AW51" s="1587">
        <v>6694564.4199999999</v>
      </c>
      <c r="AX51" s="1590">
        <v>111576.07366666666</v>
      </c>
      <c r="AY51" s="1583">
        <v>6582988.3463333333</v>
      </c>
      <c r="AZ51" s="1591">
        <v>614566.82005260792</v>
      </c>
      <c r="BA51" s="1587">
        <v>6694564.4199999999</v>
      </c>
      <c r="BB51" s="1590">
        <v>111576.07366666666</v>
      </c>
      <c r="BC51" s="1583">
        <v>6582988.3463333333</v>
      </c>
      <c r="BD51" s="1591">
        <v>614566.82005260792</v>
      </c>
      <c r="BE51" s="1584">
        <v>12556822.711834155</v>
      </c>
      <c r="BF51" s="1586">
        <v>12556822.711834155</v>
      </c>
      <c r="BG51" s="1555"/>
      <c r="BH51" s="1589"/>
      <c r="BI51" s="1589"/>
      <c r="BU51" s="1588"/>
      <c r="BV51" s="1588"/>
      <c r="BW51" s="1588"/>
      <c r="BX51" s="1588"/>
      <c r="BY51" s="1588"/>
    </row>
    <row r="52" spans="1:77" ht="13" hidden="1">
      <c r="A52" s="1527">
        <f t="shared" si="0"/>
        <v>37</v>
      </c>
      <c r="C52" s="1547" t="str">
        <f t="shared" si="2"/>
        <v>Base FCR</v>
      </c>
      <c r="D52" s="1582">
        <f t="shared" si="1"/>
        <v>2016</v>
      </c>
      <c r="E52" s="1583">
        <v>11961125.100000001</v>
      </c>
      <c r="F52" s="1583">
        <v>419688.6</v>
      </c>
      <c r="G52" s="1583">
        <v>11541436.500000002</v>
      </c>
      <c r="H52" s="22">
        <v>1662952.5082520144</v>
      </c>
      <c r="I52" s="1583">
        <v>2523556.1142857145</v>
      </c>
      <c r="J52" s="1583">
        <v>88545.828571428574</v>
      </c>
      <c r="K52" s="1583">
        <v>2435010.2857142859</v>
      </c>
      <c r="L52" s="1560">
        <v>350849.43388529017</v>
      </c>
      <c r="M52" s="1587">
        <v>1969526.6999999997</v>
      </c>
      <c r="N52" s="1583">
        <v>69106.2</v>
      </c>
      <c r="O52" s="1583">
        <v>1900420.4999999998</v>
      </c>
      <c r="P52" s="1560">
        <v>273822.85014595423</v>
      </c>
      <c r="Q52" s="1587">
        <v>5406695.1000000006</v>
      </c>
      <c r="R52" s="1583">
        <v>183277.8</v>
      </c>
      <c r="S52" s="1583">
        <v>5223417.3000000007</v>
      </c>
      <c r="T52" s="1560">
        <v>745953.52990842029</v>
      </c>
      <c r="U52" s="1587">
        <v>7182478.2857142873</v>
      </c>
      <c r="V52" s="1583">
        <v>239415.94285714286</v>
      </c>
      <c r="W52" s="1583">
        <v>6943062.3428571448</v>
      </c>
      <c r="X52" s="1560">
        <v>987334.87163329299</v>
      </c>
      <c r="Y52" s="1587">
        <v>12328850.499999996</v>
      </c>
      <c r="Z52" s="1583">
        <v>414415.14285714284</v>
      </c>
      <c r="AA52" s="1583">
        <v>11914435.357142853</v>
      </c>
      <c r="AB52" s="1560">
        <v>1697859.1462736502</v>
      </c>
      <c r="AC52" s="1587">
        <v>5854130.8571428554</v>
      </c>
      <c r="AD52" s="1583">
        <v>190895.57142857142</v>
      </c>
      <c r="AE52" s="1583">
        <v>5663235.2857142836</v>
      </c>
      <c r="AF52" s="1560">
        <v>800949.27095443662</v>
      </c>
      <c r="AG52" s="1587">
        <v>195895.80000000005</v>
      </c>
      <c r="AH52" s="1583">
        <v>6218.9142857142861</v>
      </c>
      <c r="AI52" s="1583">
        <v>189676.88571428577</v>
      </c>
      <c r="AJ52" s="1560">
        <v>26651.243159006062</v>
      </c>
      <c r="AK52" s="1587">
        <v>4549536.8999999985</v>
      </c>
      <c r="AL52" s="1583">
        <v>144429.74285714285</v>
      </c>
      <c r="AM52" s="1583">
        <v>4405107.1571428552</v>
      </c>
      <c r="AN52" s="1560">
        <v>618955.66001297918</v>
      </c>
      <c r="AO52" s="1587">
        <v>14969081.599999998</v>
      </c>
      <c r="AP52" s="1583">
        <v>467783.8</v>
      </c>
      <c r="AQ52" s="1583">
        <v>14501297.799999997</v>
      </c>
      <c r="AR52" s="1560">
        <v>2029889.191088391</v>
      </c>
      <c r="AS52" s="1587">
        <v>9762217.6476190481</v>
      </c>
      <c r="AT52" s="1583">
        <v>301924.25714285712</v>
      </c>
      <c r="AU52" s="1583">
        <v>9460293.3904761914</v>
      </c>
      <c r="AV52" s="1560">
        <v>1321003.7568094824</v>
      </c>
      <c r="AW52" s="1587">
        <v>6582988.3463333333</v>
      </c>
      <c r="AX52" s="1583">
        <v>207049.8</v>
      </c>
      <c r="AY52" s="1583">
        <v>6375938.5463333335</v>
      </c>
      <c r="AZ52" s="1560">
        <v>893877.15254740999</v>
      </c>
      <c r="BA52" s="1587">
        <v>6582988.3463333333</v>
      </c>
      <c r="BB52" s="1583">
        <v>207049.8</v>
      </c>
      <c r="BC52" s="1583">
        <v>6375938.5463333335</v>
      </c>
      <c r="BD52" s="1560">
        <v>893877.15254740999</v>
      </c>
      <c r="BE52" s="1584">
        <f t="shared" ref="BE52:BE53" si="3">H52+L52+P52+T52+X52+AB52+AF52+AJ52+AN52+AR52+AV52</f>
        <v>10516221.462122917</v>
      </c>
      <c r="BF52" s="1554"/>
      <c r="BG52" s="1585">
        <f>+BE52</f>
        <v>10516221.462122917</v>
      </c>
      <c r="BU52" s="1588"/>
      <c r="BV52" s="1588"/>
      <c r="BW52" s="1588"/>
      <c r="BX52" s="1588"/>
      <c r="BY52" s="1588"/>
    </row>
    <row r="53" spans="1:77" ht="13" hidden="1">
      <c r="A53" s="1527">
        <f t="shared" si="0"/>
        <v>38</v>
      </c>
      <c r="C53" s="1547" t="str">
        <f t="shared" si="2"/>
        <v>W Increased ROE</v>
      </c>
      <c r="D53" s="1582">
        <f t="shared" si="1"/>
        <v>2016</v>
      </c>
      <c r="E53" s="1583">
        <v>11961125.100000001</v>
      </c>
      <c r="F53" s="1583">
        <v>419688.6</v>
      </c>
      <c r="G53" s="1583">
        <v>11541436.500000002</v>
      </c>
      <c r="H53" s="22">
        <v>1770336.1687158947</v>
      </c>
      <c r="I53" s="1583">
        <v>2523556.1142857145</v>
      </c>
      <c r="J53" s="1583">
        <v>88545.828571428574</v>
      </c>
      <c r="K53" s="1583">
        <v>2435010.2857142859</v>
      </c>
      <c r="L53" s="1560">
        <v>373505.22008202574</v>
      </c>
      <c r="M53" s="1587">
        <v>1969526.6999999997</v>
      </c>
      <c r="N53" s="1583">
        <v>69106.2</v>
      </c>
      <c r="O53" s="1583">
        <v>1900420.4999999998</v>
      </c>
      <c r="P53" s="1560">
        <v>291504.71407256322</v>
      </c>
      <c r="Q53" s="1587">
        <v>5406695.1000000006</v>
      </c>
      <c r="R53" s="1583">
        <v>183277.8</v>
      </c>
      <c r="S53" s="1583">
        <v>5223417.3000000007</v>
      </c>
      <c r="T53" s="1560">
        <v>794553.17084604199</v>
      </c>
      <c r="U53" s="1587">
        <v>7182478.2857142873</v>
      </c>
      <c r="V53" s="1583">
        <v>239415.94285714286</v>
      </c>
      <c r="W53" s="1583">
        <v>6943062.3428571448</v>
      </c>
      <c r="X53" s="1560">
        <v>1051934.4081992072</v>
      </c>
      <c r="Y53" s="1587">
        <v>12328850.499999996</v>
      </c>
      <c r="Z53" s="1583">
        <v>414415.14285714284</v>
      </c>
      <c r="AA53" s="1583">
        <v>11914435.357142853</v>
      </c>
      <c r="AB53" s="1560">
        <v>1808713.2571124774</v>
      </c>
      <c r="AC53" s="1587">
        <v>5854130.8571428554</v>
      </c>
      <c r="AD53" s="1583">
        <v>190895.57142857142</v>
      </c>
      <c r="AE53" s="1583">
        <v>5663235.2857142836</v>
      </c>
      <c r="AF53" s="1560">
        <v>853641.05980136292</v>
      </c>
      <c r="AG53" s="1587">
        <v>195895.80000000005</v>
      </c>
      <c r="AH53" s="1583">
        <v>6218.9142857142861</v>
      </c>
      <c r="AI53" s="1583">
        <v>189676.88571428577</v>
      </c>
      <c r="AJ53" s="1560">
        <v>26651.243159006062</v>
      </c>
      <c r="AK53" s="1587">
        <v>4549536.8999999985</v>
      </c>
      <c r="AL53" s="1583">
        <v>144429.74285714285</v>
      </c>
      <c r="AM53" s="1583">
        <v>4405107.1571428552</v>
      </c>
      <c r="AN53" s="1560">
        <v>618955.66001297918</v>
      </c>
      <c r="AO53" s="1587">
        <v>14969081.599999998</v>
      </c>
      <c r="AP53" s="1583">
        <v>467783.8</v>
      </c>
      <c r="AQ53" s="1583">
        <v>14501297.799999997</v>
      </c>
      <c r="AR53" s="1560">
        <v>2164811.9486880032</v>
      </c>
      <c r="AS53" s="1587">
        <v>9762217.6476190481</v>
      </c>
      <c r="AT53" s="1583">
        <v>301924.25714285712</v>
      </c>
      <c r="AU53" s="1583">
        <v>9460293.3904761914</v>
      </c>
      <c r="AV53" s="1560">
        <v>1321003.7568094824</v>
      </c>
      <c r="AW53" s="1587">
        <v>6582988.3463333333</v>
      </c>
      <c r="AX53" s="1583">
        <v>207049.8</v>
      </c>
      <c r="AY53" s="1583">
        <v>6375938.5463333335</v>
      </c>
      <c r="AZ53" s="1560">
        <v>893877.15254740999</v>
      </c>
      <c r="BA53" s="1587">
        <v>6582988.3463333333</v>
      </c>
      <c r="BB53" s="1583">
        <v>207049.8</v>
      </c>
      <c r="BC53" s="1583">
        <v>6375938.5463333335</v>
      </c>
      <c r="BD53" s="1560">
        <v>893877.15254740999</v>
      </c>
      <c r="BE53" s="1584">
        <f t="shared" si="3"/>
        <v>11075610.607499043</v>
      </c>
      <c r="BF53" s="1586">
        <f>+BE53</f>
        <v>11075610.607499043</v>
      </c>
      <c r="BG53" s="1555"/>
      <c r="BH53" s="1589"/>
      <c r="BU53" s="1588"/>
      <c r="BV53" s="1588"/>
      <c r="BW53" s="1588"/>
      <c r="BX53" s="1588"/>
      <c r="BY53" s="1588"/>
    </row>
    <row r="54" spans="1:77" ht="13" hidden="1">
      <c r="A54" s="1527">
        <v>39</v>
      </c>
      <c r="C54" s="1547" t="s">
        <v>31</v>
      </c>
      <c r="D54" s="1582">
        <v>2017</v>
      </c>
      <c r="E54" s="1583">
        <v>11541436.500000002</v>
      </c>
      <c r="F54" s="1583">
        <v>419688.6</v>
      </c>
      <c r="G54" s="1583">
        <v>11121747.900000002</v>
      </c>
      <c r="H54" s="22">
        <v>1604329.8878229931</v>
      </c>
      <c r="I54" s="1583">
        <v>2435010.2857142859</v>
      </c>
      <c r="J54" s="1583">
        <v>88545.828571428574</v>
      </c>
      <c r="K54" s="1583">
        <v>2346464.4571428574</v>
      </c>
      <c r="L54" s="1560">
        <v>338481.24352006218</v>
      </c>
      <c r="M54" s="1587">
        <v>1900420.4999999998</v>
      </c>
      <c r="N54" s="1583">
        <v>69106.2</v>
      </c>
      <c r="O54" s="1583">
        <v>1831314.2999999998</v>
      </c>
      <c r="P54" s="1560">
        <v>264170.01103645249</v>
      </c>
      <c r="Q54" s="1587">
        <v>5223417.3000000007</v>
      </c>
      <c r="R54" s="1583">
        <v>183277.8</v>
      </c>
      <c r="S54" s="1583">
        <v>5040139.5000000009</v>
      </c>
      <c r="T54" s="1560">
        <v>720132.02487301081</v>
      </c>
      <c r="U54" s="1587">
        <v>6943062.3428571448</v>
      </c>
      <c r="V54" s="1583">
        <v>239415.94285714286</v>
      </c>
      <c r="W54" s="1583">
        <v>6703646.4000000022</v>
      </c>
      <c r="X54" s="1560">
        <v>953459.84816864273</v>
      </c>
      <c r="Y54" s="1587">
        <v>11914435.357142853</v>
      </c>
      <c r="Z54" s="1583">
        <v>414415.14285714284</v>
      </c>
      <c r="AA54" s="1583">
        <v>11500020.214285709</v>
      </c>
      <c r="AB54" s="1560">
        <v>1639348.388884224</v>
      </c>
      <c r="AC54" s="1587">
        <v>5663235.2857142836</v>
      </c>
      <c r="AD54" s="1583">
        <v>190895.57142857142</v>
      </c>
      <c r="AE54" s="1583">
        <v>5472339.7142857118</v>
      </c>
      <c r="AF54" s="1560">
        <v>773785.92506950698</v>
      </c>
      <c r="AG54" s="1587">
        <v>189676.88571428577</v>
      </c>
      <c r="AH54" s="1583">
        <v>6218.9142857142861</v>
      </c>
      <c r="AI54" s="1583">
        <v>183457.9714285715</v>
      </c>
      <c r="AJ54" s="1560">
        <v>25760.077193618064</v>
      </c>
      <c r="AK54" s="1587">
        <v>4405107.1571428552</v>
      </c>
      <c r="AL54" s="1583">
        <v>144429.74285714285</v>
      </c>
      <c r="AM54" s="1583">
        <v>4260677.4142857119</v>
      </c>
      <c r="AN54" s="1560">
        <v>598258.98125030624</v>
      </c>
      <c r="AO54" s="1587">
        <v>14501297.799999997</v>
      </c>
      <c r="AP54" s="1583">
        <v>467783.8</v>
      </c>
      <c r="AQ54" s="1583">
        <v>14033513.999999996</v>
      </c>
      <c r="AR54" s="1560">
        <v>1962574.0296582351</v>
      </c>
      <c r="AS54" s="1587">
        <v>9460293.3904761914</v>
      </c>
      <c r="AT54" s="1583">
        <v>301924.25714285712</v>
      </c>
      <c r="AU54" s="1583">
        <v>9158369.1333333347</v>
      </c>
      <c r="AV54" s="1560">
        <v>1277434.7885828251</v>
      </c>
      <c r="AW54" s="1587">
        <v>6375938.5463333335</v>
      </c>
      <c r="AX54" s="1583">
        <v>207049.8</v>
      </c>
      <c r="AY54" s="1583">
        <v>6168888.7463333337</v>
      </c>
      <c r="AZ54" s="1560">
        <v>864133.59425621456</v>
      </c>
      <c r="BA54" s="1587">
        <v>6375938.5463333335</v>
      </c>
      <c r="BB54" s="1583">
        <v>207049.8</v>
      </c>
      <c r="BC54" s="1583">
        <v>6168888.7463333337</v>
      </c>
      <c r="BD54" s="1560">
        <v>864133.59425621456</v>
      </c>
      <c r="BE54" s="1584">
        <v>10157735.206059877</v>
      </c>
      <c r="BF54" s="1554"/>
      <c r="BG54" s="1585">
        <v>10157735.206059877</v>
      </c>
      <c r="BU54" s="1588"/>
      <c r="BV54" s="1588"/>
      <c r="BW54" s="1588"/>
      <c r="BX54" s="1588"/>
      <c r="BY54" s="1588"/>
    </row>
    <row r="55" spans="1:77" ht="13" hidden="1">
      <c r="A55" s="1527">
        <v>40</v>
      </c>
      <c r="C55" s="1547" t="s">
        <v>47</v>
      </c>
      <c r="D55" s="1582">
        <v>2017</v>
      </c>
      <c r="E55" s="1583">
        <v>11541436.500000002</v>
      </c>
      <c r="F55" s="1583">
        <v>419688.6</v>
      </c>
      <c r="G55" s="1583">
        <v>11121747.900000002</v>
      </c>
      <c r="H55" s="22">
        <v>1703349.2833567909</v>
      </c>
      <c r="I55" s="1583">
        <v>2435010.2857142859</v>
      </c>
      <c r="J55" s="1583">
        <v>88545.828571428574</v>
      </c>
      <c r="K55" s="1583">
        <v>2346464.4571428574</v>
      </c>
      <c r="L55" s="1560">
        <v>359372.33854190016</v>
      </c>
      <c r="M55" s="1587">
        <v>1900420.4999999998</v>
      </c>
      <c r="N55" s="1583">
        <v>69106.2</v>
      </c>
      <c r="O55" s="1583">
        <v>1831314.2999999998</v>
      </c>
      <c r="P55" s="1560">
        <v>280474.60961653723</v>
      </c>
      <c r="Q55" s="1587">
        <v>5223417.3000000007</v>
      </c>
      <c r="R55" s="1583">
        <v>183277.8</v>
      </c>
      <c r="S55" s="1583">
        <v>5040139.5000000009</v>
      </c>
      <c r="T55" s="1560">
        <v>765005.50799664995</v>
      </c>
      <c r="U55" s="1587">
        <v>6943062.3428571448</v>
      </c>
      <c r="V55" s="1583">
        <v>239415.94285714286</v>
      </c>
      <c r="W55" s="1583">
        <v>6703646.4000000022</v>
      </c>
      <c r="X55" s="1560">
        <v>1013143.903262206</v>
      </c>
      <c r="Y55" s="1587">
        <v>11914435.357142853</v>
      </c>
      <c r="Z55" s="1583">
        <v>414415.14285714284</v>
      </c>
      <c r="AA55" s="1583">
        <v>11500020.214285709</v>
      </c>
      <c r="AB55" s="1560">
        <v>1741735.6269769906</v>
      </c>
      <c r="AC55" s="1587">
        <v>5663235.2857142836</v>
      </c>
      <c r="AD55" s="1583">
        <v>190895.57142857142</v>
      </c>
      <c r="AE55" s="1583">
        <v>5472339.7142857118</v>
      </c>
      <c r="AF55" s="1560">
        <v>822507.38284182083</v>
      </c>
      <c r="AG55" s="1587">
        <v>189676.88571428577</v>
      </c>
      <c r="AH55" s="1583">
        <v>6218.9142857142861</v>
      </c>
      <c r="AI55" s="1583">
        <v>183457.9714285715</v>
      </c>
      <c r="AJ55" s="1560">
        <v>25760.077193618064</v>
      </c>
      <c r="AK55" s="1587">
        <v>4405107.1571428552</v>
      </c>
      <c r="AL55" s="1583">
        <v>144429.74285714285</v>
      </c>
      <c r="AM55" s="1583">
        <v>4260677.4142857119</v>
      </c>
      <c r="AN55" s="1560">
        <v>598258.98125030624</v>
      </c>
      <c r="AO55" s="1587">
        <v>14501297.799999997</v>
      </c>
      <c r="AP55" s="1583">
        <v>467783.8</v>
      </c>
      <c r="AQ55" s="1583">
        <v>14033513.999999996</v>
      </c>
      <c r="AR55" s="1560">
        <v>2087517.526488899</v>
      </c>
      <c r="AS55" s="1587">
        <v>9460293.3904761914</v>
      </c>
      <c r="AT55" s="1583">
        <v>301924.25714285712</v>
      </c>
      <c r="AU55" s="1583">
        <v>9158369.1333333347</v>
      </c>
      <c r="AV55" s="1560">
        <v>1277434.7885828251</v>
      </c>
      <c r="AW55" s="1587">
        <v>6375938.5463333335</v>
      </c>
      <c r="AX55" s="1583">
        <v>207049.8</v>
      </c>
      <c r="AY55" s="1583">
        <v>6168888.7463333337</v>
      </c>
      <c r="AZ55" s="1560">
        <v>864133.59425621456</v>
      </c>
      <c r="BA55" s="1587">
        <v>6375938.5463333335</v>
      </c>
      <c r="BB55" s="1583">
        <v>207049.8</v>
      </c>
      <c r="BC55" s="1583">
        <v>6168888.7463333337</v>
      </c>
      <c r="BD55" s="1560">
        <v>864133.59425621456</v>
      </c>
      <c r="BE55" s="1584">
        <v>10674560.026108544</v>
      </c>
      <c r="BF55" s="1586">
        <v>10674560.026108544</v>
      </c>
      <c r="BG55" s="1555"/>
      <c r="BI55" s="1589"/>
      <c r="BJ55" s="1589"/>
      <c r="BU55" s="1588"/>
      <c r="BV55" s="1588"/>
      <c r="BW55" s="1588"/>
      <c r="BX55" s="1588"/>
      <c r="BY55" s="1588"/>
    </row>
    <row r="56" spans="1:77" ht="13" hidden="1">
      <c r="A56" s="1527">
        <v>41</v>
      </c>
      <c r="C56" s="1547" t="s">
        <v>31</v>
      </c>
      <c r="D56" s="1582">
        <v>2018</v>
      </c>
      <c r="E56" s="1583">
        <v>11121747.900000002</v>
      </c>
      <c r="F56" s="1583">
        <v>419688.6</v>
      </c>
      <c r="G56" s="1583">
        <v>10702059.300000003</v>
      </c>
      <c r="H56" s="22">
        <v>1511380.9143500878</v>
      </c>
      <c r="I56" s="1583">
        <v>2346464.4571428574</v>
      </c>
      <c r="J56" s="1583">
        <v>88545.828571428574</v>
      </c>
      <c r="K56" s="1583">
        <v>2257918.6285714288</v>
      </c>
      <c r="L56" s="1560">
        <v>318870.88509950432</v>
      </c>
      <c r="M56" s="1587">
        <v>1831314.2999999998</v>
      </c>
      <c r="N56" s="1583">
        <v>69106.2</v>
      </c>
      <c r="O56" s="1583">
        <v>1762208.0999999999</v>
      </c>
      <c r="P56" s="1560">
        <v>248864.97213233815</v>
      </c>
      <c r="Q56" s="1587">
        <v>5040139.5000000009</v>
      </c>
      <c r="R56" s="1583">
        <v>183277.8</v>
      </c>
      <c r="S56" s="1583">
        <v>4856861.7000000011</v>
      </c>
      <c r="T56" s="1560">
        <v>678715.02765125223</v>
      </c>
      <c r="U56" s="1587">
        <v>6703646.4000000022</v>
      </c>
      <c r="V56" s="1583">
        <v>239415.94285714286</v>
      </c>
      <c r="W56" s="1583">
        <v>6464230.4571428597</v>
      </c>
      <c r="X56" s="1560">
        <v>898817.13943345158</v>
      </c>
      <c r="Y56" s="1587">
        <v>11500020.214285709</v>
      </c>
      <c r="Z56" s="1583">
        <v>414415.14285714284</v>
      </c>
      <c r="AA56" s="1583">
        <v>11085605.071428565</v>
      </c>
      <c r="AB56" s="1560">
        <v>1545232.074174176</v>
      </c>
      <c r="AC56" s="1587">
        <v>5472339.7142857118</v>
      </c>
      <c r="AD56" s="1583">
        <v>190895.57142857142</v>
      </c>
      <c r="AE56" s="1583">
        <v>5281444.1428571399</v>
      </c>
      <c r="AF56" s="1560">
        <v>729643.47197762039</v>
      </c>
      <c r="AG56" s="1587">
        <v>183457.9714285715</v>
      </c>
      <c r="AH56" s="1583">
        <v>6218.9142857142861</v>
      </c>
      <c r="AI56" s="1583">
        <v>177239.05714285723</v>
      </c>
      <c r="AJ56" s="1560">
        <v>24298.66053469211</v>
      </c>
      <c r="AK56" s="1587">
        <v>4260677.4142857119</v>
      </c>
      <c r="AL56" s="1583">
        <v>144429.74285714285</v>
      </c>
      <c r="AM56" s="1583">
        <v>4116247.6714285691</v>
      </c>
      <c r="AN56" s="1560">
        <v>564318.64656187315</v>
      </c>
      <c r="AO56" s="1587">
        <v>14033513.999999996</v>
      </c>
      <c r="AP56" s="1583">
        <v>467783.8</v>
      </c>
      <c r="AQ56" s="1583">
        <v>13565730.199999996</v>
      </c>
      <c r="AR56" s="1560">
        <v>1851592.5589261323</v>
      </c>
      <c r="AS56" s="1587">
        <v>9158369.1333333347</v>
      </c>
      <c r="AT56" s="1583">
        <v>301924.25714285712</v>
      </c>
      <c r="AU56" s="1583">
        <v>8856444.876190478</v>
      </c>
      <c r="AV56" s="1560">
        <v>1205349.7131952597</v>
      </c>
      <c r="AW56" s="1587">
        <v>6168888.7463333337</v>
      </c>
      <c r="AX56" s="1583">
        <v>207049.8</v>
      </c>
      <c r="AY56" s="1583">
        <v>5961838.9463333338</v>
      </c>
      <c r="AZ56" s="1560">
        <v>815203.2006361864</v>
      </c>
      <c r="BA56" s="1587">
        <v>6168888.7463333337</v>
      </c>
      <c r="BB56" s="1583">
        <v>207049.8</v>
      </c>
      <c r="BC56" s="1583">
        <v>5961838.9463333338</v>
      </c>
      <c r="BD56" s="1560">
        <v>815203.2006361864</v>
      </c>
      <c r="BE56" s="1584">
        <v>9577084.064036388</v>
      </c>
      <c r="BF56" s="1554"/>
      <c r="BG56" s="1585">
        <v>9577084.064036388</v>
      </c>
      <c r="BU56" s="1588"/>
      <c r="BV56" s="1588"/>
      <c r="BW56" s="1588"/>
      <c r="BX56" s="1588"/>
      <c r="BY56" s="1588"/>
    </row>
    <row r="57" spans="1:77" ht="13" hidden="1">
      <c r="A57" s="1527">
        <v>42</v>
      </c>
      <c r="C57" s="1547" t="s">
        <v>47</v>
      </c>
      <c r="D57" s="1582">
        <v>2018</v>
      </c>
      <c r="E57" s="1583">
        <v>11121747.900000002</v>
      </c>
      <c r="F57" s="1583">
        <v>419688.6</v>
      </c>
      <c r="G57" s="1583">
        <v>10702059.300000003</v>
      </c>
      <c r="H57" s="22">
        <v>1595251.7424674961</v>
      </c>
      <c r="I57" s="1583">
        <v>2346464.4571428574</v>
      </c>
      <c r="J57" s="1583">
        <v>88545.828571428574</v>
      </c>
      <c r="K57" s="1583">
        <v>2257918.6285714288</v>
      </c>
      <c r="L57" s="1560">
        <v>336565.93797591736</v>
      </c>
      <c r="M57" s="1587">
        <v>1831314.2999999998</v>
      </c>
      <c r="N57" s="1583">
        <v>69106.2</v>
      </c>
      <c r="O57" s="1583">
        <v>1762208.0999999999</v>
      </c>
      <c r="P57" s="1560">
        <v>262675.19767110003</v>
      </c>
      <c r="Q57" s="1587">
        <v>5040139.5000000009</v>
      </c>
      <c r="R57" s="1583">
        <v>183277.8</v>
      </c>
      <c r="S57" s="1583">
        <v>4856861.7000000011</v>
      </c>
      <c r="T57" s="1560">
        <v>716777.703386073</v>
      </c>
      <c r="U57" s="1587">
        <v>6703646.4000000022</v>
      </c>
      <c r="V57" s="1583">
        <v>239415.94285714286</v>
      </c>
      <c r="W57" s="1583">
        <v>6464230.4571428597</v>
      </c>
      <c r="X57" s="1560">
        <v>949476.58229248552</v>
      </c>
      <c r="Y57" s="1587">
        <v>11500020.214285709</v>
      </c>
      <c r="Z57" s="1583">
        <v>414415.14285714284</v>
      </c>
      <c r="AA57" s="1583">
        <v>11085605.071428565</v>
      </c>
      <c r="AB57" s="1560">
        <v>1632108.7071155813</v>
      </c>
      <c r="AC57" s="1587">
        <v>5472339.7142857118</v>
      </c>
      <c r="AD57" s="1583">
        <v>190895.57142857142</v>
      </c>
      <c r="AE57" s="1583">
        <v>5281444.1428571399</v>
      </c>
      <c r="AF57" s="1560">
        <v>771033.5522883567</v>
      </c>
      <c r="AG57" s="1587">
        <v>183457.9714285715</v>
      </c>
      <c r="AH57" s="1583">
        <v>6218.9142857142861</v>
      </c>
      <c r="AI57" s="1583">
        <v>177239.05714285723</v>
      </c>
      <c r="AJ57" s="1560">
        <v>24298.66053469211</v>
      </c>
      <c r="AK57" s="1587">
        <v>4260677.4142857119</v>
      </c>
      <c r="AL57" s="1583">
        <v>144429.74285714285</v>
      </c>
      <c r="AM57" s="1583">
        <v>4116247.6714285691</v>
      </c>
      <c r="AN57" s="1560">
        <v>564318.64656187315</v>
      </c>
      <c r="AO57" s="1587">
        <v>14033513.999999996</v>
      </c>
      <c r="AP57" s="1583">
        <v>467783.8</v>
      </c>
      <c r="AQ57" s="1583">
        <v>13565730.199999996</v>
      </c>
      <c r="AR57" s="1560">
        <v>1957905.6519484567</v>
      </c>
      <c r="AS57" s="1587">
        <v>9158369.1333333347</v>
      </c>
      <c r="AT57" s="1583">
        <v>301924.25714285712</v>
      </c>
      <c r="AU57" s="1583">
        <v>8856444.876190478</v>
      </c>
      <c r="AV57" s="1560">
        <v>1205349.7131952597</v>
      </c>
      <c r="AW57" s="1587">
        <v>6168888.7463333337</v>
      </c>
      <c r="AX57" s="1583">
        <v>207049.8</v>
      </c>
      <c r="AY57" s="1583">
        <v>5961838.9463333338</v>
      </c>
      <c r="AZ57" s="1560">
        <v>815203.2006361864</v>
      </c>
      <c r="BA57" s="1587">
        <v>6168888.7463333337</v>
      </c>
      <c r="BB57" s="1583">
        <v>207049.8</v>
      </c>
      <c r="BC57" s="1583">
        <v>5961838.9463333338</v>
      </c>
      <c r="BD57" s="1560">
        <v>815203.2006361864</v>
      </c>
      <c r="BE57" s="1584">
        <v>10015762.095437292</v>
      </c>
      <c r="BF57" s="1586">
        <v>10015762.095437292</v>
      </c>
      <c r="BG57" s="1555"/>
      <c r="BJ57" s="1589"/>
      <c r="BU57" s="1588"/>
      <c r="BV57" s="1588"/>
      <c r="BW57" s="1588"/>
      <c r="BX57" s="1588"/>
      <c r="BY57" s="1588"/>
    </row>
    <row r="58" spans="1:77" ht="13" hidden="1">
      <c r="A58" s="1527">
        <v>43</v>
      </c>
      <c r="C58" s="1547" t="s">
        <v>31</v>
      </c>
      <c r="D58" s="1582">
        <v>2019</v>
      </c>
      <c r="E58" s="1583">
        <v>10702059.300000003</v>
      </c>
      <c r="F58" s="1583">
        <v>419688.6</v>
      </c>
      <c r="G58" s="1583">
        <v>10282370.700000003</v>
      </c>
      <c r="H58" s="22">
        <v>1373579.376474503</v>
      </c>
      <c r="I58" s="1583">
        <v>2257918.6285714288</v>
      </c>
      <c r="J58" s="1583">
        <v>88545.828571428574</v>
      </c>
      <c r="K58" s="1583">
        <v>2169372.8000000003</v>
      </c>
      <c r="L58" s="1560">
        <v>289797.54036340531</v>
      </c>
      <c r="M58" s="1587">
        <v>1762208.0999999999</v>
      </c>
      <c r="N58" s="1583">
        <v>69106.2</v>
      </c>
      <c r="O58" s="1583">
        <v>1693101.9</v>
      </c>
      <c r="P58" s="1560">
        <v>226174.48057088582</v>
      </c>
      <c r="Q58" s="1587">
        <v>4856861.7000000011</v>
      </c>
      <c r="R58" s="1583">
        <v>183277.8</v>
      </c>
      <c r="S58" s="1583">
        <v>4673583.9000000013</v>
      </c>
      <c r="T58" s="1560">
        <v>616844.01788492175</v>
      </c>
      <c r="U58" s="1587">
        <v>6464230.4571428597</v>
      </c>
      <c r="V58" s="1583">
        <v>239415.94285714286</v>
      </c>
      <c r="W58" s="1583">
        <v>6224814.5142857172</v>
      </c>
      <c r="X58" s="1560">
        <v>816889.10772191058</v>
      </c>
      <c r="Y58" s="1587">
        <v>11085605.071428565</v>
      </c>
      <c r="Z58" s="1583">
        <v>414415.14285714284</v>
      </c>
      <c r="AA58" s="1583">
        <v>10671189.928571422</v>
      </c>
      <c r="AB58" s="1560">
        <v>1404376.4994217223</v>
      </c>
      <c r="AC58" s="1587">
        <v>5281444.1428571399</v>
      </c>
      <c r="AD58" s="1583">
        <v>190895.57142857142</v>
      </c>
      <c r="AE58" s="1583">
        <v>5090548.5714285681</v>
      </c>
      <c r="AF58" s="1560">
        <v>663143.40912626963</v>
      </c>
      <c r="AG58" s="1587">
        <v>177239.05714285723</v>
      </c>
      <c r="AH58" s="1583">
        <v>6218.9142857142861</v>
      </c>
      <c r="AI58" s="1583">
        <v>171020.14285714296</v>
      </c>
      <c r="AJ58" s="1560">
        <v>22084.373878877996</v>
      </c>
      <c r="AK58" s="1587">
        <v>4116247.6714285691</v>
      </c>
      <c r="AL58" s="1583">
        <v>144429.74285714285</v>
      </c>
      <c r="AM58" s="1583">
        <v>3971817.9285714263</v>
      </c>
      <c r="AN58" s="1560">
        <v>512893.45598706813</v>
      </c>
      <c r="AO58" s="1587">
        <v>13565730.199999996</v>
      </c>
      <c r="AP58" s="1583">
        <v>467783.8</v>
      </c>
      <c r="AQ58" s="1583">
        <v>13097946.399999995</v>
      </c>
      <c r="AR58" s="1560">
        <v>1682874.2325709062</v>
      </c>
      <c r="AS58" s="1587">
        <v>8856444.876190478</v>
      </c>
      <c r="AT58" s="1583">
        <v>301924.25714285712</v>
      </c>
      <c r="AU58" s="1583">
        <v>8554520.6190476213</v>
      </c>
      <c r="AV58" s="1560">
        <v>1095523.1803630127</v>
      </c>
      <c r="AW58" s="1587">
        <v>5961838.9463333338</v>
      </c>
      <c r="AX58" s="1583">
        <v>207049.8</v>
      </c>
      <c r="AY58" s="1583">
        <v>5754789.146333334</v>
      </c>
      <c r="AZ58" s="1560">
        <v>740918.92876453139</v>
      </c>
      <c r="BA58" s="1587">
        <v>5961838.9463333338</v>
      </c>
      <c r="BB58" s="1583">
        <v>207049.8</v>
      </c>
      <c r="BC58" s="1583">
        <v>5754789.146333334</v>
      </c>
      <c r="BD58" s="1560">
        <v>740918.92876453139</v>
      </c>
      <c r="BE58" s="1584">
        <v>8704179.6743634827</v>
      </c>
      <c r="BF58" s="1554"/>
      <c r="BG58" s="1585">
        <v>8704179.6743634827</v>
      </c>
      <c r="BU58" s="1588"/>
      <c r="BV58" s="1588"/>
      <c r="BW58" s="1588"/>
      <c r="BX58" s="1588"/>
      <c r="BY58" s="1588"/>
    </row>
    <row r="59" spans="1:77" s="1635" customFormat="1" ht="13" hidden="1">
      <c r="A59" s="1635">
        <v>44</v>
      </c>
      <c r="C59" s="1636" t="s">
        <v>47</v>
      </c>
      <c r="D59" s="1637">
        <v>2019</v>
      </c>
      <c r="E59" s="1638">
        <v>10702059.300000003</v>
      </c>
      <c r="F59" s="1638">
        <v>419688.6</v>
      </c>
      <c r="G59" s="1638">
        <v>10282370.700000003</v>
      </c>
      <c r="H59" s="1207">
        <v>1458189.712020735</v>
      </c>
      <c r="I59" s="1638">
        <v>2257918.6285714288</v>
      </c>
      <c r="J59" s="1638">
        <v>88545.828571428574</v>
      </c>
      <c r="K59" s="1638">
        <v>2169372.8000000003</v>
      </c>
      <c r="L59" s="1570">
        <v>307648.61438983283</v>
      </c>
      <c r="M59" s="1639">
        <v>1762208.0999999999</v>
      </c>
      <c r="N59" s="1638">
        <v>69106.2</v>
      </c>
      <c r="O59" s="1638">
        <v>1693101.9</v>
      </c>
      <c r="P59" s="1570">
        <v>240106.47388765693</v>
      </c>
      <c r="Q59" s="1639">
        <v>4856861.7000000011</v>
      </c>
      <c r="R59" s="1638">
        <v>183277.8</v>
      </c>
      <c r="S59" s="1638">
        <v>4673583.9000000013</v>
      </c>
      <c r="T59" s="1570">
        <v>655301.44307602756</v>
      </c>
      <c r="U59" s="1639">
        <v>6464230.4571428597</v>
      </c>
      <c r="V59" s="1638">
        <v>239415.94285714286</v>
      </c>
      <c r="W59" s="1638">
        <v>6224814.5142857172</v>
      </c>
      <c r="X59" s="1570">
        <v>868111.11285412882</v>
      </c>
      <c r="Y59" s="1639">
        <v>11085605.071428565</v>
      </c>
      <c r="Z59" s="1638">
        <v>414415.14285714284</v>
      </c>
      <c r="AA59" s="1638">
        <v>10671189.928571422</v>
      </c>
      <c r="AB59" s="1570">
        <v>1492186.3038799493</v>
      </c>
      <c r="AC59" s="1639">
        <v>5281444.1428571399</v>
      </c>
      <c r="AD59" s="1638">
        <v>190895.57142857142</v>
      </c>
      <c r="AE59" s="1638">
        <v>5090548.5714285681</v>
      </c>
      <c r="AF59" s="1570">
        <v>705031.90306502278</v>
      </c>
      <c r="AG59" s="1639">
        <v>177239.05714285723</v>
      </c>
      <c r="AH59" s="1638">
        <v>6218.9142857142861</v>
      </c>
      <c r="AI59" s="1638">
        <v>171020.14285714296</v>
      </c>
      <c r="AJ59" s="1570">
        <v>22084.373878877996</v>
      </c>
      <c r="AK59" s="1639">
        <v>4116247.6714285691</v>
      </c>
      <c r="AL59" s="1638">
        <v>144429.74285714285</v>
      </c>
      <c r="AM59" s="1638">
        <v>3971817.9285714263</v>
      </c>
      <c r="AN59" s="1570">
        <v>512893.45598706813</v>
      </c>
      <c r="AO59" s="1639">
        <v>13565730.199999996</v>
      </c>
      <c r="AP59" s="1638">
        <v>467783.8</v>
      </c>
      <c r="AQ59" s="1638">
        <v>13097946.399999995</v>
      </c>
      <c r="AR59" s="1570">
        <v>1790653.0388602538</v>
      </c>
      <c r="AS59" s="1639">
        <v>8856444.876190478</v>
      </c>
      <c r="AT59" s="1638">
        <v>301924.25714285712</v>
      </c>
      <c r="AU59" s="1638">
        <v>8554520.6190476213</v>
      </c>
      <c r="AV59" s="1570">
        <v>1095523.1803630127</v>
      </c>
      <c r="AW59" s="1639">
        <v>5961838.9463333338</v>
      </c>
      <c r="AX59" s="1638">
        <v>207049.8</v>
      </c>
      <c r="AY59" s="1638">
        <v>5754789.146333334</v>
      </c>
      <c r="AZ59" s="1570">
        <v>740918.92876453139</v>
      </c>
      <c r="BA59" s="1639">
        <v>5961838.9463333338</v>
      </c>
      <c r="BB59" s="1638">
        <v>207049.8</v>
      </c>
      <c r="BC59" s="1638">
        <v>5754789.146333334</v>
      </c>
      <c r="BD59" s="1570">
        <v>740918.92876453139</v>
      </c>
      <c r="BE59" s="1640">
        <v>9147729.6122625656</v>
      </c>
      <c r="BF59" s="1641">
        <v>9147729.6122625656</v>
      </c>
      <c r="BG59" s="1642"/>
      <c r="BU59" s="1643"/>
      <c r="BV59" s="1643"/>
      <c r="BW59" s="1643"/>
      <c r="BX59" s="1643"/>
      <c r="BY59" s="1643"/>
    </row>
    <row r="60" spans="1:77" ht="13">
      <c r="A60" s="1527">
        <f t="shared" si="0"/>
        <v>45</v>
      </c>
      <c r="C60" s="1547" t="str">
        <f t="shared" si="2"/>
        <v>Base FCR</v>
      </c>
      <c r="D60" s="1582">
        <f t="shared" si="1"/>
        <v>2020</v>
      </c>
      <c r="E60" s="1583">
        <f>+G59</f>
        <v>10282370.700000003</v>
      </c>
      <c r="F60" s="1583">
        <f>+E$32</f>
        <v>419688.6</v>
      </c>
      <c r="G60" s="1583">
        <f t="shared" ref="G60:G75" si="4">+E60-F60</f>
        <v>9862682.1000000034</v>
      </c>
      <c r="H60" s="22">
        <f>+E$29*G60+F60</f>
        <v>1332157.801163665</v>
      </c>
      <c r="I60" s="1583">
        <f>+K59</f>
        <v>2169372.8000000003</v>
      </c>
      <c r="J60" s="1583">
        <f>+I$32</f>
        <v>88545.828571428574</v>
      </c>
      <c r="K60" s="1583">
        <f t="shared" ref="K60:K75" si="5">+I60-J60</f>
        <v>2080826.9714285717</v>
      </c>
      <c r="L60" s="1560">
        <f>+I$29*K60+J60</f>
        <v>281058.42353575747</v>
      </c>
      <c r="M60" s="1587">
        <f>+O59</f>
        <v>1693101.9</v>
      </c>
      <c r="N60" s="1583">
        <f>+M$32</f>
        <v>69106.2</v>
      </c>
      <c r="O60" s="1583">
        <f t="shared" ref="O60:O75" si="6">+M60-N60</f>
        <v>1623995.7</v>
      </c>
      <c r="P60" s="1560">
        <f>+M$29*O60+N60</f>
        <v>219353.97682657198</v>
      </c>
      <c r="Q60" s="1587">
        <f>+S59</f>
        <v>4673583.9000000013</v>
      </c>
      <c r="R60" s="1583">
        <f>+Q$32</f>
        <v>183277.8</v>
      </c>
      <c r="S60" s="1583">
        <f t="shared" ref="S60:S75" si="7">+Q60-R60</f>
        <v>4490306.1000000015</v>
      </c>
      <c r="T60" s="1560">
        <f>+Q$29*S60+R60</f>
        <v>598709.01622538478</v>
      </c>
      <c r="U60" s="1587">
        <f>+W59</f>
        <v>6224814.5142857172</v>
      </c>
      <c r="V60" s="1583">
        <f>+U$32</f>
        <v>239415.94285714286</v>
      </c>
      <c r="W60" s="1583">
        <f t="shared" ref="W60:W75" si="8">+U60-V60</f>
        <v>5985398.5714285746</v>
      </c>
      <c r="X60" s="1560">
        <f>+U$29*W60+V60</f>
        <v>793169.15093403822</v>
      </c>
      <c r="Y60" s="1587">
        <f>+AA59</f>
        <v>10671189.928571422</v>
      </c>
      <c r="Z60" s="1583">
        <f>+Y$32</f>
        <v>414415.14285714284</v>
      </c>
      <c r="AA60" s="1583">
        <f t="shared" ref="AA60:AA75" si="9">+Y60-Z60</f>
        <v>10256774.785714278</v>
      </c>
      <c r="AB60" s="1560">
        <f>+Y$29*AA60+Z60</f>
        <v>1363344.7545330911</v>
      </c>
      <c r="AC60" s="1587">
        <f>+AE59</f>
        <v>5090548.5714285681</v>
      </c>
      <c r="AD60" s="1583">
        <f>+AC$32</f>
        <v>190895.57142857142</v>
      </c>
      <c r="AE60" s="1583">
        <f t="shared" ref="AE60:AE75" si="10">+AC60-AD60</f>
        <v>4899652.9999999963</v>
      </c>
      <c r="AF60" s="1560">
        <f>+AC$29*AE60+AD60</f>
        <v>644198.47763185971</v>
      </c>
      <c r="AG60" s="1587">
        <f>+AI59</f>
        <v>171020.14285714296</v>
      </c>
      <c r="AH60" s="1583">
        <f>+AG$32</f>
        <v>6218.9142857142861</v>
      </c>
      <c r="AI60" s="1583">
        <f t="shared" ref="AI60:AI75" si="11">+AG60-AH60</f>
        <v>164801.22857142868</v>
      </c>
      <c r="AJ60" s="1560">
        <f>+AG$29*AI60+AH60</f>
        <v>21465.887052418591</v>
      </c>
      <c r="AK60" s="1587">
        <f>+AM59</f>
        <v>3971817.9285714263</v>
      </c>
      <c r="AL60" s="1583">
        <f>+AK$32</f>
        <v>144429.74285714285</v>
      </c>
      <c r="AM60" s="1583">
        <f t="shared" ref="AM60:AM75" si="12">+AK60-AL60</f>
        <v>3827388.1857142835</v>
      </c>
      <c r="AN60" s="1560">
        <f>+AK$29*AM60+AL60</f>
        <v>498529.55109915847</v>
      </c>
      <c r="AO60" s="1587">
        <f>+AQ59</f>
        <v>13097946.399999995</v>
      </c>
      <c r="AP60" s="1583">
        <f>+AO$32</f>
        <v>467783.8</v>
      </c>
      <c r="AQ60" s="1583">
        <f t="shared" ref="AQ60:AQ75" si="13">+AO60-AP60</f>
        <v>12630162.599999994</v>
      </c>
      <c r="AR60" s="1560">
        <f>+AO$29*AQ60+AP60</f>
        <v>1636292.9602201381</v>
      </c>
      <c r="AS60" s="1587">
        <f>+AU59</f>
        <v>8554520.6190476213</v>
      </c>
      <c r="AT60" s="1583">
        <f>+AS$32</f>
        <v>301924.25714285712</v>
      </c>
      <c r="AU60" s="1583">
        <f t="shared" ref="AU60:AU75" si="14">+AS60-AT60</f>
        <v>8252596.3619047645</v>
      </c>
      <c r="AV60" s="1560">
        <f>+AS$29*AU60+AT60</f>
        <v>1065432.5942790005</v>
      </c>
      <c r="AW60" s="1587">
        <f>+AY59</f>
        <v>5754789.146333334</v>
      </c>
      <c r="AX60" s="1583">
        <f>+AW$32</f>
        <v>207049.8</v>
      </c>
      <c r="AY60" s="1583">
        <f t="shared" ref="AY60:AY75" si="15">+AW60-AX60</f>
        <v>5547739.3463333342</v>
      </c>
      <c r="AZ60" s="1560">
        <f>+AW$29*AY60+AX60</f>
        <v>720311.93683932978</v>
      </c>
      <c r="BA60" s="1587">
        <f>BA31</f>
        <v>5454268</v>
      </c>
      <c r="BB60" s="1583">
        <f>BA32/6</f>
        <v>25972.704761904763</v>
      </c>
      <c r="BC60" s="1583">
        <f t="shared" ref="BC60:BC75" si="16">+BA60-BB60</f>
        <v>5428295.2952380953</v>
      </c>
      <c r="BD60" s="1560">
        <f>+BA$29*BC60+BB60</f>
        <v>528184.19464926352</v>
      </c>
      <c r="BE60" s="1584">
        <f>H60+L60+P60+T60+X60+AB60+AF60+AJ60+AN60+AR60+AV60+AZ60+BD60</f>
        <v>9702208.7249896768</v>
      </c>
      <c r="BF60" s="1554"/>
      <c r="BG60" s="1585">
        <f>+BE60</f>
        <v>9702208.7249896768</v>
      </c>
      <c r="BU60" s="1588"/>
      <c r="BV60" s="1588"/>
      <c r="BW60" s="1588"/>
      <c r="BX60" s="1588"/>
      <c r="BY60" s="1588"/>
    </row>
    <row r="61" spans="1:77" ht="13">
      <c r="A61" s="1527">
        <f t="shared" si="0"/>
        <v>46</v>
      </c>
      <c r="C61" s="1547" t="str">
        <f t="shared" si="2"/>
        <v>W Increased ROE</v>
      </c>
      <c r="D61" s="1582">
        <f t="shared" si="1"/>
        <v>2020</v>
      </c>
      <c r="E61" s="1583">
        <f>+E60</f>
        <v>10282370.700000003</v>
      </c>
      <c r="F61" s="1583">
        <f>+F60</f>
        <v>419688.6</v>
      </c>
      <c r="G61" s="1583">
        <f t="shared" si="4"/>
        <v>9862682.1000000034</v>
      </c>
      <c r="H61" s="22">
        <f>+E$30*G61+F61</f>
        <v>1413171.6390882647</v>
      </c>
      <c r="I61" s="1583">
        <f>+I60</f>
        <v>2169372.8000000003</v>
      </c>
      <c r="J61" s="1583">
        <f>+J60</f>
        <v>88545.828571428574</v>
      </c>
      <c r="K61" s="1583">
        <f t="shared" si="5"/>
        <v>2080826.9714285717</v>
      </c>
      <c r="L61" s="1560">
        <f>+I$30*K61+J61</f>
        <v>298150.7091131715</v>
      </c>
      <c r="M61" s="1587">
        <f>+M60</f>
        <v>1693101.9</v>
      </c>
      <c r="N61" s="1583">
        <f>+N60</f>
        <v>69106.2</v>
      </c>
      <c r="O61" s="1583">
        <f t="shared" si="6"/>
        <v>1623995.7</v>
      </c>
      <c r="P61" s="1560">
        <f>+M$30*O61+N61</f>
        <v>232693.76848730561</v>
      </c>
      <c r="Q61" s="1587">
        <f>+Q60</f>
        <v>4673583.9000000013</v>
      </c>
      <c r="R61" s="1583">
        <f>+R60</f>
        <v>183277.8</v>
      </c>
      <c r="S61" s="1583">
        <f t="shared" si="7"/>
        <v>4490306.1000000015</v>
      </c>
      <c r="T61" s="1560">
        <f>+Q$30*S61+R61</f>
        <v>635593.19508553902</v>
      </c>
      <c r="U61" s="1587">
        <f>+U60</f>
        <v>6224814.5142857172</v>
      </c>
      <c r="V61" s="1583">
        <f>+V60</f>
        <v>239415.94285714286</v>
      </c>
      <c r="W61" s="1583">
        <f t="shared" si="8"/>
        <v>5985398.5714285746</v>
      </c>
      <c r="X61" s="1560">
        <f>+U$30*W61+V61</f>
        <v>842334.28723908495</v>
      </c>
      <c r="Y61" s="1587">
        <f>+Y60</f>
        <v>10671189.928571422</v>
      </c>
      <c r="Z61" s="1583">
        <f>+Z60</f>
        <v>414415.14285714284</v>
      </c>
      <c r="AA61" s="1583">
        <f t="shared" si="9"/>
        <v>10256774.785714278</v>
      </c>
      <c r="AB61" s="1560">
        <f>+Y$30*AA61+Z61</f>
        <v>1447595.7403900698</v>
      </c>
      <c r="AC61" s="1587">
        <f>+AC60</f>
        <v>5090548.5714285681</v>
      </c>
      <c r="AD61" s="1583">
        <f>+AD60</f>
        <v>190895.57142857142</v>
      </c>
      <c r="AE61" s="1583">
        <f t="shared" si="10"/>
        <v>4899652.9999999963</v>
      </c>
      <c r="AF61" s="1560">
        <f>+AC$30*AE61+AD61</f>
        <v>684445.10527372372</v>
      </c>
      <c r="AG61" s="1587">
        <f>+AG60</f>
        <v>171020.14285714296</v>
      </c>
      <c r="AH61" s="1583">
        <f>+AH60</f>
        <v>6218.9142857142861</v>
      </c>
      <c r="AI61" s="1583">
        <f t="shared" si="11"/>
        <v>164801.22857142868</v>
      </c>
      <c r="AJ61" s="1560">
        <f>+AG$30*AI61+AH61</f>
        <v>21465.887052418591</v>
      </c>
      <c r="AK61" s="1587">
        <f>+AK60</f>
        <v>3971817.9285714263</v>
      </c>
      <c r="AL61" s="1583">
        <f>+AL60</f>
        <v>144429.74285714285</v>
      </c>
      <c r="AM61" s="1583">
        <f t="shared" si="12"/>
        <v>3827388.1857142835</v>
      </c>
      <c r="AN61" s="1560">
        <f>+AK$30*AM61+AL61</f>
        <v>498529.55109915847</v>
      </c>
      <c r="AO61" s="1587">
        <f>+AO60</f>
        <v>13097946.399999995</v>
      </c>
      <c r="AP61" s="1583">
        <f>+AP60</f>
        <v>467783.8</v>
      </c>
      <c r="AQ61" s="1583">
        <f t="shared" si="13"/>
        <v>12630162.599999994</v>
      </c>
      <c r="AR61" s="1560">
        <f>+AO$30*AQ61+AP61</f>
        <v>1740039.3788376194</v>
      </c>
      <c r="AS61" s="1587">
        <f>+AS60</f>
        <v>8554520.6190476213</v>
      </c>
      <c r="AT61" s="1583">
        <f>+AT60</f>
        <v>301924.25714285712</v>
      </c>
      <c r="AU61" s="1583">
        <f t="shared" si="14"/>
        <v>8252596.3619047645</v>
      </c>
      <c r="AV61" s="1560">
        <f>+AS$30*AU61+AT61</f>
        <v>1065432.5942790005</v>
      </c>
      <c r="AW61" s="1587">
        <f>+AW60</f>
        <v>5754789.146333334</v>
      </c>
      <c r="AX61" s="1583">
        <f>+AX60</f>
        <v>207049.8</v>
      </c>
      <c r="AY61" s="1583">
        <f t="shared" si="15"/>
        <v>5547739.3463333342</v>
      </c>
      <c r="AZ61" s="1560">
        <f>+AW$30*AY61+AX61</f>
        <v>720311.93683932978</v>
      </c>
      <c r="BA61" s="1587">
        <f>+BA60</f>
        <v>5454268</v>
      </c>
      <c r="BB61" s="1583">
        <f>+BB60</f>
        <v>25972.704761904763</v>
      </c>
      <c r="BC61" s="1583">
        <f t="shared" si="16"/>
        <v>5428295.2952380953</v>
      </c>
      <c r="BD61" s="1560">
        <f>+BA$30*BC61+BB61</f>
        <v>528184.19464926352</v>
      </c>
      <c r="BE61" s="1584">
        <f t="shared" ref="BE61:BE75" si="17">H61+L61+P61+T61+X61+AB61+AF61+AJ61+AN61+AR61+AV61+AZ61+BD61</f>
        <v>10127947.987433949</v>
      </c>
      <c r="BF61" s="1586">
        <f>+BE61</f>
        <v>10127947.987433949</v>
      </c>
      <c r="BG61" s="1555"/>
      <c r="BI61" s="1589"/>
      <c r="BU61" s="1588"/>
      <c r="BV61" s="1588"/>
      <c r="BW61" s="1588"/>
      <c r="BX61" s="1588"/>
      <c r="BY61" s="1588"/>
    </row>
    <row r="62" spans="1:77" ht="13">
      <c r="A62" s="1527">
        <f t="shared" si="0"/>
        <v>47</v>
      </c>
      <c r="C62" s="1547" t="str">
        <f t="shared" si="2"/>
        <v>Base FCR</v>
      </c>
      <c r="D62" s="1582">
        <f t="shared" si="1"/>
        <v>2021</v>
      </c>
      <c r="E62" s="1583">
        <f>+G61</f>
        <v>9862682.1000000034</v>
      </c>
      <c r="F62" s="1583">
        <f>+E$32</f>
        <v>419688.6</v>
      </c>
      <c r="G62" s="1583">
        <f t="shared" si="4"/>
        <v>9442993.5000000037</v>
      </c>
      <c r="H62" s="22">
        <f>+E$29*G62+F62</f>
        <v>1293329.3245184026</v>
      </c>
      <c r="I62" s="1583">
        <f>+K61</f>
        <v>2080826.9714285717</v>
      </c>
      <c r="J62" s="1583">
        <f>+I$32</f>
        <v>88545.828571428574</v>
      </c>
      <c r="K62" s="1583">
        <f t="shared" si="5"/>
        <v>1992281.1428571432</v>
      </c>
      <c r="L62" s="1560">
        <f>+I$29*K62+J62</f>
        <v>272866.39821812644</v>
      </c>
      <c r="M62" s="1587">
        <f>+O61</f>
        <v>1623995.7</v>
      </c>
      <c r="N62" s="1583">
        <f>+M$32</f>
        <v>69106.2</v>
      </c>
      <c r="O62" s="1583">
        <f t="shared" si="6"/>
        <v>1554889.5</v>
      </c>
      <c r="P62" s="1560">
        <f>+M$29*O62+N62</f>
        <v>212960.45440842002</v>
      </c>
      <c r="Q62" s="1587">
        <f>+S61</f>
        <v>4490306.1000000015</v>
      </c>
      <c r="R62" s="1583">
        <f>+Q$32</f>
        <v>183277.8</v>
      </c>
      <c r="S62" s="1583">
        <f t="shared" si="7"/>
        <v>4307028.3000000017</v>
      </c>
      <c r="T62" s="1560">
        <f>+Q$29*S62+R62</f>
        <v>581752.64005292009</v>
      </c>
      <c r="U62" s="1587">
        <f>+W61</f>
        <v>5985398.5714285746</v>
      </c>
      <c r="V62" s="1583">
        <f>+U$32</f>
        <v>239415.94285714286</v>
      </c>
      <c r="W62" s="1583">
        <f t="shared" si="8"/>
        <v>5745982.6285714321</v>
      </c>
      <c r="X62" s="1560">
        <f>+U$29*W62+V62</f>
        <v>771019.02261096251</v>
      </c>
      <c r="Y62" s="1587">
        <f>+AA61</f>
        <v>10256774.785714278</v>
      </c>
      <c r="Z62" s="1583">
        <f>+Y$32</f>
        <v>414415.14285714284</v>
      </c>
      <c r="AA62" s="1583">
        <f t="shared" si="9"/>
        <v>9842359.6428571343</v>
      </c>
      <c r="AB62" s="1560">
        <f>+Y$29*AA62+Z62</f>
        <v>1325004.1641623457</v>
      </c>
      <c r="AC62" s="1587">
        <f>+AE61</f>
        <v>4899652.9999999963</v>
      </c>
      <c r="AD62" s="1583">
        <f>+AC$32</f>
        <v>190895.57142857142</v>
      </c>
      <c r="AE62" s="1583">
        <f t="shared" si="10"/>
        <v>4708757.4285714244</v>
      </c>
      <c r="AF62" s="1560">
        <f>+AC$29*AE62+AD62</f>
        <v>626537.32544212113</v>
      </c>
      <c r="AG62" s="1587">
        <f>+AI61</f>
        <v>164801.22857142868</v>
      </c>
      <c r="AH62" s="1583">
        <f>+AG$32</f>
        <v>6218.9142857142861</v>
      </c>
      <c r="AI62" s="1583">
        <f t="shared" si="11"/>
        <v>158582.31428571441</v>
      </c>
      <c r="AJ62" s="1560">
        <f>+AG$29*AI62+AH62</f>
        <v>20890.529589524092</v>
      </c>
      <c r="AK62" s="1587">
        <f>+AM61</f>
        <v>3827388.1857142835</v>
      </c>
      <c r="AL62" s="1583">
        <f>+AK$32</f>
        <v>144429.74285714285</v>
      </c>
      <c r="AM62" s="1583">
        <f t="shared" si="12"/>
        <v>3682958.4428571407</v>
      </c>
      <c r="AN62" s="1560">
        <f>+AK$29*AM62+AL62</f>
        <v>485167.29418436543</v>
      </c>
      <c r="AO62" s="1587">
        <f>+AQ61</f>
        <v>12630162.599999994</v>
      </c>
      <c r="AP62" s="1583">
        <f>+AO$32</f>
        <v>467783.8</v>
      </c>
      <c r="AQ62" s="1583">
        <f t="shared" si="13"/>
        <v>12162378.799999993</v>
      </c>
      <c r="AR62" s="1560">
        <f>+AO$29*AQ62+AP62</f>
        <v>1593014.8431749479</v>
      </c>
      <c r="AS62" s="1587">
        <f>+AU61</f>
        <v>8252596.3619047645</v>
      </c>
      <c r="AT62" s="1583">
        <f>+AS$32</f>
        <v>301924.25714285712</v>
      </c>
      <c r="AU62" s="1583">
        <f t="shared" si="14"/>
        <v>7950672.1047619078</v>
      </c>
      <c r="AV62" s="1560">
        <f>+AS$29*AU62+AT62</f>
        <v>1037499.3624325562</v>
      </c>
      <c r="AW62" s="1587">
        <f>+AY61</f>
        <v>5547739.3463333342</v>
      </c>
      <c r="AX62" s="1583">
        <f>+AW$32</f>
        <v>207049.8</v>
      </c>
      <c r="AY62" s="1583">
        <f t="shared" si="15"/>
        <v>5340689.5463333344</v>
      </c>
      <c r="AZ62" s="1560">
        <f>+AW$29*AY62+AX62</f>
        <v>701156.23824826442</v>
      </c>
      <c r="BA62" s="1587">
        <f>+BC61</f>
        <v>5428295.2952380953</v>
      </c>
      <c r="BB62" s="1583">
        <f>+BA$32</f>
        <v>155836.22857142857</v>
      </c>
      <c r="BC62" s="1583">
        <f t="shared" si="16"/>
        <v>5272459.0666666664</v>
      </c>
      <c r="BD62" s="1560">
        <f>+BA$29*BC62+BB62</f>
        <v>643630.16372517892</v>
      </c>
      <c r="BE62" s="1584">
        <f t="shared" si="17"/>
        <v>9564827.760768136</v>
      </c>
      <c r="BF62" s="1554"/>
      <c r="BG62" s="1585">
        <f>+BE62</f>
        <v>9564827.760768136</v>
      </c>
      <c r="BU62" s="1588"/>
      <c r="BV62" s="1588"/>
      <c r="BW62" s="1588"/>
      <c r="BX62" s="1588"/>
      <c r="BY62" s="1588"/>
    </row>
    <row r="63" spans="1:77" ht="13">
      <c r="A63" s="1527">
        <f t="shared" si="0"/>
        <v>48</v>
      </c>
      <c r="C63" s="1547" t="str">
        <f t="shared" si="2"/>
        <v>W Increased ROE</v>
      </c>
      <c r="D63" s="1582">
        <f t="shared" si="1"/>
        <v>2021</v>
      </c>
      <c r="E63" s="1583">
        <f>+E62</f>
        <v>9862682.1000000034</v>
      </c>
      <c r="F63" s="1583">
        <f>+F62</f>
        <v>419688.6</v>
      </c>
      <c r="G63" s="1583">
        <f t="shared" si="4"/>
        <v>9442993.5000000037</v>
      </c>
      <c r="H63" s="22">
        <f>+E$30*G63+F63</f>
        <v>1370895.7650845088</v>
      </c>
      <c r="I63" s="1583">
        <f>+I62</f>
        <v>2080826.9714285717</v>
      </c>
      <c r="J63" s="1583">
        <f>+J62</f>
        <v>88545.828571428574</v>
      </c>
      <c r="K63" s="1583">
        <f t="shared" si="5"/>
        <v>1992281.1428571432</v>
      </c>
      <c r="L63" s="1560">
        <f>+I$30*K63+J63</f>
        <v>289231.35249437392</v>
      </c>
      <c r="M63" s="1587">
        <f>+M62</f>
        <v>1623995.7</v>
      </c>
      <c r="N63" s="1583">
        <f>+N62</f>
        <v>69106.2</v>
      </c>
      <c r="O63" s="1583">
        <f t="shared" si="6"/>
        <v>1554889.5</v>
      </c>
      <c r="P63" s="1560">
        <f>+M$30*O63+N63</f>
        <v>225732.59536018624</v>
      </c>
      <c r="Q63" s="1587">
        <f>+Q62</f>
        <v>4490306.1000000015</v>
      </c>
      <c r="R63" s="1583">
        <f>+R62</f>
        <v>183277.8</v>
      </c>
      <c r="S63" s="1583">
        <f t="shared" si="7"/>
        <v>4307028.3000000017</v>
      </c>
      <c r="T63" s="1560">
        <f>+Q$30*S63+R63</f>
        <v>617131.3422249048</v>
      </c>
      <c r="U63" s="1587">
        <f>+U62</f>
        <v>5985398.5714285746</v>
      </c>
      <c r="V63" s="1583">
        <f>+V62</f>
        <v>239415.94285714286</v>
      </c>
      <c r="W63" s="1583">
        <f t="shared" si="8"/>
        <v>5745982.6285714321</v>
      </c>
      <c r="X63" s="1560">
        <f>+U$30*W63+V63</f>
        <v>818217.55346380733</v>
      </c>
      <c r="Y63" s="1587">
        <f>+Y62</f>
        <v>10256774.785714278</v>
      </c>
      <c r="Z63" s="1583">
        <f>+Z62</f>
        <v>414415.14285714284</v>
      </c>
      <c r="AA63" s="1583">
        <f t="shared" si="9"/>
        <v>9842359.6428571343</v>
      </c>
      <c r="AB63" s="1560">
        <f>+Y$30*AA63+Z63</f>
        <v>1405851.0697826785</v>
      </c>
      <c r="AC63" s="1587">
        <f>+AC62</f>
        <v>4899652.9999999963</v>
      </c>
      <c r="AD63" s="1583">
        <f>+AD62</f>
        <v>190895.57142857142</v>
      </c>
      <c r="AE63" s="1583">
        <f t="shared" si="10"/>
        <v>4708757.4285714244</v>
      </c>
      <c r="AF63" s="1560">
        <f>+AC$30*AE63+AD63</f>
        <v>665215.90265638009</v>
      </c>
      <c r="AG63" s="1587">
        <f>+AG62</f>
        <v>164801.22857142868</v>
      </c>
      <c r="AH63" s="1583">
        <f>+AH62</f>
        <v>6218.9142857142861</v>
      </c>
      <c r="AI63" s="1583">
        <f t="shared" si="11"/>
        <v>158582.31428571441</v>
      </c>
      <c r="AJ63" s="1560">
        <f>+AG$30*AI63+AH63</f>
        <v>20890.529589524092</v>
      </c>
      <c r="AK63" s="1587">
        <f>+AK62</f>
        <v>3827388.1857142835</v>
      </c>
      <c r="AL63" s="1583">
        <f>+AL62</f>
        <v>144429.74285714285</v>
      </c>
      <c r="AM63" s="1583">
        <f t="shared" si="12"/>
        <v>3682958.4428571407</v>
      </c>
      <c r="AN63" s="1560">
        <f>+AK$30*AM63+AL63</f>
        <v>485167.29418436543</v>
      </c>
      <c r="AO63" s="1587">
        <f>+AO62</f>
        <v>12630162.599999994</v>
      </c>
      <c r="AP63" s="1583">
        <f>+AP62</f>
        <v>467783.8</v>
      </c>
      <c r="AQ63" s="1583">
        <f t="shared" si="13"/>
        <v>12162378.799999993</v>
      </c>
      <c r="AR63" s="1560">
        <f>+AO$30*AQ63+AP63</f>
        <v>1692918.8018436334</v>
      </c>
      <c r="AS63" s="1587">
        <f>+AS62</f>
        <v>8252596.3619047645</v>
      </c>
      <c r="AT63" s="1583">
        <f>+AT62</f>
        <v>301924.25714285712</v>
      </c>
      <c r="AU63" s="1583">
        <f t="shared" si="14"/>
        <v>7950672.1047619078</v>
      </c>
      <c r="AV63" s="1560">
        <f>+AS$30*AU63+AT63</f>
        <v>1037499.3624325562</v>
      </c>
      <c r="AW63" s="1587">
        <f>+AW62</f>
        <v>5547739.3463333342</v>
      </c>
      <c r="AX63" s="1583">
        <f>+AX62</f>
        <v>207049.8</v>
      </c>
      <c r="AY63" s="1583">
        <f t="shared" si="15"/>
        <v>5340689.5463333344</v>
      </c>
      <c r="AZ63" s="1560">
        <f>+AW$30*AY63+AX63</f>
        <v>701156.23824826442</v>
      </c>
      <c r="BA63" s="1587">
        <f>+BA62</f>
        <v>5428295.2952380953</v>
      </c>
      <c r="BB63" s="1583">
        <f>+BB62</f>
        <v>155836.22857142857</v>
      </c>
      <c r="BC63" s="1583">
        <f t="shared" si="16"/>
        <v>5272459.0666666664</v>
      </c>
      <c r="BD63" s="1560">
        <f>+BA$30*BC63+BB63</f>
        <v>643630.16372517892</v>
      </c>
      <c r="BE63" s="1584">
        <f t="shared" si="17"/>
        <v>9973537.9710903615</v>
      </c>
      <c r="BF63" s="1586">
        <f>+BE63</f>
        <v>9973537.9710903615</v>
      </c>
      <c r="BG63" s="1555"/>
      <c r="BI63" s="1589"/>
      <c r="BU63" s="1588"/>
      <c r="BV63" s="1588"/>
      <c r="BW63" s="1588"/>
      <c r="BX63" s="1588"/>
      <c r="BY63" s="1588"/>
    </row>
    <row r="64" spans="1:77" ht="13">
      <c r="A64" s="1527">
        <f t="shared" si="0"/>
        <v>49</v>
      </c>
      <c r="C64" s="1547" t="str">
        <f t="shared" si="2"/>
        <v>Base FCR</v>
      </c>
      <c r="D64" s="1582">
        <f t="shared" si="1"/>
        <v>2022</v>
      </c>
      <c r="E64" s="1583">
        <f>+G63</f>
        <v>9442993.5000000037</v>
      </c>
      <c r="F64" s="1583">
        <f>+E$32</f>
        <v>419688.6</v>
      </c>
      <c r="G64" s="1583">
        <f t="shared" si="4"/>
        <v>9023304.9000000041</v>
      </c>
      <c r="H64" s="22">
        <f>+E$29*G64+F64</f>
        <v>1254500.8478731404</v>
      </c>
      <c r="I64" s="1583">
        <f>+K63</f>
        <v>1992281.1428571432</v>
      </c>
      <c r="J64" s="1583">
        <f>+I$32</f>
        <v>88545.828571428574</v>
      </c>
      <c r="K64" s="1583">
        <f t="shared" si="5"/>
        <v>1903735.3142857146</v>
      </c>
      <c r="L64" s="1560">
        <f>+I$29*K64+J64</f>
        <v>264674.37290049542</v>
      </c>
      <c r="M64" s="1587">
        <f>+O63</f>
        <v>1554889.5</v>
      </c>
      <c r="N64" s="1583">
        <f>+M$32</f>
        <v>69106.2</v>
      </c>
      <c r="O64" s="1583">
        <f t="shared" si="6"/>
        <v>1485783.3</v>
      </c>
      <c r="P64" s="1560">
        <f>+M$29*O64+N64</f>
        <v>206566.931990268</v>
      </c>
      <c r="Q64" s="1587">
        <f>+S63</f>
        <v>4307028.3000000017</v>
      </c>
      <c r="R64" s="1583">
        <f>+Q$32</f>
        <v>183277.8</v>
      </c>
      <c r="S64" s="1583">
        <f t="shared" si="7"/>
        <v>4123750.5000000019</v>
      </c>
      <c r="T64" s="1560">
        <f>+Q$29*S64+R64</f>
        <v>564796.2638804554</v>
      </c>
      <c r="U64" s="1587">
        <f>+W63</f>
        <v>5745982.6285714321</v>
      </c>
      <c r="V64" s="1583">
        <f>+U$32</f>
        <v>239415.94285714286</v>
      </c>
      <c r="W64" s="1583">
        <f t="shared" si="8"/>
        <v>5506566.6857142895</v>
      </c>
      <c r="X64" s="1560">
        <f>+U$29*W64+V64</f>
        <v>748868.89428788668</v>
      </c>
      <c r="Y64" s="1587">
        <f>+AA63</f>
        <v>9842359.6428571343</v>
      </c>
      <c r="Z64" s="1583">
        <f>+Y$32</f>
        <v>414415.14285714284</v>
      </c>
      <c r="AA64" s="1583">
        <f t="shared" si="9"/>
        <v>9427944.4999999907</v>
      </c>
      <c r="AB64" s="1560">
        <f>+Y$29*AA64+Z64</f>
        <v>1286663.5737916001</v>
      </c>
      <c r="AC64" s="1587">
        <f>+AE63</f>
        <v>4708757.4285714244</v>
      </c>
      <c r="AD64" s="1583">
        <f>+AC$32</f>
        <v>190895.57142857142</v>
      </c>
      <c r="AE64" s="1583">
        <f t="shared" si="10"/>
        <v>4517861.8571428526</v>
      </c>
      <c r="AF64" s="1560">
        <f>+AC$29*AE64+AD64</f>
        <v>608876.17325238255</v>
      </c>
      <c r="AG64" s="1587">
        <f>+AI63</f>
        <v>158582.31428571441</v>
      </c>
      <c r="AH64" s="1583">
        <f>+AG$32</f>
        <v>6218.9142857142861</v>
      </c>
      <c r="AI64" s="1583">
        <f t="shared" si="11"/>
        <v>152363.40000000014</v>
      </c>
      <c r="AJ64" s="1560">
        <f>+AG$29*AI64+AH64</f>
        <v>20315.17212662959</v>
      </c>
      <c r="AK64" s="1587">
        <f>+AM63</f>
        <v>3682958.4428571407</v>
      </c>
      <c r="AL64" s="1583">
        <f>+AK$32</f>
        <v>144429.74285714285</v>
      </c>
      <c r="AM64" s="1583">
        <f t="shared" si="12"/>
        <v>3538528.6999999979</v>
      </c>
      <c r="AN64" s="1560">
        <f>+AK$29*AM64+AL64</f>
        <v>471805.03726957238</v>
      </c>
      <c r="AO64" s="1587">
        <f>+AQ63</f>
        <v>12162378.799999993</v>
      </c>
      <c r="AP64" s="1583">
        <f>+AO$32</f>
        <v>467783.8</v>
      </c>
      <c r="AQ64" s="1583">
        <f t="shared" si="13"/>
        <v>11694594.999999993</v>
      </c>
      <c r="AR64" s="1560">
        <f>+AO$29*AQ64+AP64</f>
        <v>1549736.7261297575</v>
      </c>
      <c r="AS64" s="1587">
        <f>+AU63</f>
        <v>7950672.1047619078</v>
      </c>
      <c r="AT64" s="1583">
        <f>+AS$32</f>
        <v>301924.25714285712</v>
      </c>
      <c r="AU64" s="1583">
        <f t="shared" si="14"/>
        <v>7648747.8476190511</v>
      </c>
      <c r="AV64" s="1560">
        <f>+AS$29*AU64+AT64</f>
        <v>1009566.1305861119</v>
      </c>
      <c r="AW64" s="1587">
        <f>+AY63</f>
        <v>5340689.5463333344</v>
      </c>
      <c r="AX64" s="1583">
        <f>+AW$32</f>
        <v>207049.8</v>
      </c>
      <c r="AY64" s="1583">
        <f t="shared" si="15"/>
        <v>5133639.7463333346</v>
      </c>
      <c r="AZ64" s="1560">
        <f>+AW$29*AY64+AX64</f>
        <v>682000.53965719882</v>
      </c>
      <c r="BA64" s="1587">
        <f>+BC63</f>
        <v>5272459.0666666664</v>
      </c>
      <c r="BB64" s="1583">
        <f>+BA$32</f>
        <v>155836.22857142857</v>
      </c>
      <c r="BC64" s="1583">
        <f t="shared" si="16"/>
        <v>5116622.8380952375</v>
      </c>
      <c r="BD64" s="1560">
        <f>+BA$29*BC64+BB64</f>
        <v>629212.60899157054</v>
      </c>
      <c r="BE64" s="1584">
        <f t="shared" si="17"/>
        <v>9297583.2727370691</v>
      </c>
      <c r="BF64" s="1554"/>
      <c r="BG64" s="1585">
        <f>+BE64</f>
        <v>9297583.2727370691</v>
      </c>
      <c r="BU64" s="1588"/>
      <c r="BV64" s="1588"/>
      <c r="BW64" s="1588"/>
      <c r="BX64" s="1588"/>
      <c r="BY64" s="1588"/>
    </row>
    <row r="65" spans="1:77" ht="13">
      <c r="A65" s="1527">
        <f t="shared" si="0"/>
        <v>50</v>
      </c>
      <c r="C65" s="1547" t="str">
        <f t="shared" si="2"/>
        <v>W Increased ROE</v>
      </c>
      <c r="D65" s="1582">
        <f t="shared" si="1"/>
        <v>2022</v>
      </c>
      <c r="E65" s="1583">
        <f>+E64</f>
        <v>9442993.5000000037</v>
      </c>
      <c r="F65" s="1583">
        <f>+F64</f>
        <v>419688.6</v>
      </c>
      <c r="G65" s="1583">
        <f t="shared" si="4"/>
        <v>9023304.9000000041</v>
      </c>
      <c r="H65" s="22">
        <f>+E$30*G65+F65</f>
        <v>1328619.8910807529</v>
      </c>
      <c r="I65" s="1583">
        <f>+I64</f>
        <v>1992281.1428571432</v>
      </c>
      <c r="J65" s="1583">
        <f>+J64</f>
        <v>88545.828571428574</v>
      </c>
      <c r="K65" s="1583">
        <f t="shared" si="5"/>
        <v>1903735.3142857146</v>
      </c>
      <c r="L65" s="1560">
        <f>+I$30*K65+J65</f>
        <v>280311.99587557639</v>
      </c>
      <c r="M65" s="1587">
        <f>+M64</f>
        <v>1554889.5</v>
      </c>
      <c r="N65" s="1583">
        <f>+N64</f>
        <v>69106.2</v>
      </c>
      <c r="O65" s="1583">
        <f t="shared" si="6"/>
        <v>1485783.3</v>
      </c>
      <c r="P65" s="1560">
        <f>+M$30*O65+N65</f>
        <v>218771.42223306681</v>
      </c>
      <c r="Q65" s="1587">
        <f>+Q64</f>
        <v>4307028.3000000017</v>
      </c>
      <c r="R65" s="1583">
        <f>+R64</f>
        <v>183277.8</v>
      </c>
      <c r="S65" s="1583">
        <f t="shared" si="7"/>
        <v>4123750.5000000019</v>
      </c>
      <c r="T65" s="1560">
        <f>+Q$30*S65+R65</f>
        <v>598669.48936427059</v>
      </c>
      <c r="U65" s="1587">
        <f>+U64</f>
        <v>5745982.6285714321</v>
      </c>
      <c r="V65" s="1583">
        <f>+V64</f>
        <v>239415.94285714286</v>
      </c>
      <c r="W65" s="1583">
        <f t="shared" si="8"/>
        <v>5506566.6857142895</v>
      </c>
      <c r="X65" s="1560">
        <f>+U$30*W65+V65</f>
        <v>794100.81968852971</v>
      </c>
      <c r="Y65" s="1587">
        <f>+Y64</f>
        <v>9842359.6428571343</v>
      </c>
      <c r="Z65" s="1583">
        <f>+Z64</f>
        <v>414415.14285714284</v>
      </c>
      <c r="AA65" s="1583">
        <f t="shared" si="9"/>
        <v>9427944.4999999907</v>
      </c>
      <c r="AB65" s="1560">
        <f>+Y$30*AA65+Z65</f>
        <v>1364106.3991752875</v>
      </c>
      <c r="AC65" s="1587">
        <f>+AC64</f>
        <v>4708757.4285714244</v>
      </c>
      <c r="AD65" s="1583">
        <f>+AD64</f>
        <v>190895.57142857142</v>
      </c>
      <c r="AE65" s="1583">
        <f t="shared" si="10"/>
        <v>4517861.8571428526</v>
      </c>
      <c r="AF65" s="1560">
        <f>+AC$30*AE65+AD65</f>
        <v>645986.70003903634</v>
      </c>
      <c r="AG65" s="1587">
        <f>+AG64</f>
        <v>158582.31428571441</v>
      </c>
      <c r="AH65" s="1583">
        <f>+AH64</f>
        <v>6218.9142857142861</v>
      </c>
      <c r="AI65" s="1583">
        <f t="shared" si="11"/>
        <v>152363.40000000014</v>
      </c>
      <c r="AJ65" s="1560">
        <f>+AG$30*AI65+AH65</f>
        <v>20315.17212662959</v>
      </c>
      <c r="AK65" s="1587">
        <f>+AK64</f>
        <v>3682958.4428571407</v>
      </c>
      <c r="AL65" s="1583">
        <f>+AL64</f>
        <v>144429.74285714285</v>
      </c>
      <c r="AM65" s="1583">
        <f t="shared" si="12"/>
        <v>3538528.6999999979</v>
      </c>
      <c r="AN65" s="1560">
        <f>+AK$30*AM65+AL65</f>
        <v>471805.03726957238</v>
      </c>
      <c r="AO65" s="1587">
        <f>+AO64</f>
        <v>12162378.799999993</v>
      </c>
      <c r="AP65" s="1583">
        <f>+AP64</f>
        <v>467783.8</v>
      </c>
      <c r="AQ65" s="1583">
        <f t="shared" si="13"/>
        <v>11694594.999999993</v>
      </c>
      <c r="AR65" s="1560">
        <f>+AO$30*AQ65+AP65</f>
        <v>1645798.2248496474</v>
      </c>
      <c r="AS65" s="1587">
        <f>+AS64</f>
        <v>7950672.1047619078</v>
      </c>
      <c r="AT65" s="1583">
        <f>+AT64</f>
        <v>301924.25714285712</v>
      </c>
      <c r="AU65" s="1583">
        <f t="shared" si="14"/>
        <v>7648747.8476190511</v>
      </c>
      <c r="AV65" s="1560">
        <f>+AS$30*AU65+AT65</f>
        <v>1009566.1305861119</v>
      </c>
      <c r="AW65" s="1587">
        <f>+AW64</f>
        <v>5340689.5463333344</v>
      </c>
      <c r="AX65" s="1583">
        <f>+AX64</f>
        <v>207049.8</v>
      </c>
      <c r="AY65" s="1583">
        <f t="shared" si="15"/>
        <v>5133639.7463333346</v>
      </c>
      <c r="AZ65" s="1560">
        <f>+AW$30*AY65+AX65</f>
        <v>682000.53965719882</v>
      </c>
      <c r="BA65" s="1587">
        <f>+BA64</f>
        <v>5272459.0666666664</v>
      </c>
      <c r="BB65" s="1583">
        <f>+BB64</f>
        <v>155836.22857142857</v>
      </c>
      <c r="BC65" s="1583">
        <f t="shared" si="16"/>
        <v>5116622.8380952375</v>
      </c>
      <c r="BD65" s="1560">
        <f>+BA$30*BC65+BB65</f>
        <v>629212.60899157054</v>
      </c>
      <c r="BE65" s="1584">
        <f t="shared" si="17"/>
        <v>9689264.4309372529</v>
      </c>
      <c r="BF65" s="1586">
        <f>+BE65</f>
        <v>9689264.4309372529</v>
      </c>
      <c r="BG65" s="1555"/>
      <c r="BU65" s="1588"/>
      <c r="BV65" s="1588"/>
      <c r="BW65" s="1588"/>
      <c r="BX65" s="1588"/>
      <c r="BY65" s="1588"/>
    </row>
    <row r="66" spans="1:77" ht="13">
      <c r="A66" s="1527">
        <f t="shared" si="0"/>
        <v>51</v>
      </c>
      <c r="C66" s="1547" t="str">
        <f t="shared" si="2"/>
        <v>Base FCR</v>
      </c>
      <c r="D66" s="1582">
        <f t="shared" si="1"/>
        <v>2023</v>
      </c>
      <c r="E66" s="1583">
        <f>+G65</f>
        <v>9023304.9000000041</v>
      </c>
      <c r="F66" s="1583">
        <f>+E$32</f>
        <v>419688.6</v>
      </c>
      <c r="G66" s="1583">
        <f t="shared" si="4"/>
        <v>8603616.3000000045</v>
      </c>
      <c r="H66" s="22">
        <f>+E$29*G66+F66</f>
        <v>1215672.3712278781</v>
      </c>
      <c r="I66" s="1583">
        <f>+K65</f>
        <v>1903735.3142857146</v>
      </c>
      <c r="J66" s="1583">
        <f>+I$32</f>
        <v>88545.828571428574</v>
      </c>
      <c r="K66" s="1583">
        <f t="shared" si="5"/>
        <v>1815189.4857142861</v>
      </c>
      <c r="L66" s="1560">
        <f>+I$29*K66+J66</f>
        <v>256482.3475828644</v>
      </c>
      <c r="M66" s="1587">
        <f>+O65</f>
        <v>1485783.3</v>
      </c>
      <c r="N66" s="1583">
        <f>+M$32</f>
        <v>69106.2</v>
      </c>
      <c r="O66" s="1583">
        <f t="shared" si="6"/>
        <v>1416677.1</v>
      </c>
      <c r="P66" s="1560">
        <f>+M$29*O66+N66</f>
        <v>200173.40957211598</v>
      </c>
      <c r="Q66" s="1587">
        <f>+S65</f>
        <v>4123750.5000000019</v>
      </c>
      <c r="R66" s="1583">
        <f>+Q$32</f>
        <v>183277.8</v>
      </c>
      <c r="S66" s="1583">
        <f t="shared" si="7"/>
        <v>3940472.700000002</v>
      </c>
      <c r="T66" s="1560">
        <f>+Q$29*S66+R66</f>
        <v>547839.88770799083</v>
      </c>
      <c r="U66" s="1587">
        <f>+W65</f>
        <v>5506566.6857142895</v>
      </c>
      <c r="V66" s="1583">
        <f>+U$32</f>
        <v>239415.94285714286</v>
      </c>
      <c r="W66" s="1583">
        <f t="shared" si="8"/>
        <v>5267150.742857147</v>
      </c>
      <c r="X66" s="1560">
        <f>+U$29*W66+V66</f>
        <v>726718.76596481085</v>
      </c>
      <c r="Y66" s="1587">
        <f>+AA65</f>
        <v>9427944.4999999907</v>
      </c>
      <c r="Z66" s="1583">
        <f>+Y$32</f>
        <v>414415.14285714284</v>
      </c>
      <c r="AA66" s="1583">
        <f t="shared" si="9"/>
        <v>9013529.357142847</v>
      </c>
      <c r="AB66" s="1560">
        <f>+Y$29*AA66+Z66</f>
        <v>1248322.9834208544</v>
      </c>
      <c r="AC66" s="1587">
        <f>+AE65</f>
        <v>4517861.8571428526</v>
      </c>
      <c r="AD66" s="1583">
        <f>+AC$32</f>
        <v>190895.57142857142</v>
      </c>
      <c r="AE66" s="1583">
        <f t="shared" si="10"/>
        <v>4326966.2857142808</v>
      </c>
      <c r="AF66" s="1560">
        <f>+AC$29*AE66+AD66</f>
        <v>591215.02106264397</v>
      </c>
      <c r="AG66" s="1587">
        <f>+AI65</f>
        <v>152363.40000000014</v>
      </c>
      <c r="AH66" s="1583">
        <f>+AG$32</f>
        <v>6218.9142857142861</v>
      </c>
      <c r="AI66" s="1583">
        <f t="shared" si="11"/>
        <v>146144.48571428587</v>
      </c>
      <c r="AJ66" s="1560">
        <f>+AG$29*AI66+AH66</f>
        <v>19739.814663735091</v>
      </c>
      <c r="AK66" s="1587">
        <f>+AM65</f>
        <v>3538528.6999999979</v>
      </c>
      <c r="AL66" s="1583">
        <f>+AK$32</f>
        <v>144429.74285714285</v>
      </c>
      <c r="AM66" s="1583">
        <f t="shared" si="12"/>
        <v>3394098.957142855</v>
      </c>
      <c r="AN66" s="1560">
        <f>+AK$29*AM66+AL66</f>
        <v>458442.78035477933</v>
      </c>
      <c r="AO66" s="1587">
        <f>+AQ65</f>
        <v>11694594.999999993</v>
      </c>
      <c r="AP66" s="1583">
        <f>+AO$32</f>
        <v>467783.8</v>
      </c>
      <c r="AQ66" s="1583">
        <f t="shared" si="13"/>
        <v>11226811.199999992</v>
      </c>
      <c r="AR66" s="1560">
        <f>+AO$29*AQ66+AP66</f>
        <v>1506458.6090845671</v>
      </c>
      <c r="AS66" s="1587">
        <f>+AU65</f>
        <v>7648747.8476190511</v>
      </c>
      <c r="AT66" s="1583">
        <f>+AS$32</f>
        <v>301924.25714285712</v>
      </c>
      <c r="AU66" s="1583">
        <f t="shared" si="14"/>
        <v>7346823.5904761944</v>
      </c>
      <c r="AV66" s="1560">
        <f>+AS$29*AU66+AT66</f>
        <v>981632.89873966784</v>
      </c>
      <c r="AW66" s="1587">
        <f>+AY65</f>
        <v>5133639.7463333346</v>
      </c>
      <c r="AX66" s="1583">
        <f>+AW$32</f>
        <v>207049.8</v>
      </c>
      <c r="AY66" s="1583">
        <f t="shared" si="15"/>
        <v>4926589.9463333348</v>
      </c>
      <c r="AZ66" s="1560">
        <f>+AW$29*AY66+AX66</f>
        <v>662844.84106613346</v>
      </c>
      <c r="BA66" s="1587">
        <f>+BC65</f>
        <v>5116622.8380952375</v>
      </c>
      <c r="BB66" s="1583">
        <f>+BA$32</f>
        <v>155836.22857142857</v>
      </c>
      <c r="BC66" s="1583">
        <f t="shared" si="16"/>
        <v>4960786.6095238086</v>
      </c>
      <c r="BD66" s="1560">
        <f>+BA$29*BC66+BB66</f>
        <v>614795.05425796204</v>
      </c>
      <c r="BE66" s="1584">
        <f t="shared" si="17"/>
        <v>9030338.784706004</v>
      </c>
      <c r="BF66" s="1554"/>
      <c r="BG66" s="1585">
        <f>+BE66</f>
        <v>9030338.784706004</v>
      </c>
      <c r="BU66" s="1588"/>
      <c r="BV66" s="1588"/>
      <c r="BW66" s="1588"/>
      <c r="BX66" s="1588"/>
      <c r="BY66" s="1588"/>
    </row>
    <row r="67" spans="1:77" ht="13">
      <c r="A67" s="1527">
        <f t="shared" si="0"/>
        <v>52</v>
      </c>
      <c r="C67" s="1547" t="str">
        <f t="shared" si="2"/>
        <v>W Increased ROE</v>
      </c>
      <c r="D67" s="1582">
        <f t="shared" si="1"/>
        <v>2023</v>
      </c>
      <c r="E67" s="1583">
        <f>+E66</f>
        <v>9023304.9000000041</v>
      </c>
      <c r="F67" s="1583">
        <f>+F66</f>
        <v>419688.6</v>
      </c>
      <c r="G67" s="1583">
        <f t="shared" si="4"/>
        <v>8603616.3000000045</v>
      </c>
      <c r="H67" s="22">
        <f>+E$30*G67+F67</f>
        <v>1286344.0170769971</v>
      </c>
      <c r="I67" s="1583">
        <f>+I66</f>
        <v>1903735.3142857146</v>
      </c>
      <c r="J67" s="1583">
        <f>+J66</f>
        <v>88545.828571428574</v>
      </c>
      <c r="K67" s="1583">
        <f t="shared" si="5"/>
        <v>1815189.4857142861</v>
      </c>
      <c r="L67" s="1560">
        <f>+I$30*K67+J67</f>
        <v>271392.63925677881</v>
      </c>
      <c r="M67" s="1587">
        <f>+M66</f>
        <v>1485783.3</v>
      </c>
      <c r="N67" s="1583">
        <f>+N66</f>
        <v>69106.2</v>
      </c>
      <c r="O67" s="1583">
        <f t="shared" si="6"/>
        <v>1416677.1</v>
      </c>
      <c r="P67" s="1560">
        <f>+M$30*O67+N67</f>
        <v>211810.24910594744</v>
      </c>
      <c r="Q67" s="1587">
        <f>+Q66</f>
        <v>4123750.5000000019</v>
      </c>
      <c r="R67" s="1583">
        <f>+R66</f>
        <v>183277.8</v>
      </c>
      <c r="S67" s="1583">
        <f t="shared" si="7"/>
        <v>3940472.700000002</v>
      </c>
      <c r="T67" s="1560">
        <f>+Q$30*S67+R67</f>
        <v>580207.63650363625</v>
      </c>
      <c r="U67" s="1587">
        <f>+U66</f>
        <v>5506566.6857142895</v>
      </c>
      <c r="V67" s="1583">
        <f>+V66</f>
        <v>239415.94285714286</v>
      </c>
      <c r="W67" s="1583">
        <f t="shared" si="8"/>
        <v>5267150.742857147</v>
      </c>
      <c r="X67" s="1560">
        <f>+U$30*W67+V67</f>
        <v>769984.08591325209</v>
      </c>
      <c r="Y67" s="1587">
        <f>+Y66</f>
        <v>9427944.4999999907</v>
      </c>
      <c r="Z67" s="1583">
        <f>+Z66</f>
        <v>414415.14285714284</v>
      </c>
      <c r="AA67" s="1583">
        <f t="shared" si="9"/>
        <v>9013529.357142847</v>
      </c>
      <c r="AB67" s="1560">
        <f>+Y$30*AA67+Z67</f>
        <v>1322361.7285678964</v>
      </c>
      <c r="AC67" s="1587">
        <f>+AC66</f>
        <v>4517861.8571428526</v>
      </c>
      <c r="AD67" s="1583">
        <f>+AD66</f>
        <v>190895.57142857142</v>
      </c>
      <c r="AE67" s="1583">
        <f t="shared" si="10"/>
        <v>4326966.2857142808</v>
      </c>
      <c r="AF67" s="1560">
        <f>+AC$30*AE67+AD67</f>
        <v>626757.49742169282</v>
      </c>
      <c r="AG67" s="1587">
        <f>+AG66</f>
        <v>152363.40000000014</v>
      </c>
      <c r="AH67" s="1583">
        <f>+AH66</f>
        <v>6218.9142857142861</v>
      </c>
      <c r="AI67" s="1583">
        <f t="shared" si="11"/>
        <v>146144.48571428587</v>
      </c>
      <c r="AJ67" s="1560">
        <f>+AG$30*AI67+AH67</f>
        <v>19739.814663735091</v>
      </c>
      <c r="AK67" s="1587">
        <f>+AK66</f>
        <v>3538528.6999999979</v>
      </c>
      <c r="AL67" s="1583">
        <f>+AL66</f>
        <v>144429.74285714285</v>
      </c>
      <c r="AM67" s="1583">
        <f t="shared" si="12"/>
        <v>3394098.957142855</v>
      </c>
      <c r="AN67" s="1560">
        <f>+AK$30*AM67+AL67</f>
        <v>458442.78035477933</v>
      </c>
      <c r="AO67" s="1587">
        <f>+AO66</f>
        <v>11694594.999999993</v>
      </c>
      <c r="AP67" s="1583">
        <f>+AP66</f>
        <v>467783.8</v>
      </c>
      <c r="AQ67" s="1583">
        <f t="shared" si="13"/>
        <v>11226811.199999992</v>
      </c>
      <c r="AR67" s="1560">
        <f>+AO$30*AQ67+AP67</f>
        <v>1598677.6478556613</v>
      </c>
      <c r="AS67" s="1587">
        <f>+AS66</f>
        <v>7648747.8476190511</v>
      </c>
      <c r="AT67" s="1583">
        <f>+AT66</f>
        <v>301924.25714285712</v>
      </c>
      <c r="AU67" s="1583">
        <f t="shared" si="14"/>
        <v>7346823.5904761944</v>
      </c>
      <c r="AV67" s="1560">
        <f>+AS$30*AU67+AT67</f>
        <v>981632.89873966784</v>
      </c>
      <c r="AW67" s="1587">
        <f>+AW66</f>
        <v>5133639.7463333346</v>
      </c>
      <c r="AX67" s="1583">
        <f>+AX66</f>
        <v>207049.8</v>
      </c>
      <c r="AY67" s="1583">
        <f t="shared" si="15"/>
        <v>4926589.9463333348</v>
      </c>
      <c r="AZ67" s="1560">
        <f>+AW$30*AY67+AX67</f>
        <v>662844.84106613346</v>
      </c>
      <c r="BA67" s="1587">
        <f>+BA66</f>
        <v>5116622.8380952375</v>
      </c>
      <c r="BB67" s="1583">
        <f>+BB66</f>
        <v>155836.22857142857</v>
      </c>
      <c r="BC67" s="1583">
        <f t="shared" si="16"/>
        <v>4960786.6095238086</v>
      </c>
      <c r="BD67" s="1560">
        <f>+BA$30*BC67+BB67</f>
        <v>614795.05425796204</v>
      </c>
      <c r="BE67" s="1584">
        <f t="shared" si="17"/>
        <v>9404990.8907841407</v>
      </c>
      <c r="BF67" s="1586">
        <f>+BE67</f>
        <v>9404990.8907841407</v>
      </c>
      <c r="BG67" s="1555"/>
      <c r="BU67" s="1588"/>
      <c r="BV67" s="1588"/>
      <c r="BW67" s="1588"/>
      <c r="BX67" s="1588"/>
      <c r="BY67" s="1588"/>
    </row>
    <row r="68" spans="1:77" ht="13">
      <c r="A68" s="1527">
        <f t="shared" si="0"/>
        <v>53</v>
      </c>
      <c r="C68" s="1547" t="str">
        <f t="shared" si="2"/>
        <v>Base FCR</v>
      </c>
      <c r="D68" s="1582">
        <f t="shared" si="1"/>
        <v>2024</v>
      </c>
      <c r="E68" s="1583">
        <f>+G67</f>
        <v>8603616.3000000045</v>
      </c>
      <c r="F68" s="1583">
        <f>+E$32</f>
        <v>419688.6</v>
      </c>
      <c r="G68" s="1583">
        <f t="shared" si="4"/>
        <v>8183927.7000000048</v>
      </c>
      <c r="H68" s="22">
        <f>+E$29*G68+F68</f>
        <v>1176843.8945826157</v>
      </c>
      <c r="I68" s="1583">
        <f>+K67</f>
        <v>1815189.4857142861</v>
      </c>
      <c r="J68" s="1583">
        <f>+I$32</f>
        <v>88545.828571428574</v>
      </c>
      <c r="K68" s="1583">
        <f t="shared" si="5"/>
        <v>1726643.6571428576</v>
      </c>
      <c r="L68" s="1560">
        <f>+I$29*K68+J68</f>
        <v>248290.32226523341</v>
      </c>
      <c r="M68" s="1587">
        <f>+O67</f>
        <v>1416677.1</v>
      </c>
      <c r="N68" s="1583">
        <f>+M$32</f>
        <v>69106.2</v>
      </c>
      <c r="O68" s="1583">
        <f t="shared" si="6"/>
        <v>1347570.9000000001</v>
      </c>
      <c r="P68" s="1560">
        <f>+M$29*O68+N68</f>
        <v>193779.88715396402</v>
      </c>
      <c r="Q68" s="1587">
        <f>+S67</f>
        <v>3940472.700000002</v>
      </c>
      <c r="R68" s="1583">
        <f>+Q$32</f>
        <v>183277.8</v>
      </c>
      <c r="S68" s="1583">
        <f t="shared" si="7"/>
        <v>3757194.9000000022</v>
      </c>
      <c r="T68" s="1560">
        <f>+Q$29*S68+R68</f>
        <v>530883.51153552614</v>
      </c>
      <c r="U68" s="1587">
        <f>+W67</f>
        <v>5267150.742857147</v>
      </c>
      <c r="V68" s="1583">
        <f>+U$32</f>
        <v>239415.94285714286</v>
      </c>
      <c r="W68" s="1583">
        <f t="shared" si="8"/>
        <v>5027734.8000000045</v>
      </c>
      <c r="X68" s="1560">
        <f>+U$29*W68+V68</f>
        <v>704568.63764173514</v>
      </c>
      <c r="Y68" s="1587">
        <f>+AA67</f>
        <v>9013529.357142847</v>
      </c>
      <c r="Z68" s="1583">
        <f>+Y$32</f>
        <v>414415.14285714284</v>
      </c>
      <c r="AA68" s="1583">
        <f t="shared" si="9"/>
        <v>8599114.2142857034</v>
      </c>
      <c r="AB68" s="1560">
        <f>+Y$29*AA68+Z68</f>
        <v>1209982.393050109</v>
      </c>
      <c r="AC68" s="1587">
        <f>+AE67</f>
        <v>4326966.2857142808</v>
      </c>
      <c r="AD68" s="1583">
        <f>+AC$32</f>
        <v>190895.57142857142</v>
      </c>
      <c r="AE68" s="1583">
        <f t="shared" si="10"/>
        <v>4136070.7142857094</v>
      </c>
      <c r="AF68" s="1560">
        <f>+AC$29*AE68+AD68</f>
        <v>573553.8688729055</v>
      </c>
      <c r="AG68" s="1587">
        <f>+AI67</f>
        <v>146144.48571428587</v>
      </c>
      <c r="AH68" s="1583">
        <f>+AG$32</f>
        <v>6218.9142857142861</v>
      </c>
      <c r="AI68" s="1583">
        <f t="shared" si="11"/>
        <v>139925.57142857159</v>
      </c>
      <c r="AJ68" s="1560">
        <f>+AG$29*AI68+AH68</f>
        <v>19164.457200840592</v>
      </c>
      <c r="AK68" s="1587">
        <f>+AM67</f>
        <v>3394098.957142855</v>
      </c>
      <c r="AL68" s="1583">
        <f>+AK$32</f>
        <v>144429.74285714285</v>
      </c>
      <c r="AM68" s="1583">
        <f t="shared" si="12"/>
        <v>3249669.2142857122</v>
      </c>
      <c r="AN68" s="1560">
        <f>+AK$29*AM68+AL68</f>
        <v>445080.52343998628</v>
      </c>
      <c r="AO68" s="1587">
        <f>+AQ67</f>
        <v>11226811.199999992</v>
      </c>
      <c r="AP68" s="1583">
        <f>+AO$32</f>
        <v>467783.8</v>
      </c>
      <c r="AQ68" s="1583">
        <f t="shared" si="13"/>
        <v>10759027.399999991</v>
      </c>
      <c r="AR68" s="1560">
        <f>+AO$29*AQ68+AP68</f>
        <v>1463180.4920393766</v>
      </c>
      <c r="AS68" s="1587">
        <f>+AU67</f>
        <v>7346823.5904761944</v>
      </c>
      <c r="AT68" s="1583">
        <f>+AS$32</f>
        <v>301924.25714285712</v>
      </c>
      <c r="AU68" s="1583">
        <f t="shared" si="14"/>
        <v>7044899.3333333377</v>
      </c>
      <c r="AV68" s="1560">
        <f>+AS$29*AU68+AT68</f>
        <v>953699.66689322353</v>
      </c>
      <c r="AW68" s="1587">
        <f>+AY67</f>
        <v>4926589.9463333348</v>
      </c>
      <c r="AX68" s="1583">
        <f>+AW$32</f>
        <v>207049.8</v>
      </c>
      <c r="AY68" s="1583">
        <f t="shared" si="15"/>
        <v>4719540.146333335</v>
      </c>
      <c r="AZ68" s="1560">
        <f>+AW$29*AY68+AX68</f>
        <v>643689.1424750681</v>
      </c>
      <c r="BA68" s="1587">
        <f>+BC67</f>
        <v>4960786.6095238086</v>
      </c>
      <c r="BB68" s="1583">
        <f>+BA$32</f>
        <v>155836.22857142857</v>
      </c>
      <c r="BC68" s="1583">
        <f t="shared" si="16"/>
        <v>4804950.3809523797</v>
      </c>
      <c r="BD68" s="1560">
        <f>+BA$29*BC68+BB68</f>
        <v>600377.49952435365</v>
      </c>
      <c r="BE68" s="1584">
        <f t="shared" si="17"/>
        <v>8763094.296674937</v>
      </c>
      <c r="BF68" s="1554"/>
      <c r="BG68" s="1585">
        <f>+BE68</f>
        <v>8763094.296674937</v>
      </c>
      <c r="BU68" s="1588"/>
      <c r="BV68" s="1588"/>
      <c r="BW68" s="1588"/>
      <c r="BX68" s="1588"/>
      <c r="BY68" s="1588"/>
    </row>
    <row r="69" spans="1:77" ht="13">
      <c r="A69" s="1527">
        <f t="shared" si="0"/>
        <v>54</v>
      </c>
      <c r="C69" s="1547" t="str">
        <f t="shared" si="2"/>
        <v>W Increased ROE</v>
      </c>
      <c r="D69" s="1582">
        <f t="shared" si="1"/>
        <v>2024</v>
      </c>
      <c r="E69" s="1583">
        <f>+E68</f>
        <v>8603616.3000000045</v>
      </c>
      <c r="F69" s="1583">
        <f>+F68</f>
        <v>419688.6</v>
      </c>
      <c r="G69" s="1583">
        <f t="shared" si="4"/>
        <v>8183927.7000000048</v>
      </c>
      <c r="H69" s="22">
        <f>+E$30*G69+F69</f>
        <v>1244068.143073241</v>
      </c>
      <c r="I69" s="1583">
        <f>+I68</f>
        <v>1815189.4857142861</v>
      </c>
      <c r="J69" s="1583">
        <f>+J68</f>
        <v>88545.828571428574</v>
      </c>
      <c r="K69" s="1583">
        <f t="shared" si="5"/>
        <v>1726643.6571428576</v>
      </c>
      <c r="L69" s="1560">
        <f>+I$30*K69+J69</f>
        <v>262473.28263798123</v>
      </c>
      <c r="M69" s="1587">
        <f>+M68</f>
        <v>1416677.1</v>
      </c>
      <c r="N69" s="1583">
        <f>+N68</f>
        <v>69106.2</v>
      </c>
      <c r="O69" s="1583">
        <f t="shared" si="6"/>
        <v>1347570.9000000001</v>
      </c>
      <c r="P69" s="1560">
        <f>+M$30*O69+N69</f>
        <v>204849.07597882807</v>
      </c>
      <c r="Q69" s="1587">
        <f>+Q68</f>
        <v>3940472.700000002</v>
      </c>
      <c r="R69" s="1583">
        <f>+R68</f>
        <v>183277.8</v>
      </c>
      <c r="S69" s="1583">
        <f t="shared" si="7"/>
        <v>3757194.9000000022</v>
      </c>
      <c r="T69" s="1560">
        <f>+Q$30*S69+R69</f>
        <v>561745.78364300204</v>
      </c>
      <c r="U69" s="1587">
        <f>+U68</f>
        <v>5267150.742857147</v>
      </c>
      <c r="V69" s="1583">
        <f>+V68</f>
        <v>239415.94285714286</v>
      </c>
      <c r="W69" s="1583">
        <f t="shared" si="8"/>
        <v>5027734.8000000045</v>
      </c>
      <c r="X69" s="1560">
        <f>+U$30*W69+V69</f>
        <v>745867.35213797435</v>
      </c>
      <c r="Y69" s="1587">
        <f>+Y68</f>
        <v>9013529.357142847</v>
      </c>
      <c r="Z69" s="1583">
        <f>+Z68</f>
        <v>414415.14285714284</v>
      </c>
      <c r="AA69" s="1583">
        <f t="shared" si="9"/>
        <v>8599114.2142857034</v>
      </c>
      <c r="AB69" s="1560">
        <f>+Y$30*AA69+Z69</f>
        <v>1280617.0579605051</v>
      </c>
      <c r="AC69" s="1587">
        <f>+AC68</f>
        <v>4326966.2857142808</v>
      </c>
      <c r="AD69" s="1583">
        <f>+AD68</f>
        <v>190895.57142857142</v>
      </c>
      <c r="AE69" s="1583">
        <f t="shared" si="10"/>
        <v>4136070.7142857094</v>
      </c>
      <c r="AF69" s="1560">
        <f>+AC$30*AE69+AD69</f>
        <v>607528.29480434908</v>
      </c>
      <c r="AG69" s="1587">
        <f>+AG68</f>
        <v>146144.48571428587</v>
      </c>
      <c r="AH69" s="1583">
        <f>+AH68</f>
        <v>6218.9142857142861</v>
      </c>
      <c r="AI69" s="1583">
        <f t="shared" si="11"/>
        <v>139925.57142857159</v>
      </c>
      <c r="AJ69" s="1560">
        <f>+AG$30*AI69+AH69</f>
        <v>19164.457200840592</v>
      </c>
      <c r="AK69" s="1587">
        <f>+AK68</f>
        <v>3394098.957142855</v>
      </c>
      <c r="AL69" s="1583">
        <f>+AL68</f>
        <v>144429.74285714285</v>
      </c>
      <c r="AM69" s="1583">
        <f t="shared" si="12"/>
        <v>3249669.2142857122</v>
      </c>
      <c r="AN69" s="1560">
        <f>+AK$30*AM69+AL69</f>
        <v>445080.52343998628</v>
      </c>
      <c r="AO69" s="1587">
        <f>+AO68</f>
        <v>11226811.199999992</v>
      </c>
      <c r="AP69" s="1583">
        <f>+AP68</f>
        <v>467783.8</v>
      </c>
      <c r="AQ69" s="1583">
        <f t="shared" si="13"/>
        <v>10759027.399999991</v>
      </c>
      <c r="AR69" s="1560">
        <f>+AO$30*AQ69+AP69</f>
        <v>1551557.0708616753</v>
      </c>
      <c r="AS69" s="1587">
        <f>+AS68</f>
        <v>7346823.5904761944</v>
      </c>
      <c r="AT69" s="1583">
        <f>+AT68</f>
        <v>301924.25714285712</v>
      </c>
      <c r="AU69" s="1583">
        <f t="shared" si="14"/>
        <v>7044899.3333333377</v>
      </c>
      <c r="AV69" s="1560">
        <f>+AS$30*AU69+AT69</f>
        <v>953699.66689322353</v>
      </c>
      <c r="AW69" s="1587">
        <f>+AW68</f>
        <v>4926589.9463333348</v>
      </c>
      <c r="AX69" s="1583">
        <f>+AX68</f>
        <v>207049.8</v>
      </c>
      <c r="AY69" s="1583">
        <f t="shared" si="15"/>
        <v>4719540.146333335</v>
      </c>
      <c r="AZ69" s="1560">
        <f>+AW$30*AY69+AX69</f>
        <v>643689.1424750681</v>
      </c>
      <c r="BA69" s="1587">
        <f>+BA68</f>
        <v>4960786.6095238086</v>
      </c>
      <c r="BB69" s="1583">
        <f>+BB68</f>
        <v>155836.22857142857</v>
      </c>
      <c r="BC69" s="1583">
        <f t="shared" si="16"/>
        <v>4804950.3809523797</v>
      </c>
      <c r="BD69" s="1560">
        <f>+BA$30*BC69+BB69</f>
        <v>600377.49952435365</v>
      </c>
      <c r="BE69" s="1584">
        <f t="shared" si="17"/>
        <v>9120717.3506310303</v>
      </c>
      <c r="BF69" s="1586">
        <f>+BE69</f>
        <v>9120717.3506310303</v>
      </c>
      <c r="BG69" s="1555"/>
      <c r="BU69" s="1588"/>
      <c r="BV69" s="1588"/>
      <c r="BW69" s="1588"/>
      <c r="BX69" s="1588"/>
      <c r="BY69" s="1588"/>
    </row>
    <row r="70" spans="1:77" ht="13">
      <c r="A70" s="1527">
        <f t="shared" si="0"/>
        <v>55</v>
      </c>
      <c r="C70" s="1547" t="str">
        <f t="shared" si="2"/>
        <v>Base FCR</v>
      </c>
      <c r="D70" s="1582">
        <f t="shared" si="1"/>
        <v>2025</v>
      </c>
      <c r="E70" s="1583">
        <f>+G69</f>
        <v>8183927.7000000048</v>
      </c>
      <c r="F70" s="1583">
        <f>+E$32</f>
        <v>419688.6</v>
      </c>
      <c r="G70" s="1583">
        <f t="shared" si="4"/>
        <v>7764239.1000000052</v>
      </c>
      <c r="H70" s="22">
        <f>+E$29*G70+F70</f>
        <v>1138015.4179373535</v>
      </c>
      <c r="I70" s="1583">
        <f>+K69</f>
        <v>1726643.6571428576</v>
      </c>
      <c r="J70" s="1583">
        <f>+I$32</f>
        <v>88545.828571428574</v>
      </c>
      <c r="K70" s="1583">
        <f t="shared" si="5"/>
        <v>1638097.828571429</v>
      </c>
      <c r="L70" s="1560">
        <f>+I$29*K70+J70</f>
        <v>240098.29694760239</v>
      </c>
      <c r="M70" s="1587">
        <f>+O69</f>
        <v>1347570.9000000001</v>
      </c>
      <c r="N70" s="1583">
        <f>+M$32</f>
        <v>69106.2</v>
      </c>
      <c r="O70" s="1583">
        <f t="shared" si="6"/>
        <v>1278464.7000000002</v>
      </c>
      <c r="P70" s="1560">
        <f>+M$29*O70+N70</f>
        <v>187386.36473581201</v>
      </c>
      <c r="Q70" s="1587">
        <f>+S69</f>
        <v>3757194.9000000022</v>
      </c>
      <c r="R70" s="1583">
        <f>+Q$32</f>
        <v>183277.8</v>
      </c>
      <c r="S70" s="1583">
        <f t="shared" si="7"/>
        <v>3573917.1000000024</v>
      </c>
      <c r="T70" s="1560">
        <f>+Q$29*S70+R70</f>
        <v>513927.13536306145</v>
      </c>
      <c r="U70" s="1587">
        <f>+W69</f>
        <v>5027734.8000000045</v>
      </c>
      <c r="V70" s="1583">
        <f>+U$32</f>
        <v>239415.94285714286</v>
      </c>
      <c r="W70" s="1583">
        <f t="shared" si="8"/>
        <v>4788318.8571428619</v>
      </c>
      <c r="X70" s="1560">
        <f>+U$29*W70+V70</f>
        <v>682418.50931865931</v>
      </c>
      <c r="Y70" s="1587">
        <f>+AA69</f>
        <v>8599114.2142857034</v>
      </c>
      <c r="Z70" s="1583">
        <f>+Y$32</f>
        <v>414415.14285714284</v>
      </c>
      <c r="AA70" s="1583">
        <f t="shared" si="9"/>
        <v>8184699.0714285607</v>
      </c>
      <c r="AB70" s="1560">
        <f>+Y$29*AA70+Z70</f>
        <v>1171641.8026793636</v>
      </c>
      <c r="AC70" s="1587">
        <f>+AE69</f>
        <v>4136070.7142857094</v>
      </c>
      <c r="AD70" s="1583">
        <f>+AC$32</f>
        <v>190895.57142857142</v>
      </c>
      <c r="AE70" s="1583">
        <f t="shared" si="10"/>
        <v>3945175.1428571381</v>
      </c>
      <c r="AF70" s="1560">
        <f>+AC$29*AE70+AD70</f>
        <v>555892.71668316703</v>
      </c>
      <c r="AG70" s="1587">
        <f>+AI69</f>
        <v>139925.57142857159</v>
      </c>
      <c r="AH70" s="1583">
        <f>+AG$32</f>
        <v>6218.9142857142861</v>
      </c>
      <c r="AI70" s="1583">
        <f t="shared" si="11"/>
        <v>133706.65714285732</v>
      </c>
      <c r="AJ70" s="1560">
        <f>+AG$29*AI70+AH70</f>
        <v>18589.09973794609</v>
      </c>
      <c r="AK70" s="1587">
        <f>+AM69</f>
        <v>3249669.2142857122</v>
      </c>
      <c r="AL70" s="1583">
        <f>+AK$32</f>
        <v>144429.74285714285</v>
      </c>
      <c r="AM70" s="1583">
        <f t="shared" si="12"/>
        <v>3105239.4714285694</v>
      </c>
      <c r="AN70" s="1560">
        <f>+AK$29*AM70+AL70</f>
        <v>431718.26652519323</v>
      </c>
      <c r="AO70" s="1587">
        <f>+AQ69</f>
        <v>10759027.399999991</v>
      </c>
      <c r="AP70" s="1583">
        <f>+AO$32</f>
        <v>467783.8</v>
      </c>
      <c r="AQ70" s="1583">
        <f t="shared" si="13"/>
        <v>10291243.59999999</v>
      </c>
      <c r="AR70" s="1560">
        <f>+AO$29*AQ70+AP70</f>
        <v>1419902.3749941862</v>
      </c>
      <c r="AS70" s="1587">
        <f>+AU69</f>
        <v>7044899.3333333377</v>
      </c>
      <c r="AT70" s="1583">
        <f>+AS$32</f>
        <v>301924.25714285712</v>
      </c>
      <c r="AU70" s="1583">
        <f t="shared" si="14"/>
        <v>6742975.076190481</v>
      </c>
      <c r="AV70" s="1560">
        <f>+AS$29*AU70+AT70</f>
        <v>925766.43504677922</v>
      </c>
      <c r="AW70" s="1587">
        <f>+AY69</f>
        <v>4719540.146333335</v>
      </c>
      <c r="AX70" s="1583">
        <f>+AW$32</f>
        <v>207049.8</v>
      </c>
      <c r="AY70" s="1583">
        <f t="shared" si="15"/>
        <v>4512490.3463333352</v>
      </c>
      <c r="AZ70" s="1560">
        <f>+AW$29*AY70+AX70</f>
        <v>624533.44388400251</v>
      </c>
      <c r="BA70" s="1587">
        <f>+BC69</f>
        <v>4804950.3809523797</v>
      </c>
      <c r="BB70" s="1583">
        <f>+BA$32</f>
        <v>155836.22857142857</v>
      </c>
      <c r="BC70" s="1583">
        <f t="shared" si="16"/>
        <v>4649114.1523809507</v>
      </c>
      <c r="BD70" s="1560">
        <f>+BA$29*BC70+BB70</f>
        <v>585959.94479074515</v>
      </c>
      <c r="BE70" s="1584">
        <f t="shared" si="17"/>
        <v>8495849.8086438701</v>
      </c>
      <c r="BF70" s="1554"/>
      <c r="BG70" s="1585">
        <f>+BE70</f>
        <v>8495849.8086438701</v>
      </c>
      <c r="BU70" s="1588"/>
      <c r="BV70" s="1588"/>
      <c r="BW70" s="1588"/>
      <c r="BX70" s="1588"/>
      <c r="BY70" s="1588"/>
    </row>
    <row r="71" spans="1:77" ht="13">
      <c r="A71" s="1527">
        <f t="shared" si="0"/>
        <v>56</v>
      </c>
      <c r="C71" s="1547" t="str">
        <f t="shared" si="2"/>
        <v>W Increased ROE</v>
      </c>
      <c r="D71" s="1582">
        <f t="shared" si="1"/>
        <v>2025</v>
      </c>
      <c r="E71" s="1583">
        <f>+E70</f>
        <v>8183927.7000000048</v>
      </c>
      <c r="F71" s="1583">
        <f>+F70</f>
        <v>419688.6</v>
      </c>
      <c r="G71" s="1583">
        <f t="shared" si="4"/>
        <v>7764239.1000000052</v>
      </c>
      <c r="H71" s="22">
        <f>+E$30*G71+F71</f>
        <v>1201792.2690694851</v>
      </c>
      <c r="I71" s="1583">
        <f>+I70</f>
        <v>1726643.6571428576</v>
      </c>
      <c r="J71" s="1583">
        <f>+J70</f>
        <v>88545.828571428574</v>
      </c>
      <c r="K71" s="1583">
        <f t="shared" si="5"/>
        <v>1638097.828571429</v>
      </c>
      <c r="L71" s="1560">
        <f>+I$30*K71+J71</f>
        <v>253553.92601918365</v>
      </c>
      <c r="M71" s="1587">
        <f>+M70</f>
        <v>1347570.9000000001</v>
      </c>
      <c r="N71" s="1583">
        <f>+N70</f>
        <v>69106.2</v>
      </c>
      <c r="O71" s="1583">
        <f t="shared" si="6"/>
        <v>1278464.7000000002</v>
      </c>
      <c r="P71" s="1560">
        <f>+M$30*O71+N71</f>
        <v>197887.9028517087</v>
      </c>
      <c r="Q71" s="1587">
        <f>+Q70</f>
        <v>3757194.9000000022</v>
      </c>
      <c r="R71" s="1583">
        <f>+R70</f>
        <v>183277.8</v>
      </c>
      <c r="S71" s="1583">
        <f t="shared" si="7"/>
        <v>3573917.1000000024</v>
      </c>
      <c r="T71" s="1560">
        <f>+Q$30*S71+R71</f>
        <v>543283.93078236782</v>
      </c>
      <c r="U71" s="1587">
        <f>+U70</f>
        <v>5027734.8000000045</v>
      </c>
      <c r="V71" s="1583">
        <f>+V70</f>
        <v>239415.94285714286</v>
      </c>
      <c r="W71" s="1583">
        <f t="shared" si="8"/>
        <v>4788318.8571428619</v>
      </c>
      <c r="X71" s="1560">
        <f>+U$30*W71+V71</f>
        <v>721750.61836269672</v>
      </c>
      <c r="Y71" s="1587">
        <f>+Y70</f>
        <v>8599114.2142857034</v>
      </c>
      <c r="Z71" s="1583">
        <f>+Z70</f>
        <v>414415.14285714284</v>
      </c>
      <c r="AA71" s="1583">
        <f t="shared" si="9"/>
        <v>8184699.0714285607</v>
      </c>
      <c r="AB71" s="1560">
        <f>+Y$30*AA71+Z71</f>
        <v>1238872.3873531143</v>
      </c>
      <c r="AC71" s="1587">
        <f>+AC70</f>
        <v>4136070.7142857094</v>
      </c>
      <c r="AD71" s="1583">
        <f>+AD70</f>
        <v>190895.57142857142</v>
      </c>
      <c r="AE71" s="1583">
        <f t="shared" si="10"/>
        <v>3945175.1428571381</v>
      </c>
      <c r="AF71" s="1560">
        <f>+AC$30*AE71+AD71</f>
        <v>588299.09218700556</v>
      </c>
      <c r="AG71" s="1587">
        <f>+AG70</f>
        <v>139925.57142857159</v>
      </c>
      <c r="AH71" s="1583">
        <f>+AH70</f>
        <v>6218.9142857142861</v>
      </c>
      <c r="AI71" s="1583">
        <f t="shared" si="11"/>
        <v>133706.65714285732</v>
      </c>
      <c r="AJ71" s="1560">
        <f>+AG$30*AI71+AH71</f>
        <v>18589.09973794609</v>
      </c>
      <c r="AK71" s="1587">
        <f>+AK70</f>
        <v>3249669.2142857122</v>
      </c>
      <c r="AL71" s="1583">
        <f>+AL70</f>
        <v>144429.74285714285</v>
      </c>
      <c r="AM71" s="1583">
        <f t="shared" si="12"/>
        <v>3105239.4714285694</v>
      </c>
      <c r="AN71" s="1560">
        <f>+AK$30*AM71+AL71</f>
        <v>431718.26652519323</v>
      </c>
      <c r="AO71" s="1587">
        <f>+AO70</f>
        <v>10759027.399999991</v>
      </c>
      <c r="AP71" s="1583">
        <f>+AP70</f>
        <v>467783.8</v>
      </c>
      <c r="AQ71" s="1583">
        <f t="shared" si="13"/>
        <v>10291243.59999999</v>
      </c>
      <c r="AR71" s="1560">
        <f>+AO$30*AQ71+AP71</f>
        <v>1504436.4938676893</v>
      </c>
      <c r="AS71" s="1587">
        <f>+AS70</f>
        <v>7044899.3333333377</v>
      </c>
      <c r="AT71" s="1583">
        <f>+AT70</f>
        <v>301924.25714285712</v>
      </c>
      <c r="AU71" s="1583">
        <f t="shared" si="14"/>
        <v>6742975.076190481</v>
      </c>
      <c r="AV71" s="1560">
        <f>+AS$30*AU71+AT71</f>
        <v>925766.43504677922</v>
      </c>
      <c r="AW71" s="1587">
        <f>+AW70</f>
        <v>4719540.146333335</v>
      </c>
      <c r="AX71" s="1583">
        <f>+AX70</f>
        <v>207049.8</v>
      </c>
      <c r="AY71" s="1583">
        <f t="shared" si="15"/>
        <v>4512490.3463333352</v>
      </c>
      <c r="AZ71" s="1560">
        <f>+AW$30*AY71+AX71</f>
        <v>624533.44388400251</v>
      </c>
      <c r="BA71" s="1587">
        <f>+BA70</f>
        <v>4804950.3809523797</v>
      </c>
      <c r="BB71" s="1583">
        <f>+BB70</f>
        <v>155836.22857142857</v>
      </c>
      <c r="BC71" s="1583">
        <f t="shared" si="16"/>
        <v>4649114.1523809507</v>
      </c>
      <c r="BD71" s="1560">
        <f>+BA$30*BC71+BB71</f>
        <v>585959.94479074515</v>
      </c>
      <c r="BE71" s="1584">
        <f t="shared" si="17"/>
        <v>8836443.8104779162</v>
      </c>
      <c r="BF71" s="1586">
        <f>+BE71</f>
        <v>8836443.8104779162</v>
      </c>
      <c r="BG71" s="1555"/>
      <c r="BU71" s="1588"/>
      <c r="BV71" s="1588"/>
      <c r="BW71" s="1588"/>
      <c r="BX71" s="1588"/>
      <c r="BY71" s="1588"/>
    </row>
    <row r="72" spans="1:77" ht="13">
      <c r="A72" s="1527">
        <f t="shared" si="0"/>
        <v>57</v>
      </c>
      <c r="C72" s="1547" t="str">
        <f t="shared" si="2"/>
        <v>Base FCR</v>
      </c>
      <c r="D72" s="1582">
        <f t="shared" si="1"/>
        <v>2026</v>
      </c>
      <c r="E72" s="1583">
        <f>+G71</f>
        <v>7764239.1000000052</v>
      </c>
      <c r="F72" s="1583">
        <f>+E$32</f>
        <v>419688.6</v>
      </c>
      <c r="G72" s="1583">
        <f t="shared" si="4"/>
        <v>7344550.5000000056</v>
      </c>
      <c r="H72" s="22">
        <f>+E$29*G72+F72</f>
        <v>1099186.9412920913</v>
      </c>
      <c r="I72" s="1583">
        <f>+K71</f>
        <v>1638097.828571429</v>
      </c>
      <c r="J72" s="1583">
        <f>+I$32</f>
        <v>88545.828571428574</v>
      </c>
      <c r="K72" s="1583">
        <f t="shared" si="5"/>
        <v>1549552.0000000005</v>
      </c>
      <c r="L72" s="1560">
        <f>+I$29*K72+J72</f>
        <v>231906.27162997136</v>
      </c>
      <c r="M72" s="1587">
        <f>+O71</f>
        <v>1278464.7000000002</v>
      </c>
      <c r="N72" s="1583">
        <f>+M$32</f>
        <v>69106.2</v>
      </c>
      <c r="O72" s="1583">
        <f t="shared" si="6"/>
        <v>1209358.5000000002</v>
      </c>
      <c r="P72" s="1560">
        <f>+M$29*O72+N72</f>
        <v>180992.84231766002</v>
      </c>
      <c r="Q72" s="1587">
        <f>+S71</f>
        <v>3573917.1000000024</v>
      </c>
      <c r="R72" s="1583">
        <f>+Q$32</f>
        <v>183277.8</v>
      </c>
      <c r="S72" s="1583">
        <f t="shared" si="7"/>
        <v>3390639.3000000026</v>
      </c>
      <c r="T72" s="1560">
        <f>+Q$29*S72+R72</f>
        <v>496970.75919059681</v>
      </c>
      <c r="U72" s="1587">
        <f>+W71</f>
        <v>4788318.8571428619</v>
      </c>
      <c r="V72" s="1583">
        <f>+U$32</f>
        <v>239415.94285714286</v>
      </c>
      <c r="W72" s="1583">
        <f t="shared" si="8"/>
        <v>4548902.9142857194</v>
      </c>
      <c r="X72" s="1560">
        <f>+U$29*W72+V72</f>
        <v>660268.3809955836</v>
      </c>
      <c r="Y72" s="1587">
        <f>+AA71</f>
        <v>8184699.0714285607</v>
      </c>
      <c r="Z72" s="1583">
        <f>+Y$32</f>
        <v>414415.14285714284</v>
      </c>
      <c r="AA72" s="1583">
        <f t="shared" si="9"/>
        <v>7770283.9285714179</v>
      </c>
      <c r="AB72" s="1560">
        <f>+Y$29*AA72+Z72</f>
        <v>1133301.2123086182</v>
      </c>
      <c r="AC72" s="1587">
        <f>+AE71</f>
        <v>3945175.1428571381</v>
      </c>
      <c r="AD72" s="1583">
        <f>+AC$32</f>
        <v>190895.57142857142</v>
      </c>
      <c r="AE72" s="1583">
        <f t="shared" si="10"/>
        <v>3754279.5714285667</v>
      </c>
      <c r="AF72" s="1560">
        <f>+AC$29*AE72+AD72</f>
        <v>538231.56449342845</v>
      </c>
      <c r="AG72" s="1587">
        <f>+AI71</f>
        <v>133706.65714285732</v>
      </c>
      <c r="AH72" s="1583">
        <f>+AG$32</f>
        <v>6218.9142857142861</v>
      </c>
      <c r="AI72" s="1583">
        <f t="shared" si="11"/>
        <v>127487.74285714304</v>
      </c>
      <c r="AJ72" s="1560">
        <f>+AG$29*AI72+AH72</f>
        <v>18013.742275051587</v>
      </c>
      <c r="AK72" s="1587">
        <f>+AM71</f>
        <v>3105239.4714285694</v>
      </c>
      <c r="AL72" s="1583">
        <f>+AK$32</f>
        <v>144429.74285714285</v>
      </c>
      <c r="AM72" s="1583">
        <f t="shared" si="12"/>
        <v>2960809.7285714266</v>
      </c>
      <c r="AN72" s="1560">
        <f>+AK$29*AM72+AL72</f>
        <v>418356.00961040019</v>
      </c>
      <c r="AO72" s="1587">
        <f>+AQ71</f>
        <v>10291243.59999999</v>
      </c>
      <c r="AP72" s="1583">
        <f>+AO$32</f>
        <v>467783.8</v>
      </c>
      <c r="AQ72" s="1583">
        <f t="shared" si="13"/>
        <v>9823459.7999999896</v>
      </c>
      <c r="AR72" s="1560">
        <f>+AO$29*AQ72+AP72</f>
        <v>1376624.2579489958</v>
      </c>
      <c r="AS72" s="1587">
        <f>+AU71</f>
        <v>6742975.076190481</v>
      </c>
      <c r="AT72" s="1583">
        <f>+AS$32</f>
        <v>301924.25714285712</v>
      </c>
      <c r="AU72" s="1583">
        <f t="shared" si="14"/>
        <v>6441050.8190476242</v>
      </c>
      <c r="AV72" s="1560">
        <f>+AS$29*AU72+AT72</f>
        <v>897833.20320033515</v>
      </c>
      <c r="AW72" s="1587">
        <f>+AY71</f>
        <v>4512490.3463333352</v>
      </c>
      <c r="AX72" s="1583">
        <f>+AW$32</f>
        <v>207049.8</v>
      </c>
      <c r="AY72" s="1583">
        <f t="shared" si="15"/>
        <v>4305440.5463333353</v>
      </c>
      <c r="AZ72" s="1560">
        <f>+AW$29*AY72+AX72</f>
        <v>605377.74529293715</v>
      </c>
      <c r="BA72" s="1587">
        <f>+BC71</f>
        <v>4649114.1523809507</v>
      </c>
      <c r="BB72" s="1583">
        <f>+BA$32</f>
        <v>155836.22857142857</v>
      </c>
      <c r="BC72" s="1583">
        <f t="shared" si="16"/>
        <v>4493277.9238095218</v>
      </c>
      <c r="BD72" s="1560">
        <f>+BA$29*BC72+BB72</f>
        <v>571542.39005713677</v>
      </c>
      <c r="BE72" s="1584">
        <f t="shared" si="17"/>
        <v>8228605.3206128068</v>
      </c>
      <c r="BF72" s="1554"/>
      <c r="BG72" s="1585">
        <f>+BE72</f>
        <v>8228605.3206128068</v>
      </c>
      <c r="BU72" s="1588"/>
      <c r="BV72" s="1588"/>
      <c r="BW72" s="1588"/>
      <c r="BX72" s="1588"/>
      <c r="BY72" s="1588"/>
    </row>
    <row r="73" spans="1:77" ht="13">
      <c r="A73" s="1527">
        <f t="shared" si="0"/>
        <v>58</v>
      </c>
      <c r="C73" s="1547" t="str">
        <f t="shared" si="2"/>
        <v>W Increased ROE</v>
      </c>
      <c r="D73" s="1582">
        <f t="shared" si="1"/>
        <v>2026</v>
      </c>
      <c r="E73" s="1583">
        <f>+E72</f>
        <v>7764239.1000000052</v>
      </c>
      <c r="F73" s="1583">
        <f>+F72</f>
        <v>419688.6</v>
      </c>
      <c r="G73" s="1583">
        <f t="shared" si="4"/>
        <v>7344550.5000000056</v>
      </c>
      <c r="H73" s="22">
        <f>+E$30*G73+F73</f>
        <v>1159516.3950657293</v>
      </c>
      <c r="I73" s="1583">
        <f>+I72</f>
        <v>1638097.828571429</v>
      </c>
      <c r="J73" s="1583">
        <f>+J72</f>
        <v>88545.828571428574</v>
      </c>
      <c r="K73" s="1583">
        <f t="shared" si="5"/>
        <v>1549552.0000000005</v>
      </c>
      <c r="L73" s="1560">
        <f>+I$30*K73+J73</f>
        <v>244634.5694003861</v>
      </c>
      <c r="M73" s="1587">
        <f>+M72</f>
        <v>1278464.7000000002</v>
      </c>
      <c r="N73" s="1583">
        <f>+N72</f>
        <v>69106.2</v>
      </c>
      <c r="O73" s="1583">
        <f t="shared" si="6"/>
        <v>1209358.5000000002</v>
      </c>
      <c r="P73" s="1560">
        <f>+M$30*O73+N73</f>
        <v>190926.7297245893</v>
      </c>
      <c r="Q73" s="1587">
        <f>+Q72</f>
        <v>3573917.1000000024</v>
      </c>
      <c r="R73" s="1583">
        <f>+R72</f>
        <v>183277.8</v>
      </c>
      <c r="S73" s="1583">
        <f t="shared" si="7"/>
        <v>3390639.3000000026</v>
      </c>
      <c r="T73" s="1560">
        <f>+Q$30*S73+R73</f>
        <v>524822.07792173361</v>
      </c>
      <c r="U73" s="1587">
        <f>+U72</f>
        <v>4788318.8571428619</v>
      </c>
      <c r="V73" s="1583">
        <f>+V72</f>
        <v>239415.94285714286</v>
      </c>
      <c r="W73" s="1583">
        <f t="shared" si="8"/>
        <v>4548902.9142857194</v>
      </c>
      <c r="X73" s="1560">
        <f>+U$30*W73+V73</f>
        <v>697633.8845874191</v>
      </c>
      <c r="Y73" s="1587">
        <f>+Y72</f>
        <v>8184699.0714285607</v>
      </c>
      <c r="Z73" s="1583">
        <f>+Z72</f>
        <v>414415.14285714284</v>
      </c>
      <c r="AA73" s="1583">
        <f t="shared" si="9"/>
        <v>7770283.9285714179</v>
      </c>
      <c r="AB73" s="1560">
        <f>+Y$30*AA73+Z73</f>
        <v>1197127.7167457233</v>
      </c>
      <c r="AC73" s="1587">
        <f>+AC72</f>
        <v>3945175.1428571381</v>
      </c>
      <c r="AD73" s="1583">
        <f>+AD72</f>
        <v>190895.57142857142</v>
      </c>
      <c r="AE73" s="1583">
        <f t="shared" si="10"/>
        <v>3754279.5714285667</v>
      </c>
      <c r="AF73" s="1560">
        <f>+AC$30*AE73+AD73</f>
        <v>569069.88956966193</v>
      </c>
      <c r="AG73" s="1587">
        <f>+AG72</f>
        <v>133706.65714285732</v>
      </c>
      <c r="AH73" s="1583">
        <f>+AH72</f>
        <v>6218.9142857142861</v>
      </c>
      <c r="AI73" s="1583">
        <f t="shared" si="11"/>
        <v>127487.74285714304</v>
      </c>
      <c r="AJ73" s="1560">
        <f>+AG$30*AI73+AH73</f>
        <v>18013.742275051587</v>
      </c>
      <c r="AK73" s="1587">
        <f>+AK72</f>
        <v>3105239.4714285694</v>
      </c>
      <c r="AL73" s="1583">
        <f>+AL72</f>
        <v>144429.74285714285</v>
      </c>
      <c r="AM73" s="1583">
        <f t="shared" si="12"/>
        <v>2960809.7285714266</v>
      </c>
      <c r="AN73" s="1560">
        <f>+AK$30*AM73+AL73</f>
        <v>418356.00961040019</v>
      </c>
      <c r="AO73" s="1587">
        <f>+AO72</f>
        <v>10291243.59999999</v>
      </c>
      <c r="AP73" s="1583">
        <f>+AP72</f>
        <v>467783.8</v>
      </c>
      <c r="AQ73" s="1583">
        <f t="shared" si="13"/>
        <v>9823459.7999999896</v>
      </c>
      <c r="AR73" s="1560">
        <f>+AO$30*AQ73+AP73</f>
        <v>1457315.9168737035</v>
      </c>
      <c r="AS73" s="1587">
        <f>+AS72</f>
        <v>6742975.076190481</v>
      </c>
      <c r="AT73" s="1583">
        <f>+AT72</f>
        <v>301924.25714285712</v>
      </c>
      <c r="AU73" s="1583">
        <f t="shared" si="14"/>
        <v>6441050.8190476242</v>
      </c>
      <c r="AV73" s="1560">
        <f>+AS$30*AU73+AT73</f>
        <v>897833.20320033515</v>
      </c>
      <c r="AW73" s="1587">
        <f>+AW72</f>
        <v>4512490.3463333352</v>
      </c>
      <c r="AX73" s="1583">
        <f>+AX72</f>
        <v>207049.8</v>
      </c>
      <c r="AY73" s="1583">
        <f t="shared" si="15"/>
        <v>4305440.5463333353</v>
      </c>
      <c r="AZ73" s="1560">
        <f>+AW$30*AY73+AX73</f>
        <v>605377.74529293715</v>
      </c>
      <c r="BA73" s="1587">
        <f>+BA72</f>
        <v>4649114.1523809507</v>
      </c>
      <c r="BB73" s="1583">
        <f>+BB72</f>
        <v>155836.22857142857</v>
      </c>
      <c r="BC73" s="1583">
        <f t="shared" si="16"/>
        <v>4493277.9238095218</v>
      </c>
      <c r="BD73" s="1560">
        <f>+BA$30*BC73+BB73</f>
        <v>571542.39005713677</v>
      </c>
      <c r="BE73" s="1584">
        <f t="shared" si="17"/>
        <v>8552170.2703248076</v>
      </c>
      <c r="BF73" s="1586">
        <f>+BE73</f>
        <v>8552170.2703248076</v>
      </c>
      <c r="BG73" s="1555"/>
      <c r="BU73" s="1588"/>
      <c r="BV73" s="1588"/>
      <c r="BW73" s="1588"/>
      <c r="BX73" s="1588"/>
      <c r="BY73" s="1588"/>
    </row>
    <row r="74" spans="1:77" ht="13">
      <c r="A74" s="1527">
        <f t="shared" si="0"/>
        <v>59</v>
      </c>
      <c r="C74" s="1547" t="str">
        <f t="shared" si="2"/>
        <v>Base FCR</v>
      </c>
      <c r="D74" s="1582">
        <f t="shared" si="1"/>
        <v>2027</v>
      </c>
      <c r="E74" s="1583">
        <f>+G73</f>
        <v>7344550.5000000056</v>
      </c>
      <c r="F74" s="1583">
        <f>+E$32</f>
        <v>419688.6</v>
      </c>
      <c r="G74" s="1583">
        <f t="shared" si="4"/>
        <v>6924861.900000006</v>
      </c>
      <c r="H74" s="22">
        <f>+E$29*G74+F74</f>
        <v>1060358.4646468288</v>
      </c>
      <c r="I74" s="1583">
        <f>+K73</f>
        <v>1549552.0000000005</v>
      </c>
      <c r="J74" s="1583">
        <f>+I$32</f>
        <v>88545.828571428574</v>
      </c>
      <c r="K74" s="1583">
        <f t="shared" si="5"/>
        <v>1461006.1714285719</v>
      </c>
      <c r="L74" s="1560">
        <f>+I$29*K74+J74</f>
        <v>223714.24631234037</v>
      </c>
      <c r="M74" s="1587">
        <f>+O73</f>
        <v>1209358.5000000002</v>
      </c>
      <c r="N74" s="1583">
        <f>+M$32</f>
        <v>69106.2</v>
      </c>
      <c r="O74" s="1583">
        <f t="shared" si="6"/>
        <v>1140252.3000000003</v>
      </c>
      <c r="P74" s="1560">
        <f>+M$29*O74+N74</f>
        <v>174599.31989950803</v>
      </c>
      <c r="Q74" s="1587">
        <f>+S73</f>
        <v>3390639.3000000026</v>
      </c>
      <c r="R74" s="1583">
        <f>+Q$32</f>
        <v>183277.8</v>
      </c>
      <c r="S74" s="1583">
        <f t="shared" si="7"/>
        <v>3207361.5000000028</v>
      </c>
      <c r="T74" s="1560">
        <f>+Q$29*S74+R74</f>
        <v>480014.38301813212</v>
      </c>
      <c r="U74" s="1587">
        <f>+W73</f>
        <v>4548902.9142857194</v>
      </c>
      <c r="V74" s="1583">
        <f>+U$32</f>
        <v>239415.94285714286</v>
      </c>
      <c r="W74" s="1583">
        <f t="shared" si="8"/>
        <v>4309486.9714285769</v>
      </c>
      <c r="X74" s="1560">
        <f>+U$29*W74+V74</f>
        <v>638118.25267250778</v>
      </c>
      <c r="Y74" s="1587">
        <f>+AA73</f>
        <v>7770283.9285714179</v>
      </c>
      <c r="Z74" s="1583">
        <f>+Y$32</f>
        <v>414415.14285714284</v>
      </c>
      <c r="AA74" s="1583">
        <f t="shared" si="9"/>
        <v>7355868.7857142752</v>
      </c>
      <c r="AB74" s="1560">
        <f>+Y$29*AA74+Z74</f>
        <v>1094960.6219378728</v>
      </c>
      <c r="AC74" s="1587">
        <f>+AE73</f>
        <v>3754279.5714285667</v>
      </c>
      <c r="AD74" s="1583">
        <f>+AC$32</f>
        <v>190895.57142857142</v>
      </c>
      <c r="AE74" s="1583">
        <f t="shared" si="10"/>
        <v>3563383.9999999953</v>
      </c>
      <c r="AF74" s="1560">
        <f>+AC$29*AE74+AD74</f>
        <v>520570.41230368993</v>
      </c>
      <c r="AG74" s="1587">
        <f>+AI73</f>
        <v>127487.74285714304</v>
      </c>
      <c r="AH74" s="1583">
        <f>+AG$32</f>
        <v>6218.9142857142861</v>
      </c>
      <c r="AI74" s="1583">
        <f t="shared" si="11"/>
        <v>121268.82857142875</v>
      </c>
      <c r="AJ74" s="1560">
        <f>+AG$29*AI74+AH74</f>
        <v>17438.384812157088</v>
      </c>
      <c r="AK74" s="1587">
        <f>+AM73</f>
        <v>2960809.7285714266</v>
      </c>
      <c r="AL74" s="1583">
        <f>+AK$32</f>
        <v>144429.74285714285</v>
      </c>
      <c r="AM74" s="1583">
        <f t="shared" si="12"/>
        <v>2816379.9857142838</v>
      </c>
      <c r="AN74" s="1560">
        <f>+AK$29*AM74+AL74</f>
        <v>404993.75269560714</v>
      </c>
      <c r="AO74" s="1587">
        <f>+AQ73</f>
        <v>9823459.7999999896</v>
      </c>
      <c r="AP74" s="1583">
        <f>+AO$32</f>
        <v>467783.8</v>
      </c>
      <c r="AQ74" s="1583">
        <f t="shared" si="13"/>
        <v>9355675.9999999888</v>
      </c>
      <c r="AR74" s="1560">
        <f>+AO$29*AQ74+AP74</f>
        <v>1333346.1409038054</v>
      </c>
      <c r="AS74" s="1587">
        <f>+AU73</f>
        <v>6441050.8190476242</v>
      </c>
      <c r="AT74" s="1583">
        <f>+AS$32</f>
        <v>301924.25714285712</v>
      </c>
      <c r="AU74" s="1583">
        <f t="shared" si="14"/>
        <v>6139126.5619047675</v>
      </c>
      <c r="AV74" s="1560">
        <f>+AS$29*AU74+AT74</f>
        <v>869899.97135389084</v>
      </c>
      <c r="AW74" s="1587">
        <f>+AY73</f>
        <v>4305440.5463333353</v>
      </c>
      <c r="AX74" s="1583">
        <f>+AW$32</f>
        <v>207049.8</v>
      </c>
      <c r="AY74" s="1583">
        <f t="shared" si="15"/>
        <v>4098390.7463333355</v>
      </c>
      <c r="AZ74" s="1560">
        <f>+AW$29*AY74+AX74</f>
        <v>586222.04670187167</v>
      </c>
      <c r="BA74" s="1587">
        <f>+BC73</f>
        <v>4493277.9238095218</v>
      </c>
      <c r="BB74" s="1583">
        <f>+BA$32</f>
        <v>155836.22857142857</v>
      </c>
      <c r="BC74" s="1583">
        <f t="shared" si="16"/>
        <v>4337441.6952380929</v>
      </c>
      <c r="BD74" s="1560">
        <f>+BA$29*BC74+BB74</f>
        <v>557124.83532352839</v>
      </c>
      <c r="BE74" s="1584">
        <f t="shared" si="17"/>
        <v>7961360.8325817399</v>
      </c>
      <c r="BF74" s="1554"/>
      <c r="BG74" s="1585">
        <f>+BE74</f>
        <v>7961360.8325817399</v>
      </c>
      <c r="BU74" s="1588"/>
      <c r="BV74" s="1588"/>
      <c r="BW74" s="1588"/>
      <c r="BX74" s="1588"/>
      <c r="BY74" s="1588"/>
    </row>
    <row r="75" spans="1:77" ht="13">
      <c r="A75" s="1527">
        <f t="shared" si="0"/>
        <v>60</v>
      </c>
      <c r="C75" s="1547" t="str">
        <f t="shared" si="2"/>
        <v>W Increased ROE</v>
      </c>
      <c r="D75" s="1582">
        <f t="shared" si="1"/>
        <v>2027</v>
      </c>
      <c r="E75" s="1583">
        <f>+E74</f>
        <v>7344550.5000000056</v>
      </c>
      <c r="F75" s="1583">
        <f>+F74</f>
        <v>419688.6</v>
      </c>
      <c r="G75" s="1583">
        <f t="shared" si="4"/>
        <v>6924861.900000006</v>
      </c>
      <c r="H75" s="22">
        <f>+E$30*G75+F75</f>
        <v>1117240.5210619734</v>
      </c>
      <c r="I75" s="1583">
        <f>+I74</f>
        <v>1549552.0000000005</v>
      </c>
      <c r="J75" s="1583">
        <f>+J74</f>
        <v>88545.828571428574</v>
      </c>
      <c r="K75" s="1583">
        <f t="shared" si="5"/>
        <v>1461006.1714285719</v>
      </c>
      <c r="L75" s="1560">
        <f>+I$30*K75+J75</f>
        <v>235715.21278158852</v>
      </c>
      <c r="M75" s="1587">
        <f>+M74</f>
        <v>1209358.5000000002</v>
      </c>
      <c r="N75" s="1583">
        <f>+N74</f>
        <v>69106.2</v>
      </c>
      <c r="O75" s="1583">
        <f t="shared" si="6"/>
        <v>1140252.3000000003</v>
      </c>
      <c r="P75" s="1560">
        <f>+M$30*O75+N75</f>
        <v>183965.5565974699</v>
      </c>
      <c r="Q75" s="1587">
        <f>+Q74</f>
        <v>3390639.3000000026</v>
      </c>
      <c r="R75" s="1583">
        <f>+R74</f>
        <v>183277.8</v>
      </c>
      <c r="S75" s="1583">
        <f t="shared" si="7"/>
        <v>3207361.5000000028</v>
      </c>
      <c r="T75" s="1560">
        <f>+Q$30*S75+R75</f>
        <v>506360.22506109939</v>
      </c>
      <c r="U75" s="1587">
        <f>+U74</f>
        <v>4548902.9142857194</v>
      </c>
      <c r="V75" s="1583">
        <f>+V74</f>
        <v>239415.94285714286</v>
      </c>
      <c r="W75" s="1583">
        <f t="shared" si="8"/>
        <v>4309486.9714285769</v>
      </c>
      <c r="X75" s="1560">
        <f>+U$30*W75+V75</f>
        <v>673517.15081214148</v>
      </c>
      <c r="Y75" s="1587">
        <f>+Y74</f>
        <v>7770283.9285714179</v>
      </c>
      <c r="Z75" s="1583">
        <f>+Z74</f>
        <v>414415.14285714284</v>
      </c>
      <c r="AA75" s="1583">
        <f t="shared" si="9"/>
        <v>7355868.7857142752</v>
      </c>
      <c r="AB75" s="1560">
        <f>+Y$30*AA75+Z75</f>
        <v>1155383.0461383322</v>
      </c>
      <c r="AC75" s="1587">
        <f>+AC74</f>
        <v>3754279.5714285667</v>
      </c>
      <c r="AD75" s="1583">
        <f>+AD74</f>
        <v>190895.57142857142</v>
      </c>
      <c r="AE75" s="1583">
        <f t="shared" si="10"/>
        <v>3563383.9999999953</v>
      </c>
      <c r="AF75" s="1560">
        <f>+AC$30*AE75+AD75</f>
        <v>549840.6869523183</v>
      </c>
      <c r="AG75" s="1587">
        <f>+AG74</f>
        <v>127487.74285714304</v>
      </c>
      <c r="AH75" s="1583">
        <f>+AH74</f>
        <v>6218.9142857142861</v>
      </c>
      <c r="AI75" s="1583">
        <f t="shared" si="11"/>
        <v>121268.82857142875</v>
      </c>
      <c r="AJ75" s="1560">
        <f>+AG$30*AI75+AH75</f>
        <v>17438.384812157088</v>
      </c>
      <c r="AK75" s="1587">
        <f>+AK74</f>
        <v>2960809.7285714266</v>
      </c>
      <c r="AL75" s="1583">
        <f>+AL74</f>
        <v>144429.74285714285</v>
      </c>
      <c r="AM75" s="1583">
        <f t="shared" si="12"/>
        <v>2816379.9857142838</v>
      </c>
      <c r="AN75" s="1560">
        <f>+AK$30*AM75+AL75</f>
        <v>404993.75269560714</v>
      </c>
      <c r="AO75" s="1587">
        <f>+AO74</f>
        <v>9823459.7999999896</v>
      </c>
      <c r="AP75" s="1583">
        <f>+AP74</f>
        <v>467783.8</v>
      </c>
      <c r="AQ75" s="1583">
        <f t="shared" si="13"/>
        <v>9355675.9999999888</v>
      </c>
      <c r="AR75" s="1560">
        <f>+AO$30*AQ75+AP75</f>
        <v>1410195.3398797174</v>
      </c>
      <c r="AS75" s="1587">
        <f>+AS74</f>
        <v>6441050.8190476242</v>
      </c>
      <c r="AT75" s="1583">
        <f>+AT74</f>
        <v>301924.25714285712</v>
      </c>
      <c r="AU75" s="1583">
        <f t="shared" si="14"/>
        <v>6139126.5619047675</v>
      </c>
      <c r="AV75" s="1560">
        <f>+AS$30*AU75+AT75</f>
        <v>869899.97135389084</v>
      </c>
      <c r="AW75" s="1587">
        <f>+AW74</f>
        <v>4305440.5463333353</v>
      </c>
      <c r="AX75" s="1583">
        <f>+AX74</f>
        <v>207049.8</v>
      </c>
      <c r="AY75" s="1583">
        <f t="shared" si="15"/>
        <v>4098390.7463333355</v>
      </c>
      <c r="AZ75" s="1560">
        <f>+AW$30*AY75+AX75</f>
        <v>586222.04670187167</v>
      </c>
      <c r="BA75" s="1587">
        <f>+BA74</f>
        <v>4493277.9238095218</v>
      </c>
      <c r="BB75" s="1583">
        <f>+BB74</f>
        <v>155836.22857142857</v>
      </c>
      <c r="BC75" s="1583">
        <f t="shared" si="16"/>
        <v>4337441.6952380929</v>
      </c>
      <c r="BD75" s="1560">
        <f>+BA$30*BC75+BB75</f>
        <v>557124.83532352839</v>
      </c>
      <c r="BE75" s="1584">
        <f t="shared" si="17"/>
        <v>8267896.7301716954</v>
      </c>
      <c r="BF75" s="1586">
        <f>+BE75</f>
        <v>8267896.7301716954</v>
      </c>
      <c r="BG75" s="1555"/>
      <c r="BU75" s="1588"/>
      <c r="BV75" s="1588"/>
      <c r="BW75" s="1588"/>
      <c r="BX75" s="1588"/>
      <c r="BY75" s="1588"/>
    </row>
    <row r="76" spans="1:77" ht="13">
      <c r="A76" s="1527">
        <f t="shared" si="0"/>
        <v>61</v>
      </c>
      <c r="C76" s="1547"/>
      <c r="D76" s="1593" t="s">
        <v>1569</v>
      </c>
      <c r="E76" s="1594" t="s">
        <v>1569</v>
      </c>
      <c r="F76" s="1594" t="s">
        <v>1569</v>
      </c>
      <c r="G76" s="1594" t="s">
        <v>1570</v>
      </c>
      <c r="H76" s="1595" t="s">
        <v>1569</v>
      </c>
      <c r="I76" s="1594" t="s">
        <v>1569</v>
      </c>
      <c r="J76" s="1594" t="s">
        <v>1569</v>
      </c>
      <c r="K76" s="1594" t="s">
        <v>1570</v>
      </c>
      <c r="L76" s="1595" t="s">
        <v>1569</v>
      </c>
      <c r="M76" s="1594" t="s">
        <v>1569</v>
      </c>
      <c r="N76" s="1594" t="s">
        <v>1569</v>
      </c>
      <c r="O76" s="1594" t="s">
        <v>1570</v>
      </c>
      <c r="P76" s="1595" t="s">
        <v>1569</v>
      </c>
      <c r="Q76" s="1594" t="s">
        <v>1569</v>
      </c>
      <c r="R76" s="1594" t="s">
        <v>1569</v>
      </c>
      <c r="S76" s="1594" t="s">
        <v>1570</v>
      </c>
      <c r="T76" s="1595" t="s">
        <v>1569</v>
      </c>
      <c r="U76" s="1594" t="s">
        <v>1569</v>
      </c>
      <c r="V76" s="1594" t="s">
        <v>1569</v>
      </c>
      <c r="W76" s="1594" t="s">
        <v>1570</v>
      </c>
      <c r="X76" s="1595" t="s">
        <v>1569</v>
      </c>
      <c r="Y76" s="1594" t="s">
        <v>1569</v>
      </c>
      <c r="Z76" s="1594" t="s">
        <v>1569</v>
      </c>
      <c r="AA76" s="1594" t="s">
        <v>1570</v>
      </c>
      <c r="AB76" s="1595" t="s">
        <v>1569</v>
      </c>
      <c r="AC76" s="1594" t="s">
        <v>1569</v>
      </c>
      <c r="AD76" s="1594" t="s">
        <v>1569</v>
      </c>
      <c r="AE76" s="1594" t="s">
        <v>1570</v>
      </c>
      <c r="AF76" s="1595" t="s">
        <v>1569</v>
      </c>
      <c r="AG76" s="1594" t="s">
        <v>1569</v>
      </c>
      <c r="AH76" s="1594" t="s">
        <v>1569</v>
      </c>
      <c r="AI76" s="1594" t="s">
        <v>1570</v>
      </c>
      <c r="AJ76" s="1595" t="s">
        <v>1569</v>
      </c>
      <c r="AK76" s="1594" t="s">
        <v>1569</v>
      </c>
      <c r="AL76" s="1594" t="s">
        <v>1569</v>
      </c>
      <c r="AM76" s="1594" t="s">
        <v>1570</v>
      </c>
      <c r="AN76" s="1595" t="s">
        <v>1569</v>
      </c>
      <c r="AO76" s="1594" t="s">
        <v>1569</v>
      </c>
      <c r="AP76" s="1594" t="s">
        <v>1569</v>
      </c>
      <c r="AQ76" s="1594" t="s">
        <v>1570</v>
      </c>
      <c r="AR76" s="1595" t="s">
        <v>1569</v>
      </c>
      <c r="AS76" s="1594" t="s">
        <v>1569</v>
      </c>
      <c r="AT76" s="1594" t="s">
        <v>1569</v>
      </c>
      <c r="AU76" s="1594" t="s">
        <v>1570</v>
      </c>
      <c r="AV76" s="1595" t="s">
        <v>1569</v>
      </c>
      <c r="AW76" s="1594" t="s">
        <v>1569</v>
      </c>
      <c r="AX76" s="1594" t="s">
        <v>1569</v>
      </c>
      <c r="AY76" s="1594" t="s">
        <v>1570</v>
      </c>
      <c r="AZ76" s="1595" t="s">
        <v>1569</v>
      </c>
      <c r="BA76" s="1594" t="s">
        <v>1569</v>
      </c>
      <c r="BB76" s="1594" t="s">
        <v>1569</v>
      </c>
      <c r="BC76" s="1594" t="s">
        <v>1570</v>
      </c>
      <c r="BD76" s="1595" t="s">
        <v>1569</v>
      </c>
      <c r="BE76" s="1584"/>
      <c r="BF76" s="1554"/>
      <c r="BG76" s="1585">
        <f>+BE76</f>
        <v>0</v>
      </c>
      <c r="BP76" s="1527" t="s">
        <v>1569</v>
      </c>
      <c r="BQ76" s="1527" t="s">
        <v>1569</v>
      </c>
      <c r="BR76" s="1527" t="s">
        <v>1570</v>
      </c>
      <c r="BS76" s="1527" t="s">
        <v>1569</v>
      </c>
    </row>
    <row r="77" spans="1:77" ht="13.5" thickBot="1">
      <c r="A77" s="1527">
        <f t="shared" si="0"/>
        <v>62</v>
      </c>
      <c r="C77" s="1547"/>
      <c r="D77" s="1596" t="s">
        <v>1569</v>
      </c>
      <c r="E77" s="1597" t="s">
        <v>1569</v>
      </c>
      <c r="F77" s="1597" t="s">
        <v>1570</v>
      </c>
      <c r="G77" s="1597" t="s">
        <v>1570</v>
      </c>
      <c r="H77" s="1598" t="s">
        <v>1569</v>
      </c>
      <c r="I77" s="1597" t="s">
        <v>1569</v>
      </c>
      <c r="J77" s="1597" t="s">
        <v>1570</v>
      </c>
      <c r="K77" s="1597" t="s">
        <v>1570</v>
      </c>
      <c r="L77" s="1598" t="s">
        <v>1569</v>
      </c>
      <c r="M77" s="1597" t="s">
        <v>1569</v>
      </c>
      <c r="N77" s="1597" t="s">
        <v>1570</v>
      </c>
      <c r="O77" s="1597" t="s">
        <v>1570</v>
      </c>
      <c r="P77" s="1598" t="s">
        <v>1569</v>
      </c>
      <c r="Q77" s="1597" t="s">
        <v>1569</v>
      </c>
      <c r="R77" s="1597" t="s">
        <v>1570</v>
      </c>
      <c r="S77" s="1597" t="s">
        <v>1570</v>
      </c>
      <c r="T77" s="1598" t="s">
        <v>1569</v>
      </c>
      <c r="U77" s="1597" t="s">
        <v>1569</v>
      </c>
      <c r="V77" s="1597" t="s">
        <v>1570</v>
      </c>
      <c r="W77" s="1597" t="s">
        <v>1570</v>
      </c>
      <c r="X77" s="1598" t="s">
        <v>1569</v>
      </c>
      <c r="Y77" s="1597" t="s">
        <v>1569</v>
      </c>
      <c r="Z77" s="1597" t="s">
        <v>1570</v>
      </c>
      <c r="AA77" s="1597" t="s">
        <v>1570</v>
      </c>
      <c r="AB77" s="1598" t="s">
        <v>1569</v>
      </c>
      <c r="AC77" s="1597" t="s">
        <v>1569</v>
      </c>
      <c r="AD77" s="1597" t="s">
        <v>1570</v>
      </c>
      <c r="AE77" s="1597" t="s">
        <v>1570</v>
      </c>
      <c r="AF77" s="1598" t="s">
        <v>1569</v>
      </c>
      <c r="AG77" s="1597" t="s">
        <v>1569</v>
      </c>
      <c r="AH77" s="1597" t="s">
        <v>1570</v>
      </c>
      <c r="AI77" s="1597" t="s">
        <v>1570</v>
      </c>
      <c r="AJ77" s="1598" t="s">
        <v>1569</v>
      </c>
      <c r="AK77" s="1597" t="s">
        <v>1569</v>
      </c>
      <c r="AL77" s="1597" t="s">
        <v>1570</v>
      </c>
      <c r="AM77" s="1597" t="s">
        <v>1570</v>
      </c>
      <c r="AN77" s="1598" t="s">
        <v>1569</v>
      </c>
      <c r="AO77" s="1597" t="s">
        <v>1569</v>
      </c>
      <c r="AP77" s="1597" t="s">
        <v>1570</v>
      </c>
      <c r="AQ77" s="1597" t="s">
        <v>1570</v>
      </c>
      <c r="AR77" s="1598" t="s">
        <v>1569</v>
      </c>
      <c r="AS77" s="1597" t="s">
        <v>1569</v>
      </c>
      <c r="AT77" s="1597" t="s">
        <v>1570</v>
      </c>
      <c r="AU77" s="1597" t="s">
        <v>1570</v>
      </c>
      <c r="AV77" s="1598" t="s">
        <v>1569</v>
      </c>
      <c r="AW77" s="1597" t="s">
        <v>1569</v>
      </c>
      <c r="AX77" s="1597" t="s">
        <v>1570</v>
      </c>
      <c r="AY77" s="1597" t="s">
        <v>1570</v>
      </c>
      <c r="AZ77" s="1598" t="s">
        <v>1569</v>
      </c>
      <c r="BA77" s="1597" t="s">
        <v>1569</v>
      </c>
      <c r="BB77" s="1597" t="s">
        <v>1570</v>
      </c>
      <c r="BC77" s="1597" t="s">
        <v>1570</v>
      </c>
      <c r="BD77" s="1598" t="s">
        <v>1569</v>
      </c>
      <c r="BE77" s="1599"/>
      <c r="BF77" s="1600">
        <f>+BE77</f>
        <v>0</v>
      </c>
      <c r="BG77" s="1576"/>
    </row>
    <row r="78" spans="1:77" ht="13">
      <c r="A78" s="1527">
        <f>A77+1</f>
        <v>63</v>
      </c>
      <c r="C78" s="1554"/>
      <c r="D78" s="1556"/>
      <c r="E78" s="1554"/>
      <c r="F78" s="1554"/>
      <c r="G78" s="1554"/>
      <c r="H78" s="1601"/>
      <c r="I78" s="1601"/>
      <c r="J78" s="1601"/>
      <c r="K78" s="1601"/>
      <c r="L78" s="1601"/>
      <c r="M78" s="1554"/>
      <c r="N78" s="1554"/>
      <c r="O78" s="1554"/>
      <c r="P78" s="1554"/>
      <c r="Q78" s="1554"/>
      <c r="R78" s="1554"/>
      <c r="S78" s="1554"/>
      <c r="T78" s="1554"/>
      <c r="U78" s="1554"/>
      <c r="V78" s="1554"/>
      <c r="W78" s="1554"/>
      <c r="X78" s="1554"/>
      <c r="Y78" s="1554"/>
      <c r="Z78" s="1554"/>
      <c r="AA78" s="1554"/>
      <c r="AB78" s="1554"/>
      <c r="AC78" s="1554"/>
      <c r="AD78" s="1554"/>
      <c r="AE78" s="1554"/>
      <c r="AF78" s="1554"/>
      <c r="AG78" s="1554"/>
      <c r="AH78" s="1554"/>
      <c r="AI78" s="1554"/>
      <c r="AJ78" s="1554"/>
      <c r="AK78" s="1554"/>
      <c r="AL78" s="1554"/>
      <c r="AM78" s="1554"/>
      <c r="AN78" s="1554"/>
      <c r="AO78" s="1554"/>
      <c r="AP78" s="1554"/>
      <c r="AQ78" s="1554"/>
      <c r="AR78" s="1554"/>
      <c r="AS78" s="1554"/>
      <c r="AT78" s="1554"/>
      <c r="AU78" s="1554"/>
      <c r="AV78" s="1554"/>
      <c r="AW78" s="1554"/>
      <c r="AX78" s="1554"/>
      <c r="AY78" s="1554"/>
      <c r="AZ78" s="1554"/>
      <c r="BA78" s="1554"/>
      <c r="BB78" s="1554"/>
      <c r="BC78" s="1554"/>
      <c r="BD78" s="1554"/>
      <c r="BE78" s="1554"/>
      <c r="BF78" s="1602">
        <f>SUM(BF36:BF75)</f>
        <v>227567500.9832319</v>
      </c>
      <c r="BG78" s="1602">
        <f>SUM(BG36:BG75)</f>
        <v>218977267.69269288</v>
      </c>
    </row>
    <row r="80" spans="1:77">
      <c r="BF80" s="1603"/>
    </row>
    <row r="310" spans="8:12">
      <c r="H310" s="1604"/>
      <c r="I310" s="1604"/>
      <c r="J310" s="1604"/>
      <c r="K310" s="1604"/>
      <c r="L310" s="1604"/>
    </row>
    <row r="311" spans="8:12">
      <c r="H311" s="1604"/>
      <c r="I311" s="1604"/>
      <c r="J311" s="1604"/>
      <c r="K311" s="1604"/>
      <c r="L311" s="1604"/>
    </row>
    <row r="312" spans="8:12">
      <c r="H312" s="1604"/>
      <c r="I312" s="1604"/>
      <c r="J312" s="1604"/>
      <c r="K312" s="1604"/>
      <c r="L312" s="1604"/>
    </row>
    <row r="313" spans="8:12">
      <c r="H313" s="1604"/>
      <c r="I313" s="1604"/>
      <c r="J313" s="1604"/>
      <c r="K313" s="1604"/>
      <c r="L313" s="1604"/>
    </row>
    <row r="314" spans="8:12">
      <c r="H314" s="1604"/>
      <c r="I314" s="1604"/>
      <c r="J314" s="1604"/>
      <c r="K314" s="1604"/>
      <c r="L314" s="1604"/>
    </row>
    <row r="315" spans="8:12">
      <c r="H315" s="1604"/>
      <c r="I315" s="1604"/>
      <c r="J315" s="1604"/>
      <c r="K315" s="1604"/>
      <c r="L315" s="1604"/>
    </row>
    <row r="316" spans="8:12">
      <c r="H316" s="1604"/>
      <c r="I316" s="1604"/>
      <c r="J316" s="1604"/>
      <c r="K316" s="1604"/>
      <c r="L316" s="1604"/>
    </row>
    <row r="317" spans="8:12">
      <c r="H317" s="1604"/>
      <c r="I317" s="1604"/>
      <c r="J317" s="1604"/>
      <c r="K317" s="1604"/>
      <c r="L317" s="1604"/>
    </row>
    <row r="318" spans="8:12">
      <c r="H318" s="1604"/>
      <c r="I318" s="1604"/>
      <c r="J318" s="1604"/>
      <c r="K318" s="1604"/>
      <c r="L318" s="1604"/>
    </row>
  </sheetData>
  <mergeCells count="5">
    <mergeCell ref="C23:BE23"/>
    <mergeCell ref="E24:H24"/>
    <mergeCell ref="I24:L24"/>
    <mergeCell ref="M24:P24"/>
    <mergeCell ref="C33:D33"/>
  </mergeCells>
  <printOptions horizontalCentered="1"/>
  <pageMargins left="0.25" right="0.25" top="0.25" bottom="0.25" header="0.5" footer="0.5"/>
  <pageSetup scale="53" fitToWidth="4" fitToHeight="4" orientation="landscape" r:id="rId1"/>
  <headerFooter alignWithMargins="0"/>
  <colBreaks count="3" manualBreakCount="3">
    <brk id="20" max="1048575" man="1"/>
    <brk id="32" max="1048575" man="1"/>
    <brk id="5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activeCell="G87" sqref="G87"/>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873" t="str">
        <f>+'ATT H-3D'!$A$4</f>
        <v>Delmarva Power &amp; Light Company</v>
      </c>
      <c r="B1" s="1873"/>
      <c r="C1" s="1873"/>
      <c r="D1" s="1873"/>
      <c r="E1" s="1873"/>
      <c r="F1" s="1873"/>
    </row>
    <row r="2" spans="1:8">
      <c r="A2" s="1"/>
    </row>
    <row r="3" spans="1:8" ht="15.5">
      <c r="A3" s="1870" t="s">
        <v>0</v>
      </c>
      <c r="B3" s="1973"/>
      <c r="C3" s="1973"/>
      <c r="D3" s="1973"/>
      <c r="E3" s="1973"/>
      <c r="F3" s="1973"/>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387</v>
      </c>
      <c r="D14" s="1"/>
      <c r="E14" s="1484">
        <v>0</v>
      </c>
      <c r="F14" s="1"/>
    </row>
    <row r="15" spans="1:8">
      <c r="E15" s="1485"/>
    </row>
    <row r="16" spans="1:8">
      <c r="E16" s="1485"/>
    </row>
    <row r="17" spans="1:6">
      <c r="C17" t="s">
        <v>3</v>
      </c>
      <c r="E17" s="1485"/>
    </row>
    <row r="18" spans="1:6">
      <c r="A18" s="1">
        <v>112</v>
      </c>
      <c r="C18" s="1" t="s">
        <v>407</v>
      </c>
      <c r="D18" s="1"/>
      <c r="E18" s="1484">
        <v>0</v>
      </c>
      <c r="F18" s="1"/>
    </row>
    <row r="21" spans="1:6">
      <c r="C21" s="5" t="s">
        <v>4</v>
      </c>
      <c r="D21" s="5"/>
      <c r="E21" s="5"/>
    </row>
    <row r="22" spans="1:6">
      <c r="D22" s="7"/>
      <c r="E22" s="7"/>
      <c r="F22" s="7"/>
    </row>
    <row r="23" spans="1:6">
      <c r="D23" s="7"/>
      <c r="E23" s="7"/>
      <c r="F23" s="7"/>
    </row>
    <row r="24" spans="1:6">
      <c r="D24" s="1483"/>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6"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2"/>
  <sheetViews>
    <sheetView zoomScale="91" zoomScaleNormal="91" zoomScaleSheetLayoutView="70" workbookViewId="0">
      <selection activeCell="G87" sqref="G87"/>
    </sheetView>
  </sheetViews>
  <sheetFormatPr defaultColWidth="11.453125" defaultRowHeight="13"/>
  <cols>
    <col min="1" max="1" width="6.26953125" style="598" customWidth="1"/>
    <col min="2" max="2" width="58.1796875" style="599" customWidth="1"/>
    <col min="3" max="3" width="31" style="599" customWidth="1"/>
    <col min="4" max="4" width="24.7265625" style="599" customWidth="1"/>
    <col min="5" max="5" width="20.54296875" style="599" customWidth="1"/>
    <col min="6" max="6" width="22.26953125" style="599" customWidth="1"/>
    <col min="7" max="7" width="23.453125" style="599" customWidth="1"/>
    <col min="8" max="9" width="23.1796875" style="599" customWidth="1"/>
    <col min="10" max="10" width="27.54296875" style="599" customWidth="1"/>
    <col min="11" max="11" width="26.1796875" style="599" customWidth="1"/>
    <col min="12" max="12" width="21" style="599" customWidth="1"/>
    <col min="13" max="13" width="20.26953125" style="599" customWidth="1"/>
    <col min="14" max="16" width="15.1796875" style="599" customWidth="1"/>
    <col min="17" max="16384" width="11.453125" style="599"/>
  </cols>
  <sheetData>
    <row r="1" spans="1:17">
      <c r="D1" s="600"/>
      <c r="E1" s="600"/>
      <c r="G1" s="601" t="s">
        <v>557</v>
      </c>
      <c r="H1" s="600"/>
      <c r="I1" s="945"/>
      <c r="J1" s="600"/>
    </row>
    <row r="2" spans="1:17">
      <c r="A2" s="603"/>
      <c r="D2" s="600"/>
      <c r="E2" s="600"/>
      <c r="F2" s="600"/>
      <c r="G2" s="604" t="s">
        <v>505</v>
      </c>
      <c r="H2" s="600"/>
      <c r="I2" s="600"/>
      <c r="J2" s="600"/>
      <c r="K2" s="600"/>
      <c r="M2" s="605"/>
      <c r="P2" s="600"/>
    </row>
    <row r="3" spans="1:17">
      <c r="A3" s="603"/>
      <c r="D3" s="600"/>
      <c r="E3" s="600"/>
      <c r="F3" s="600"/>
      <c r="G3" s="604" t="str">
        <f>+'ATT H-3D'!$A$4</f>
        <v>Delmarva Power &amp; Light Company</v>
      </c>
      <c r="H3" s="604"/>
      <c r="I3" s="604"/>
      <c r="J3" s="604"/>
      <c r="K3" s="604"/>
      <c r="L3" s="604"/>
      <c r="P3" s="600"/>
    </row>
    <row r="4" spans="1:17">
      <c r="A4" s="603"/>
      <c r="D4" s="600"/>
      <c r="E4" s="600"/>
      <c r="F4" s="600"/>
      <c r="G4" s="600"/>
      <c r="H4" s="600"/>
      <c r="I4" s="600"/>
      <c r="J4" s="600"/>
      <c r="K4" s="600"/>
      <c r="P4" s="600"/>
    </row>
    <row r="5" spans="1:17">
      <c r="A5" s="603"/>
      <c r="B5" s="607"/>
      <c r="C5" s="607"/>
      <c r="D5" s="607"/>
      <c r="E5" s="607"/>
      <c r="F5" s="607"/>
      <c r="G5" s="607"/>
      <c r="H5" s="607"/>
      <c r="I5" s="607"/>
      <c r="J5" s="607"/>
      <c r="K5" s="607"/>
      <c r="P5" s="600"/>
    </row>
    <row r="6" spans="1:17" s="871" customFormat="1" ht="14.5">
      <c r="A6" s="870"/>
      <c r="B6" s="1110" t="s">
        <v>1878</v>
      </c>
      <c r="C6" s="1975" t="s">
        <v>1249</v>
      </c>
      <c r="D6" s="1976"/>
      <c r="E6" s="1977"/>
      <c r="F6" s="1978" t="s">
        <v>72</v>
      </c>
      <c r="G6" s="1979"/>
      <c r="H6" s="1979"/>
      <c r="I6" s="1978" t="s">
        <v>1250</v>
      </c>
      <c r="J6" s="1983"/>
      <c r="K6" s="1975" t="s">
        <v>1251</v>
      </c>
      <c r="L6" s="1979"/>
      <c r="M6" s="1984"/>
      <c r="P6" s="945"/>
      <c r="Q6" s="945"/>
    </row>
    <row r="7" spans="1:17" s="876" customFormat="1" ht="26">
      <c r="A7" s="873" t="s">
        <v>507</v>
      </c>
      <c r="B7" s="610" t="s">
        <v>170</v>
      </c>
      <c r="C7" s="610" t="s">
        <v>229</v>
      </c>
      <c r="D7" s="610" t="s">
        <v>148</v>
      </c>
      <c r="E7" s="875" t="s">
        <v>508</v>
      </c>
      <c r="F7" s="610" t="s">
        <v>229</v>
      </c>
      <c r="G7" s="610" t="s">
        <v>231</v>
      </c>
      <c r="H7" s="875" t="s">
        <v>508</v>
      </c>
      <c r="I7" s="610" t="s">
        <v>805</v>
      </c>
      <c r="J7" s="875" t="s">
        <v>508</v>
      </c>
      <c r="K7" s="610" t="s">
        <v>229</v>
      </c>
      <c r="L7" s="610" t="s">
        <v>148</v>
      </c>
      <c r="M7" s="875" t="s">
        <v>508</v>
      </c>
      <c r="Q7" s="871"/>
    </row>
    <row r="8" spans="1:17" s="877" customFormat="1">
      <c r="A8" s="870"/>
      <c r="B8" s="608" t="s">
        <v>513</v>
      </c>
      <c r="C8" s="608" t="s">
        <v>514</v>
      </c>
      <c r="D8" s="608" t="s">
        <v>515</v>
      </c>
      <c r="E8" s="610" t="s">
        <v>516</v>
      </c>
      <c r="F8" s="608" t="s">
        <v>517</v>
      </c>
      <c r="G8" s="610" t="s">
        <v>518</v>
      </c>
      <c r="H8" s="608" t="s">
        <v>519</v>
      </c>
      <c r="I8" s="610" t="s">
        <v>520</v>
      </c>
      <c r="J8" s="608" t="s">
        <v>521</v>
      </c>
      <c r="K8" s="610" t="s">
        <v>522</v>
      </c>
      <c r="L8" s="610" t="s">
        <v>523</v>
      </c>
      <c r="M8" s="610" t="s">
        <v>552</v>
      </c>
      <c r="Q8" s="871"/>
    </row>
    <row r="9" spans="1:17" s="877" customFormat="1">
      <c r="A9" s="870"/>
      <c r="B9" s="874" t="s">
        <v>1892</v>
      </c>
      <c r="C9" s="604">
        <v>19</v>
      </c>
      <c r="D9" s="604">
        <v>23</v>
      </c>
      <c r="E9" s="616">
        <v>24</v>
      </c>
      <c r="F9" s="604">
        <v>30</v>
      </c>
      <c r="G9" s="604">
        <v>31</v>
      </c>
      <c r="H9" s="604">
        <v>12</v>
      </c>
      <c r="I9" s="604">
        <v>10</v>
      </c>
      <c r="J9" s="604">
        <v>11</v>
      </c>
      <c r="K9" s="604"/>
      <c r="L9" s="616"/>
      <c r="M9" s="604"/>
    </row>
    <row r="10" spans="1:17" s="614" customFormat="1" ht="77.25" customHeight="1">
      <c r="A10" s="603"/>
      <c r="B10" s="608"/>
      <c r="C10" s="618" t="s">
        <v>1876</v>
      </c>
      <c r="D10" s="619" t="s">
        <v>524</v>
      </c>
      <c r="E10" s="620" t="s">
        <v>525</v>
      </c>
      <c r="F10" s="619" t="s">
        <v>1877</v>
      </c>
      <c r="G10" s="619" t="s">
        <v>526</v>
      </c>
      <c r="H10" s="620" t="s">
        <v>525</v>
      </c>
      <c r="I10" s="896" t="s">
        <v>977</v>
      </c>
      <c r="J10" s="620" t="s">
        <v>525</v>
      </c>
      <c r="K10" s="618" t="s">
        <v>988</v>
      </c>
      <c r="L10" s="618" t="s">
        <v>989</v>
      </c>
      <c r="M10" s="618" t="s">
        <v>990</v>
      </c>
    </row>
    <row r="11" spans="1:17">
      <c r="A11" s="603">
        <v>1</v>
      </c>
      <c r="B11" s="621" t="s">
        <v>527</v>
      </c>
      <c r="C11" s="622">
        <f>+'9A - Gross Plant &amp; ARO'!L11</f>
        <v>1803909099</v>
      </c>
      <c r="D11" s="622">
        <f>+'9A - Gross Plant &amp; ARO'!M11</f>
        <v>288799293</v>
      </c>
      <c r="E11" s="622">
        <f>+'9A - Gross Plant &amp; ARO'!N11</f>
        <v>149574926</v>
      </c>
      <c r="F11" s="623">
        <f>+'9A - Gross Plant &amp; ARO'!D51</f>
        <v>421664575.08000004</v>
      </c>
      <c r="G11" s="623">
        <f>+'9A - Gross Plant &amp; ARO'!E51</f>
        <v>71482893</v>
      </c>
      <c r="H11" s="623">
        <f>+'9A - Gross Plant &amp; ARO'!G51</f>
        <v>61423513</v>
      </c>
      <c r="I11" s="623">
        <f>+'9A - Gross Plant &amp; ARO'!F51</f>
        <v>16120897</v>
      </c>
      <c r="J11" s="623">
        <f>+'9A - Gross Plant &amp; ARO'!H51</f>
        <v>26610118</v>
      </c>
      <c r="K11" s="622">
        <f t="shared" ref="K11:K23" si="0">+C11-F11</f>
        <v>1382244523.9200001</v>
      </c>
      <c r="L11" s="622">
        <f>+D11-G11-I11</f>
        <v>201195503</v>
      </c>
      <c r="M11" s="622">
        <f>+E11-J11-H11</f>
        <v>61541295</v>
      </c>
    </row>
    <row r="12" spans="1:17">
      <c r="A12" s="603">
        <v>2</v>
      </c>
      <c r="B12" s="621" t="s">
        <v>528</v>
      </c>
      <c r="C12" s="622">
        <f>+'9A - Gross Plant &amp; ARO'!L12</f>
        <v>1807280104.4591999</v>
      </c>
      <c r="D12" s="622">
        <f>+'9A - Gross Plant &amp; ARO'!M12</f>
        <v>297678467.05173802</v>
      </c>
      <c r="E12" s="622">
        <f>+'9A - Gross Plant &amp; ARO'!N12</f>
        <v>149574926</v>
      </c>
      <c r="F12" s="623">
        <f>+'9A - Gross Plant &amp; ARO'!D52</f>
        <v>425716233.16418207</v>
      </c>
      <c r="G12" s="623">
        <f>+'9A - Gross Plant &amp; ARO'!E52</f>
        <v>72776291.691373989</v>
      </c>
      <c r="H12" s="623">
        <f>+'9A - Gross Plant &amp; ARO'!G52</f>
        <v>61423513</v>
      </c>
      <c r="I12" s="623">
        <f>+'9A - Gross Plant &amp; ARO'!F52</f>
        <v>17735250.210085798</v>
      </c>
      <c r="J12" s="623">
        <f>+'9A - Gross Plant &amp; ARO'!H52</f>
        <v>26610118</v>
      </c>
      <c r="K12" s="622">
        <f t="shared" si="0"/>
        <v>1381563871.2950177</v>
      </c>
      <c r="L12" s="622">
        <f>+D12-G12-I12</f>
        <v>207166925.15027821</v>
      </c>
      <c r="M12" s="622">
        <f t="shared" ref="M12:M23" si="1">+E12-J12-H12</f>
        <v>61541295</v>
      </c>
    </row>
    <row r="13" spans="1:17">
      <c r="A13" s="603">
        <v>3</v>
      </c>
      <c r="B13" s="600" t="s">
        <v>529</v>
      </c>
      <c r="C13" s="622">
        <f>+'9A - Gross Plant &amp; ARO'!L13</f>
        <v>1810369412.2938499</v>
      </c>
      <c r="D13" s="622">
        <f>+'9A - Gross Plant &amp; ARO'!M13</f>
        <v>301404741.42773002</v>
      </c>
      <c r="E13" s="622">
        <f>+'9A - Gross Plant &amp; ARO'!N13</f>
        <v>149574926</v>
      </c>
      <c r="F13" s="623">
        <f>+'9A - Gross Plant &amp; ARO'!D53</f>
        <v>429774830.27038205</v>
      </c>
      <c r="G13" s="623">
        <f>+'9A - Gross Plant &amp; ARO'!E53</f>
        <v>74081571.621693969</v>
      </c>
      <c r="H13" s="623">
        <f>+'9A - Gross Plant &amp; ARO'!G53</f>
        <v>61423513</v>
      </c>
      <c r="I13" s="623">
        <f>+'9A - Gross Plant &amp; ARO'!F53</f>
        <v>19364022.9119827</v>
      </c>
      <c r="J13" s="623">
        <f>+'9A - Gross Plant &amp; ARO'!H53</f>
        <v>26610118</v>
      </c>
      <c r="K13" s="622">
        <f t="shared" si="0"/>
        <v>1380594582.023468</v>
      </c>
      <c r="L13" s="622">
        <f t="shared" ref="L13:L23" si="2">+D13-G13-I13</f>
        <v>207959146.89405334</v>
      </c>
      <c r="M13" s="622">
        <f t="shared" si="1"/>
        <v>61541295</v>
      </c>
    </row>
    <row r="14" spans="1:17">
      <c r="A14" s="603">
        <v>4</v>
      </c>
      <c r="B14" s="600" t="s">
        <v>530</v>
      </c>
      <c r="C14" s="622">
        <f>+'9A - Gross Plant &amp; ARO'!L14</f>
        <v>1814022655.9898398</v>
      </c>
      <c r="D14" s="622">
        <f>+'9A - Gross Plant &amp; ARO'!M14</f>
        <v>312568558.5859881</v>
      </c>
      <c r="E14" s="622">
        <f>+'9A - Gross Plant &amp; ARO'!N14</f>
        <v>149574926</v>
      </c>
      <c r="F14" s="623">
        <f>+'9A - Gross Plant &amp; ARO'!D54</f>
        <v>433841633.07824904</v>
      </c>
      <c r="G14" s="623">
        <f>+'9A - Gross Plant &amp; ARO'!E54</f>
        <v>75401007.770657986</v>
      </c>
      <c r="H14" s="623">
        <f>+'9A - Gross Plant &amp; ARO'!G54</f>
        <v>61423513</v>
      </c>
      <c r="I14" s="623">
        <f>+'9A - Gross Plant &amp; ARO'!F54</f>
        <v>21122044.3897475</v>
      </c>
      <c r="J14" s="623">
        <f>+'9A - Gross Plant &amp; ARO'!H54</f>
        <v>26610118</v>
      </c>
      <c r="K14" s="622">
        <f t="shared" si="0"/>
        <v>1380181022.9115908</v>
      </c>
      <c r="L14" s="622">
        <f t="shared" si="2"/>
        <v>216045506.42558262</v>
      </c>
      <c r="M14" s="622">
        <f t="shared" si="1"/>
        <v>61541295</v>
      </c>
    </row>
    <row r="15" spans="1:17">
      <c r="A15" s="603">
        <v>5</v>
      </c>
      <c r="B15" s="600" t="s">
        <v>172</v>
      </c>
      <c r="C15" s="622">
        <f>+'9A - Gross Plant &amp; ARO'!L15</f>
        <v>1820734869.7696197</v>
      </c>
      <c r="D15" s="622">
        <f>+'9A - Gross Plant &amp; ARO'!M15</f>
        <v>318823906.88068008</v>
      </c>
      <c r="E15" s="622">
        <f>+'9A - Gross Plant &amp; ARO'!N15</f>
        <v>149574926</v>
      </c>
      <c r="F15" s="623">
        <f>+'9A - Gross Plant &amp; ARO'!D55</f>
        <v>437923512.46692502</v>
      </c>
      <c r="G15" s="623">
        <f>+'9A - Gross Plant &amp; ARO'!E55</f>
        <v>76731138.597530991</v>
      </c>
      <c r="H15" s="623">
        <f>+'9A - Gross Plant &amp; ARO'!G55</f>
        <v>61423513</v>
      </c>
      <c r="I15" s="623">
        <f>+'9A - Gross Plant &amp; ARO'!F55</f>
        <v>22941399.168551698</v>
      </c>
      <c r="J15" s="623">
        <f>+'9A - Gross Plant &amp; ARO'!H55</f>
        <v>26610118</v>
      </c>
      <c r="K15" s="622">
        <f t="shared" si="0"/>
        <v>1382811357.3026948</v>
      </c>
      <c r="L15" s="622">
        <f t="shared" si="2"/>
        <v>219151369.11459738</v>
      </c>
      <c r="M15" s="622">
        <f t="shared" si="1"/>
        <v>61541295</v>
      </c>
    </row>
    <row r="16" spans="1:17">
      <c r="A16" s="603">
        <v>6</v>
      </c>
      <c r="B16" s="600" t="s">
        <v>173</v>
      </c>
      <c r="C16" s="622">
        <f>+'9A - Gross Plant &amp; ARO'!L16</f>
        <v>1824541035.7476096</v>
      </c>
      <c r="D16" s="622">
        <f>+'9A - Gross Plant &amp; ARO'!M16</f>
        <v>321314161.54268008</v>
      </c>
      <c r="E16" s="622">
        <f>+'9A - Gross Plant &amp; ARO'!N16</f>
        <v>149574926</v>
      </c>
      <c r="F16" s="623">
        <f>+'9A - Gross Plant &amp; ARO'!D56</f>
        <v>442013941.04232508</v>
      </c>
      <c r="G16" s="623">
        <f>+'9A - Gross Plant &amp; ARO'!E56</f>
        <v>78069674.82056798</v>
      </c>
      <c r="H16" s="623">
        <f>+'9A - Gross Plant &amp; ARO'!G56</f>
        <v>61423513</v>
      </c>
      <c r="I16" s="623">
        <f>+'9A - Gross Plant &amp; ARO'!F56</f>
        <v>24768523.482650399</v>
      </c>
      <c r="J16" s="623">
        <f>+'9A - Gross Plant &amp; ARO'!H56</f>
        <v>26610118</v>
      </c>
      <c r="K16" s="622">
        <f t="shared" si="0"/>
        <v>1382527094.7052846</v>
      </c>
      <c r="L16" s="622">
        <f t="shared" si="2"/>
        <v>218475963.23946172</v>
      </c>
      <c r="M16" s="622">
        <f t="shared" si="1"/>
        <v>61541295</v>
      </c>
    </row>
    <row r="17" spans="1:15">
      <c r="A17" s="603">
        <v>7</v>
      </c>
      <c r="B17" s="600" t="s">
        <v>174</v>
      </c>
      <c r="C17" s="622">
        <f>+'9A - Gross Plant &amp; ARO'!L17</f>
        <v>1831729993.7424397</v>
      </c>
      <c r="D17" s="622">
        <f>+'9A - Gross Plant &amp; ARO'!M17</f>
        <v>328949702.10486203</v>
      </c>
      <c r="E17" s="622">
        <f>+'9A - Gross Plant &amp; ARO'!N17</f>
        <v>149574926</v>
      </c>
      <c r="F17" s="623">
        <f>+'9A - Gross Plant &amp; ARO'!D57</f>
        <v>446120517.03342104</v>
      </c>
      <c r="G17" s="623">
        <f>+'9A - Gross Plant &amp; ARO'!E57</f>
        <v>79421293.911115974</v>
      </c>
      <c r="H17" s="623">
        <f>+'9A - Gross Plant &amp; ARO'!G57</f>
        <v>61423513</v>
      </c>
      <c r="I17" s="623">
        <f>+'9A - Gross Plant &amp; ARO'!F57</f>
        <v>26670399.577217601</v>
      </c>
      <c r="J17" s="623">
        <f>+'9A - Gross Plant &amp; ARO'!H57</f>
        <v>26610118</v>
      </c>
      <c r="K17" s="622">
        <f t="shared" si="0"/>
        <v>1385609476.7090187</v>
      </c>
      <c r="L17" s="622">
        <f t="shared" si="2"/>
        <v>222858008.61652845</v>
      </c>
      <c r="M17" s="622">
        <f t="shared" si="1"/>
        <v>61541295</v>
      </c>
    </row>
    <row r="18" spans="1:15">
      <c r="A18" s="603">
        <v>8</v>
      </c>
      <c r="B18" s="600" t="s">
        <v>531</v>
      </c>
      <c r="C18" s="622">
        <f>+'9A - Gross Plant &amp; ARO'!L18</f>
        <v>1834380505.5225196</v>
      </c>
      <c r="D18" s="622">
        <f>+'9A - Gross Plant &amp; ARO'!M18</f>
        <v>336337515.93392402</v>
      </c>
      <c r="E18" s="622">
        <f>+'9A - Gross Plant &amp; ARO'!N18</f>
        <v>149574926</v>
      </c>
      <c r="F18" s="623">
        <f>+'9A - Gross Plant &amp; ARO'!D58</f>
        <v>450233046.44858104</v>
      </c>
      <c r="G18" s="623">
        <f>+'9A - Gross Plant &amp; ARO'!E58</f>
        <v>80793227.13039799</v>
      </c>
      <c r="H18" s="623">
        <f>+'9A - Gross Plant &amp; ARO'!G58</f>
        <v>61423513</v>
      </c>
      <c r="I18" s="623">
        <f>+'9A - Gross Plant &amp; ARO'!F58</f>
        <v>28613875.727010299</v>
      </c>
      <c r="J18" s="623">
        <f>+'9A - Gross Plant &amp; ARO'!H58</f>
        <v>26610118</v>
      </c>
      <c r="K18" s="622">
        <f t="shared" si="0"/>
        <v>1384147459.0739386</v>
      </c>
      <c r="L18" s="622">
        <f t="shared" si="2"/>
        <v>226930413.07651573</v>
      </c>
      <c r="M18" s="622">
        <f t="shared" si="1"/>
        <v>61541295</v>
      </c>
    </row>
    <row r="19" spans="1:15">
      <c r="A19" s="603">
        <v>9</v>
      </c>
      <c r="B19" s="600" t="s">
        <v>532</v>
      </c>
      <c r="C19" s="622">
        <f>+'9A - Gross Plant &amp; ARO'!L19</f>
        <v>1836816951.9095197</v>
      </c>
      <c r="D19" s="622">
        <f>+'9A - Gross Plant &amp; ARO'!M19</f>
        <v>340981094.82770509</v>
      </c>
      <c r="E19" s="622">
        <f>+'9A - Gross Plant &amp; ARO'!N19</f>
        <v>149574926</v>
      </c>
      <c r="F19" s="623">
        <f>+'9A - Gross Plant &amp; ARO'!D59</f>
        <v>454351048.46667701</v>
      </c>
      <c r="G19" s="623">
        <f>+'9A - Gross Plant &amp; ARO'!E59</f>
        <v>82179689.264740974</v>
      </c>
      <c r="H19" s="623">
        <f>+'9A - Gross Plant &amp; ARO'!G59</f>
        <v>61423513</v>
      </c>
      <c r="I19" s="623">
        <f>+'9A - Gross Plant &amp; ARO'!F59</f>
        <v>30576434.630110502</v>
      </c>
      <c r="J19" s="623">
        <f>+'9A - Gross Plant &amp; ARO'!H59</f>
        <v>26610118</v>
      </c>
      <c r="K19" s="622">
        <f t="shared" si="0"/>
        <v>1382465903.4428427</v>
      </c>
      <c r="L19" s="622">
        <f t="shared" si="2"/>
        <v>228224970.93285361</v>
      </c>
      <c r="M19" s="622">
        <f t="shared" si="1"/>
        <v>61541295</v>
      </c>
    </row>
    <row r="20" spans="1:15">
      <c r="A20" s="603">
        <v>10</v>
      </c>
      <c r="B20" s="600" t="s">
        <v>533</v>
      </c>
      <c r="C20" s="622">
        <f>+'9A - Gross Plant &amp; ARO'!L20</f>
        <v>1840124000.3690495</v>
      </c>
      <c r="D20" s="622">
        <f>+'9A - Gross Plant &amp; ARO'!M20</f>
        <v>344665201.99386603</v>
      </c>
      <c r="E20" s="622">
        <f>+'9A - Gross Plant &amp; ARO'!N20</f>
        <v>149574926</v>
      </c>
      <c r="F20" s="623">
        <f>+'9A - Gross Plant &amp; ARO'!D60</f>
        <v>458476478.583009</v>
      </c>
      <c r="G20" s="623">
        <f>+'9A - Gross Plant &amp; ARO'!E60</f>
        <v>83579457.069890991</v>
      </c>
      <c r="H20" s="623">
        <f>+'9A - Gross Plant &amp; ARO'!G60</f>
        <v>61423513</v>
      </c>
      <c r="I20" s="623">
        <f>+'9A - Gross Plant &amp; ARO'!F60</f>
        <v>32546981.239593398</v>
      </c>
      <c r="J20" s="623">
        <f>+'9A - Gross Plant &amp; ARO'!H60</f>
        <v>26610118</v>
      </c>
      <c r="K20" s="622">
        <f t="shared" si="0"/>
        <v>1381647521.7860405</v>
      </c>
      <c r="L20" s="622">
        <f t="shared" si="2"/>
        <v>228538763.68438166</v>
      </c>
      <c r="M20" s="622">
        <f t="shared" si="1"/>
        <v>61541295</v>
      </c>
    </row>
    <row r="21" spans="1:15">
      <c r="A21" s="603">
        <v>11</v>
      </c>
      <c r="B21" s="600" t="s">
        <v>534</v>
      </c>
      <c r="C21" s="622">
        <f>+'9A - Gross Plant &amp; ARO'!L21</f>
        <v>1844742362.8203795</v>
      </c>
      <c r="D21" s="622">
        <f>+'9A - Gross Plant &amp; ARO'!M21</f>
        <v>351883708.99066502</v>
      </c>
      <c r="E21" s="622">
        <f>+'9A - Gross Plant &amp; ARO'!N21</f>
        <v>149574926</v>
      </c>
      <c r="F21" s="623">
        <f>+'9A - Gross Plant &amp; ARO'!D61</f>
        <v>462612282.19413602</v>
      </c>
      <c r="G21" s="623">
        <f>+'9A - Gross Plant &amp; ARO'!E61</f>
        <v>85004505.110947981</v>
      </c>
      <c r="H21" s="623">
        <f>+'9A - Gross Plant &amp; ARO'!G61</f>
        <v>61423513</v>
      </c>
      <c r="I21" s="623">
        <f>+'9A - Gross Plant &amp; ARO'!F61</f>
        <v>34536376.263899304</v>
      </c>
      <c r="J21" s="623">
        <f>+'9A - Gross Plant &amp; ARO'!H61</f>
        <v>26610118</v>
      </c>
      <c r="K21" s="622">
        <f t="shared" si="0"/>
        <v>1382130080.6262436</v>
      </c>
      <c r="L21" s="622">
        <f t="shared" si="2"/>
        <v>232342827.61581776</v>
      </c>
      <c r="M21" s="622">
        <f t="shared" si="1"/>
        <v>61541295</v>
      </c>
    </row>
    <row r="22" spans="1:15">
      <c r="A22" s="603">
        <v>12</v>
      </c>
      <c r="B22" s="600" t="s">
        <v>535</v>
      </c>
      <c r="C22" s="622">
        <f>+'9A - Gross Plant &amp; ARO'!L22</f>
        <v>1848364013.2432795</v>
      </c>
      <c r="D22" s="622">
        <f>+'9A - Gross Plant &amp; ARO'!M22</f>
        <v>355096121.3573631</v>
      </c>
      <c r="E22" s="622">
        <f>+'9A - Gross Plant &amp; ARO'!N22</f>
        <v>149574926</v>
      </c>
      <c r="F22" s="623">
        <f>+'9A - Gross Plant &amp; ARO'!D62</f>
        <v>466756220.54397297</v>
      </c>
      <c r="G22" s="623">
        <f>+'9A - Gross Plant &amp; ARO'!E62</f>
        <v>86439814.097837999</v>
      </c>
      <c r="H22" s="623">
        <f>+'9A - Gross Plant &amp; ARO'!G62</f>
        <v>61423513</v>
      </c>
      <c r="I22" s="623">
        <f>+'9A - Gross Plant &amp; ARO'!F62</f>
        <v>36538117.549483091</v>
      </c>
      <c r="J22" s="623">
        <f>+'9A - Gross Plant &amp; ARO'!H62</f>
        <v>26610118</v>
      </c>
      <c r="K22" s="622">
        <f t="shared" si="0"/>
        <v>1381607792.6993065</v>
      </c>
      <c r="L22" s="622">
        <f t="shared" si="2"/>
        <v>232118189.71004203</v>
      </c>
      <c r="M22" s="622">
        <f t="shared" si="1"/>
        <v>61541295</v>
      </c>
    </row>
    <row r="23" spans="1:15">
      <c r="A23" s="603">
        <v>13</v>
      </c>
      <c r="B23" s="600" t="s">
        <v>536</v>
      </c>
      <c r="C23" s="622">
        <f>+'9A - Gross Plant &amp; ARO'!L23</f>
        <v>1860327645.2164896</v>
      </c>
      <c r="D23" s="622">
        <f>+'9A - Gross Plant &amp; ARO'!M23</f>
        <v>368368342.26900208</v>
      </c>
      <c r="E23" s="622">
        <f>+'9A - Gross Plant &amp; ARO'!N23</f>
        <v>149574926</v>
      </c>
      <c r="F23" s="623">
        <f>+'9A - Gross Plant &amp; ARO'!D63</f>
        <v>470927030.90208101</v>
      </c>
      <c r="G23" s="623">
        <f>+'9A - Gross Plant &amp; ARO'!E63</f>
        <v>87922393.815357</v>
      </c>
      <c r="H23" s="623">
        <f>+'9A - Gross Plant &amp; ARO'!G63</f>
        <v>61423513</v>
      </c>
      <c r="I23" s="623">
        <f>+'9A - Gross Plant &amp; ARO'!F63</f>
        <v>38570881.99402979</v>
      </c>
      <c r="J23" s="623">
        <f>+'9A - Gross Plant &amp; ARO'!H63</f>
        <v>26610118</v>
      </c>
      <c r="K23" s="622">
        <f t="shared" si="0"/>
        <v>1389400614.3144085</v>
      </c>
      <c r="L23" s="622">
        <f t="shared" si="2"/>
        <v>241875066.45961532</v>
      </c>
      <c r="M23" s="622">
        <f t="shared" si="1"/>
        <v>61541295</v>
      </c>
    </row>
    <row r="24" spans="1:15">
      <c r="A24" s="603">
        <v>14</v>
      </c>
      <c r="B24" s="632" t="s">
        <v>777</v>
      </c>
      <c r="C24" s="864">
        <f t="shared" ref="C24:M24" si="3">SUM(C11:C23)/13</f>
        <v>1829026357.6987534</v>
      </c>
      <c r="D24" s="864">
        <f t="shared" si="3"/>
        <v>328220831.99740028</v>
      </c>
      <c r="E24" s="864">
        <f t="shared" si="3"/>
        <v>149574926</v>
      </c>
      <c r="F24" s="864">
        <f t="shared" si="3"/>
        <v>446185488.40568775</v>
      </c>
      <c r="G24" s="864">
        <f t="shared" si="3"/>
        <v>79529458.300162598</v>
      </c>
      <c r="H24" s="864">
        <f t="shared" si="3"/>
        <v>61423513</v>
      </c>
      <c r="I24" s="864">
        <f t="shared" si="3"/>
        <v>26931169.549566314</v>
      </c>
      <c r="J24" s="864">
        <f t="shared" si="3"/>
        <v>26610118</v>
      </c>
      <c r="K24" s="864">
        <f t="shared" si="3"/>
        <v>1382840869.2930658</v>
      </c>
      <c r="L24" s="864">
        <f t="shared" si="3"/>
        <v>221760204.14767134</v>
      </c>
      <c r="M24" s="864">
        <f t="shared" si="3"/>
        <v>61541295</v>
      </c>
    </row>
    <row r="25" spans="1:15" ht="12" customHeight="1">
      <c r="A25" s="603">
        <v>15</v>
      </c>
      <c r="B25" s="632" t="s">
        <v>776</v>
      </c>
      <c r="C25" s="636"/>
      <c r="D25" s="636">
        <f>+'10 - Merger Costs'!G34</f>
        <v>1039237</v>
      </c>
      <c r="E25" s="636"/>
      <c r="F25" s="636"/>
      <c r="G25" s="636">
        <f>+'10 - Merger Costs'!C51</f>
        <v>138788.60820188082</v>
      </c>
      <c r="H25" s="636"/>
      <c r="I25" s="636">
        <f>+'10 - Merger Costs'!D51</f>
        <v>649100.9024796153</v>
      </c>
      <c r="J25" s="636"/>
      <c r="K25" s="636">
        <f>+C25-F25</f>
        <v>0</v>
      </c>
      <c r="L25" s="636">
        <f>+D25-G25-I25</f>
        <v>251347.48931850388</v>
      </c>
      <c r="M25" s="636">
        <f>+E25-J25-H25</f>
        <v>0</v>
      </c>
    </row>
    <row r="26" spans="1:15" ht="13.5" thickBot="1">
      <c r="A26" s="603">
        <v>16</v>
      </c>
      <c r="B26" s="632" t="s">
        <v>773</v>
      </c>
      <c r="C26" s="624">
        <f>+C24-C25</f>
        <v>1829026357.6987534</v>
      </c>
      <c r="D26" s="624">
        <f t="shared" ref="D26:M26" si="4">+D24-D25</f>
        <v>327181594.99740028</v>
      </c>
      <c r="E26" s="624">
        <f t="shared" si="4"/>
        <v>149574926</v>
      </c>
      <c r="F26" s="624">
        <f t="shared" si="4"/>
        <v>446185488.40568775</v>
      </c>
      <c r="G26" s="624">
        <f t="shared" si="4"/>
        <v>79390669.691960722</v>
      </c>
      <c r="H26" s="624">
        <f t="shared" si="4"/>
        <v>61423513</v>
      </c>
      <c r="I26" s="624">
        <f t="shared" si="4"/>
        <v>26282068.647086699</v>
      </c>
      <c r="J26" s="624">
        <f t="shared" si="4"/>
        <v>26610118</v>
      </c>
      <c r="K26" s="624">
        <f t="shared" si="4"/>
        <v>1382840869.2930658</v>
      </c>
      <c r="L26" s="624">
        <f t="shared" si="4"/>
        <v>221508856.65835285</v>
      </c>
      <c r="M26" s="624">
        <f t="shared" si="4"/>
        <v>61541295</v>
      </c>
    </row>
    <row r="27" spans="1:15" ht="13.5" thickTop="1">
      <c r="A27" s="603"/>
      <c r="B27" s="600"/>
      <c r="C27" s="625"/>
      <c r="D27" s="626"/>
      <c r="E27" s="626"/>
      <c r="F27" s="626"/>
      <c r="G27" s="625"/>
      <c r="H27" s="625"/>
      <c r="I27" s="625"/>
      <c r="J27" s="625"/>
    </row>
    <row r="28" spans="1:15">
      <c r="A28" s="603"/>
      <c r="B28" s="627"/>
      <c r="C28" s="1980" t="s">
        <v>538</v>
      </c>
      <c r="D28" s="1980"/>
      <c r="E28" s="1980"/>
      <c r="F28" s="1980"/>
      <c r="G28" s="1980"/>
      <c r="H28" s="1980"/>
      <c r="I28" s="1980"/>
      <c r="J28" s="1980"/>
    </row>
    <row r="29" spans="1:15" ht="72" customHeight="1">
      <c r="A29" s="603" t="s">
        <v>507</v>
      </c>
      <c r="B29" s="608" t="s">
        <v>170</v>
      </c>
      <c r="C29" s="608" t="s">
        <v>506</v>
      </c>
      <c r="D29" s="608" t="s">
        <v>571</v>
      </c>
      <c r="E29" s="607"/>
      <c r="F29" s="610" t="s">
        <v>568</v>
      </c>
      <c r="G29" s="608"/>
      <c r="H29" s="613" t="s">
        <v>539</v>
      </c>
      <c r="I29" s="613" t="s">
        <v>540</v>
      </c>
      <c r="J29" s="613" t="s">
        <v>541</v>
      </c>
      <c r="K29" s="613" t="s">
        <v>542</v>
      </c>
      <c r="L29" s="613" t="s">
        <v>543</v>
      </c>
      <c r="M29" s="613" t="s">
        <v>794</v>
      </c>
    </row>
    <row r="30" spans="1:15" s="614" customFormat="1">
      <c r="A30" s="603"/>
      <c r="B30" s="608" t="s">
        <v>513</v>
      </c>
      <c r="C30" s="610" t="s">
        <v>509</v>
      </c>
      <c r="D30" s="610" t="s">
        <v>510</v>
      </c>
      <c r="E30" s="610" t="s">
        <v>511</v>
      </c>
      <c r="F30" s="610" t="s">
        <v>569</v>
      </c>
      <c r="G30" s="610" t="s">
        <v>512</v>
      </c>
      <c r="H30" s="613"/>
      <c r="I30" s="613"/>
      <c r="J30" s="628"/>
      <c r="K30" s="628"/>
      <c r="L30" s="628"/>
      <c r="M30" s="628"/>
      <c r="N30" s="599"/>
      <c r="O30" s="599"/>
    </row>
    <row r="31" spans="1:15" s="614" customFormat="1">
      <c r="C31" s="608" t="s">
        <v>514</v>
      </c>
      <c r="D31" s="608" t="s">
        <v>515</v>
      </c>
      <c r="E31" s="610" t="s">
        <v>516</v>
      </c>
      <c r="F31" s="608" t="s">
        <v>517</v>
      </c>
      <c r="G31" s="610" t="s">
        <v>518</v>
      </c>
      <c r="H31" s="608" t="s">
        <v>519</v>
      </c>
      <c r="I31" s="610" t="s">
        <v>520</v>
      </c>
      <c r="J31" s="608" t="s">
        <v>521</v>
      </c>
      <c r="K31" s="608" t="s">
        <v>522</v>
      </c>
      <c r="L31" s="610" t="s">
        <v>523</v>
      </c>
      <c r="M31" s="869" t="s">
        <v>552</v>
      </c>
      <c r="N31" s="599"/>
      <c r="O31" s="599"/>
    </row>
    <row r="32" spans="1:15" s="614" customFormat="1">
      <c r="A32" s="603"/>
      <c r="B32" s="615" t="s">
        <v>1892</v>
      </c>
      <c r="C32" s="617" t="s">
        <v>321</v>
      </c>
      <c r="D32" s="617">
        <v>28</v>
      </c>
      <c r="E32" s="617">
        <v>50</v>
      </c>
      <c r="F32" s="617">
        <v>47</v>
      </c>
      <c r="G32" s="617">
        <v>45</v>
      </c>
      <c r="H32" s="629"/>
      <c r="I32" s="629" t="s">
        <v>324</v>
      </c>
      <c r="J32" s="629"/>
      <c r="K32" s="629"/>
      <c r="L32" s="629"/>
      <c r="M32" s="629"/>
      <c r="N32" s="599"/>
      <c r="O32" s="599"/>
    </row>
    <row r="33" spans="1:16" s="614" customFormat="1" ht="51" customHeight="1">
      <c r="A33" s="603"/>
      <c r="B33" s="608"/>
      <c r="C33" s="620" t="s">
        <v>66</v>
      </c>
      <c r="D33" s="619" t="s">
        <v>991</v>
      </c>
      <c r="E33" s="1236" t="s">
        <v>1893</v>
      </c>
      <c r="F33" s="619" t="s">
        <v>570</v>
      </c>
      <c r="G33" s="1742" t="s">
        <v>1879</v>
      </c>
      <c r="H33" s="1742" t="s">
        <v>1907</v>
      </c>
      <c r="I33" s="629" t="s">
        <v>1880</v>
      </c>
      <c r="J33" s="613" t="s">
        <v>317</v>
      </c>
      <c r="K33" s="613" t="s">
        <v>317</v>
      </c>
      <c r="L33" s="613" t="s">
        <v>317</v>
      </c>
      <c r="M33" s="613" t="s">
        <v>317</v>
      </c>
      <c r="N33" s="599"/>
      <c r="O33" s="599"/>
    </row>
    <row r="34" spans="1:16">
      <c r="A34" s="603">
        <v>17</v>
      </c>
      <c r="B34" s="621" t="s">
        <v>527</v>
      </c>
      <c r="C34" s="622"/>
      <c r="D34" s="623">
        <v>0</v>
      </c>
      <c r="E34" s="623">
        <v>633011.38666208636</v>
      </c>
      <c r="F34" s="622"/>
      <c r="G34" s="623">
        <f>+'5 - Cost Support 1'!G98</f>
        <v>20973915.632317528</v>
      </c>
      <c r="H34" s="622"/>
      <c r="I34" s="622"/>
      <c r="J34" s="631"/>
      <c r="K34" s="631"/>
      <c r="L34" s="631"/>
      <c r="M34" s="631"/>
    </row>
    <row r="35" spans="1:16">
      <c r="A35" s="603">
        <v>18</v>
      </c>
      <c r="B35" s="621" t="s">
        <v>528</v>
      </c>
      <c r="C35" s="622"/>
      <c r="D35" s="623">
        <v>0</v>
      </c>
      <c r="E35" s="623">
        <v>631746.83149051259</v>
      </c>
      <c r="F35" s="662"/>
      <c r="G35" s="623">
        <f>+'5 - Cost Support 1'!H98</f>
        <v>20705324.846732061</v>
      </c>
      <c r="H35" s="662"/>
      <c r="I35" s="622"/>
      <c r="J35" s="631"/>
      <c r="K35" s="631"/>
      <c r="L35" s="631"/>
      <c r="M35" s="631"/>
    </row>
    <row r="36" spans="1:16">
      <c r="A36" s="603">
        <v>19</v>
      </c>
      <c r="B36" s="600" t="s">
        <v>529</v>
      </c>
      <c r="C36" s="622"/>
      <c r="D36" s="623">
        <v>0</v>
      </c>
      <c r="E36" s="623">
        <v>639571.16315797111</v>
      </c>
      <c r="F36" s="662"/>
      <c r="G36" s="623">
        <f>+'5 - Cost Support 1'!I98</f>
        <v>20264718.805335741</v>
      </c>
      <c r="H36" s="662"/>
      <c r="I36" s="622"/>
      <c r="J36" s="631"/>
      <c r="K36" s="631"/>
      <c r="L36" s="631"/>
      <c r="M36" s="631"/>
    </row>
    <row r="37" spans="1:16">
      <c r="A37" s="603">
        <v>20</v>
      </c>
      <c r="B37" s="600" t="s">
        <v>530</v>
      </c>
      <c r="C37" s="622"/>
      <c r="D37" s="623">
        <v>0</v>
      </c>
      <c r="E37" s="623">
        <v>655280.36939087929</v>
      </c>
      <c r="F37" s="662"/>
      <c r="G37" s="623">
        <f>+'5 - Cost Support 1'!J98</f>
        <v>19812244.44356231</v>
      </c>
      <c r="H37" s="662"/>
      <c r="I37" s="622"/>
      <c r="J37" s="631"/>
      <c r="K37" s="631"/>
      <c r="L37" s="631"/>
      <c r="M37" s="631"/>
    </row>
    <row r="38" spans="1:16">
      <c r="A38" s="603">
        <v>21</v>
      </c>
      <c r="B38" s="600" t="s">
        <v>172</v>
      </c>
      <c r="C38" s="622"/>
      <c r="D38" s="623">
        <v>0</v>
      </c>
      <c r="E38" s="623">
        <v>651538.9435844674</v>
      </c>
      <c r="F38" s="662"/>
      <c r="G38" s="623">
        <f>+'5 - Cost Support 1'!K98</f>
        <v>19399099.899917521</v>
      </c>
      <c r="H38" s="662"/>
      <c r="I38" s="622"/>
      <c r="J38" s="631"/>
      <c r="K38" s="631"/>
      <c r="L38" s="631"/>
      <c r="M38" s="631"/>
    </row>
    <row r="39" spans="1:16">
      <c r="A39" s="603">
        <v>22</v>
      </c>
      <c r="B39" s="600" t="s">
        <v>173</v>
      </c>
      <c r="C39" s="622"/>
      <c r="D39" s="623">
        <v>0</v>
      </c>
      <c r="E39" s="623">
        <v>5288335.7971960586</v>
      </c>
      <c r="F39" s="662"/>
      <c r="G39" s="623">
        <f>+'5 - Cost Support 1'!L98</f>
        <v>18956396.826274447</v>
      </c>
      <c r="H39" s="662"/>
      <c r="I39" s="622"/>
      <c r="J39" s="631"/>
      <c r="K39" s="631"/>
      <c r="L39" s="631"/>
      <c r="M39" s="631"/>
    </row>
    <row r="40" spans="1:16">
      <c r="A40" s="603">
        <v>23</v>
      </c>
      <c r="B40" s="600" t="s">
        <v>174</v>
      </c>
      <c r="C40" s="622"/>
      <c r="D40" s="623">
        <v>0</v>
      </c>
      <c r="E40" s="623">
        <v>6052065.7514631152</v>
      </c>
      <c r="F40" s="662"/>
      <c r="G40" s="623">
        <f>+'5 - Cost Support 1'!M98</f>
        <v>18754151.220943555</v>
      </c>
      <c r="H40" s="662"/>
      <c r="I40" s="622"/>
      <c r="J40" s="631"/>
      <c r="K40" s="631"/>
      <c r="L40" s="631"/>
      <c r="M40" s="631"/>
    </row>
    <row r="41" spans="1:16">
      <c r="A41" s="603">
        <v>24</v>
      </c>
      <c r="B41" s="600" t="s">
        <v>531</v>
      </c>
      <c r="C41" s="622"/>
      <c r="D41" s="623">
        <v>0</v>
      </c>
      <c r="E41" s="623">
        <v>6108830.4233328169</v>
      </c>
      <c r="F41" s="662"/>
      <c r="G41" s="623">
        <f>+'5 - Cost Support 1'!N98</f>
        <v>18134593.269203786</v>
      </c>
      <c r="H41" s="662"/>
      <c r="I41" s="622"/>
      <c r="J41" s="631"/>
      <c r="K41" s="631"/>
      <c r="L41" s="631"/>
      <c r="M41" s="631"/>
    </row>
    <row r="42" spans="1:16">
      <c r="A42" s="603">
        <v>25</v>
      </c>
      <c r="B42" s="600" t="s">
        <v>532</v>
      </c>
      <c r="C42" s="622"/>
      <c r="D42" s="623">
        <v>0</v>
      </c>
      <c r="E42" s="623">
        <v>6215296.6442421013</v>
      </c>
      <c r="F42" s="662"/>
      <c r="G42" s="623">
        <f>+'5 - Cost Support 1'!O98</f>
        <v>17813872.252182987</v>
      </c>
      <c r="H42" s="662"/>
      <c r="I42" s="622"/>
      <c r="J42" s="631"/>
      <c r="K42" s="631"/>
      <c r="L42" s="631"/>
      <c r="M42" s="631"/>
    </row>
    <row r="43" spans="1:16">
      <c r="A43" s="603">
        <v>26</v>
      </c>
      <c r="B43" s="600" t="s">
        <v>533</v>
      </c>
      <c r="C43" s="622"/>
      <c r="D43" s="623">
        <v>0</v>
      </c>
      <c r="E43" s="623">
        <v>6366570.6821655435</v>
      </c>
      <c r="F43" s="662"/>
      <c r="G43" s="623">
        <f>+'5 - Cost Support 1'!P98</f>
        <v>20102672.13879317</v>
      </c>
      <c r="H43" s="662"/>
      <c r="I43" s="622"/>
      <c r="J43" s="631"/>
      <c r="K43" s="631"/>
      <c r="L43" s="631"/>
      <c r="M43" s="631"/>
    </row>
    <row r="44" spans="1:16">
      <c r="A44" s="603">
        <v>27</v>
      </c>
      <c r="B44" s="600" t="s">
        <v>534</v>
      </c>
      <c r="C44" s="622"/>
      <c r="D44" s="623">
        <v>0</v>
      </c>
      <c r="E44" s="623">
        <v>6515839.9021608112</v>
      </c>
      <c r="F44" s="662"/>
      <c r="G44" s="623">
        <f>+'5 - Cost Support 1'!Q98</f>
        <v>19515607.863909673</v>
      </c>
      <c r="H44" s="662"/>
      <c r="I44" s="622"/>
      <c r="J44" s="631"/>
      <c r="K44" s="631"/>
      <c r="L44" s="631"/>
      <c r="M44" s="631"/>
    </row>
    <row r="45" spans="1:16">
      <c r="A45" s="603">
        <v>28</v>
      </c>
      <c r="B45" s="600" t="s">
        <v>535</v>
      </c>
      <c r="C45" s="622"/>
      <c r="D45" s="623">
        <v>0</v>
      </c>
      <c r="E45" s="623">
        <v>6570725.9785510283</v>
      </c>
      <c r="F45" s="662"/>
      <c r="G45" s="623">
        <f>+'5 - Cost Support 1'!R98</f>
        <v>19033428.845116481</v>
      </c>
      <c r="H45" s="662"/>
      <c r="I45" s="622"/>
      <c r="J45" s="631"/>
      <c r="K45" s="631"/>
      <c r="L45" s="631"/>
      <c r="M45" s="631"/>
    </row>
    <row r="46" spans="1:16">
      <c r="A46" s="603">
        <v>29</v>
      </c>
      <c r="B46" s="600" t="s">
        <v>536</v>
      </c>
      <c r="C46" s="622"/>
      <c r="D46" s="623">
        <v>0</v>
      </c>
      <c r="E46" s="623">
        <v>6639384</v>
      </c>
      <c r="F46" s="622"/>
      <c r="G46" s="623">
        <f>+'5 - Cost Support 1'!S98</f>
        <v>19228622.139418002</v>
      </c>
      <c r="H46" s="622"/>
      <c r="I46" s="622"/>
      <c r="J46" s="631"/>
      <c r="K46" s="631"/>
      <c r="L46" s="631"/>
      <c r="M46" s="631"/>
    </row>
    <row r="47" spans="1:16" ht="13.5" thickBot="1">
      <c r="A47" s="603">
        <v>30</v>
      </c>
      <c r="B47" s="632" t="s">
        <v>772</v>
      </c>
      <c r="C47" s="624">
        <f>SUM(C34:C46)/13</f>
        <v>0</v>
      </c>
      <c r="D47" s="624">
        <f t="shared" ref="D47:I47" si="5">SUM(D34:D46)/13</f>
        <v>0</v>
      </c>
      <c r="E47" s="624">
        <f t="shared" si="5"/>
        <v>4074476.7594921072</v>
      </c>
      <c r="F47" s="624">
        <f t="shared" si="5"/>
        <v>0</v>
      </c>
      <c r="G47" s="624">
        <f t="shared" si="5"/>
        <v>19438049.86028517</v>
      </c>
      <c r="H47" s="624">
        <f t="shared" si="5"/>
        <v>0</v>
      </c>
      <c r="I47" s="624">
        <f t="shared" si="5"/>
        <v>0</v>
      </c>
      <c r="J47" s="624"/>
      <c r="K47" s="624"/>
      <c r="L47" s="633"/>
      <c r="M47" s="624"/>
      <c r="P47" s="614"/>
    </row>
    <row r="48" spans="1:16" ht="15" thickTop="1">
      <c r="A48" s="603"/>
      <c r="B48" s="600"/>
      <c r="E48"/>
      <c r="F48"/>
      <c r="G48"/>
      <c r="H48"/>
      <c r="I48" s="626"/>
      <c r="K48" s="605"/>
      <c r="P48" s="614"/>
    </row>
    <row r="49" spans="1:18">
      <c r="A49" s="603"/>
      <c r="K49" s="630"/>
      <c r="P49" s="614"/>
    </row>
    <row r="50" spans="1:18">
      <c r="A50" s="638"/>
      <c r="B50" s="639"/>
      <c r="C50" s="640"/>
      <c r="D50" s="640"/>
      <c r="E50" s="640"/>
      <c r="F50" s="640"/>
      <c r="G50" s="640"/>
      <c r="M50" s="614"/>
      <c r="N50" s="614"/>
      <c r="O50" s="614"/>
      <c r="P50" s="614"/>
      <c r="Q50" s="614"/>
      <c r="R50" s="614"/>
    </row>
    <row r="51" spans="1:18">
      <c r="A51" s="638"/>
      <c r="B51" s="639"/>
      <c r="C51" s="640"/>
      <c r="D51" s="640"/>
      <c r="E51" s="640"/>
      <c r="F51" s="640"/>
      <c r="G51" s="640"/>
      <c r="M51" s="614"/>
      <c r="N51" s="614"/>
      <c r="O51" s="614"/>
      <c r="P51" s="614"/>
      <c r="Q51" s="614"/>
      <c r="R51" s="614"/>
    </row>
    <row r="52" spans="1:18">
      <c r="A52" s="603" t="s">
        <v>544</v>
      </c>
    </row>
    <row r="53" spans="1:18" ht="12.75" customHeight="1">
      <c r="A53" s="603" t="s">
        <v>9</v>
      </c>
      <c r="B53" s="1981" t="s">
        <v>1199</v>
      </c>
      <c r="C53" s="1981"/>
      <c r="D53" s="1981"/>
      <c r="E53" s="1981"/>
      <c r="F53" s="1981"/>
      <c r="G53" s="1981"/>
      <c r="H53" s="1981"/>
      <c r="I53" s="1981"/>
      <c r="J53" s="1981"/>
      <c r="K53" s="1981"/>
      <c r="L53" s="1981"/>
    </row>
    <row r="54" spans="1:18" ht="12.75" customHeight="1">
      <c r="A54" s="603" t="s">
        <v>10</v>
      </c>
      <c r="B54" s="1982" t="s">
        <v>545</v>
      </c>
      <c r="C54" s="1982"/>
      <c r="D54" s="1982"/>
      <c r="E54" s="1982"/>
      <c r="F54" s="1982"/>
      <c r="G54" s="1982"/>
      <c r="H54" s="1982"/>
      <c r="I54" s="1982"/>
      <c r="J54" s="1982"/>
      <c r="K54" s="1982"/>
      <c r="L54" s="1982"/>
      <c r="M54" s="605"/>
    </row>
    <row r="55" spans="1:18" ht="12.75" customHeight="1">
      <c r="A55" s="603" t="s">
        <v>11</v>
      </c>
      <c r="B55" s="599" t="s">
        <v>546</v>
      </c>
      <c r="C55" s="641"/>
      <c r="D55" s="641"/>
      <c r="E55" s="641"/>
      <c r="F55" s="641"/>
      <c r="G55" s="641"/>
      <c r="H55" s="641"/>
      <c r="I55" s="641"/>
      <c r="J55" s="641"/>
      <c r="K55" s="641"/>
      <c r="L55" s="641"/>
    </row>
    <row r="56" spans="1:18">
      <c r="A56" s="603"/>
      <c r="B56" s="642" t="s">
        <v>547</v>
      </c>
      <c r="C56" s="643"/>
      <c r="D56" s="643"/>
      <c r="E56" s="643"/>
      <c r="F56" s="643"/>
      <c r="G56" s="643"/>
      <c r="H56" s="643"/>
      <c r="I56" s="648"/>
      <c r="J56" s="643"/>
      <c r="K56" s="643"/>
      <c r="L56" s="643"/>
    </row>
    <row r="57" spans="1:18">
      <c r="A57" s="603"/>
      <c r="B57" s="642" t="s">
        <v>548</v>
      </c>
      <c r="C57" s="643"/>
      <c r="D57" s="643"/>
      <c r="E57" s="643"/>
      <c r="F57" s="643"/>
      <c r="G57" s="643"/>
      <c r="H57" s="643"/>
      <c r="I57" s="648"/>
      <c r="J57" s="643"/>
      <c r="K57" s="643"/>
      <c r="L57" s="643"/>
    </row>
    <row r="58" spans="1:18" ht="12.75" customHeight="1">
      <c r="A58" s="603" t="s">
        <v>14</v>
      </c>
      <c r="B58" s="599" t="s">
        <v>867</v>
      </c>
    </row>
    <row r="59" spans="1:18" ht="12.75" customHeight="1">
      <c r="A59" s="603" t="s">
        <v>137</v>
      </c>
      <c r="B59" s="1974" t="s">
        <v>549</v>
      </c>
      <c r="C59" s="1974"/>
      <c r="D59" s="1974"/>
      <c r="E59" s="1974"/>
      <c r="F59" s="1974"/>
      <c r="G59" s="1974"/>
      <c r="H59" s="1974"/>
      <c r="I59" s="1974"/>
      <c r="J59" s="1974"/>
      <c r="K59" s="1974"/>
      <c r="L59" s="1974"/>
    </row>
    <row r="60" spans="1:18">
      <c r="A60" s="603" t="s">
        <v>138</v>
      </c>
      <c r="B60" s="599" t="s">
        <v>551</v>
      </c>
    </row>
    <row r="61" spans="1:18">
      <c r="A61" s="603" t="s">
        <v>139</v>
      </c>
      <c r="B61" s="599" t="s">
        <v>1906</v>
      </c>
    </row>
    <row r="62" spans="1:18">
      <c r="A62" s="1108" t="s">
        <v>550</v>
      </c>
      <c r="B62" s="1109" t="s">
        <v>1200</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8">
    <mergeCell ref="B59:L59"/>
    <mergeCell ref="C6:E6"/>
    <mergeCell ref="F6:H6"/>
    <mergeCell ref="C28:J28"/>
    <mergeCell ref="B53:L53"/>
    <mergeCell ref="B54:L54"/>
    <mergeCell ref="I6:J6"/>
    <mergeCell ref="K6:M6"/>
  </mergeCells>
  <pageMargins left="0.25" right="0.25" top="0.75" bottom="0.75" header="0.3" footer="0.3"/>
  <pageSetup scale="39" orientation="landscape" r:id="rId2"/>
  <rowBreaks count="1" manualBreakCount="1">
    <brk id="4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92C9-9AAB-40A9-A39B-5E6282D642B4}">
  <dimension ref="A1:S204"/>
  <sheetViews>
    <sheetView zoomScale="68" zoomScaleNormal="68" workbookViewId="0">
      <selection activeCell="O92" sqref="O92"/>
    </sheetView>
  </sheetViews>
  <sheetFormatPr defaultColWidth="9.1796875" defaultRowHeight="12.5"/>
  <cols>
    <col min="1" max="1" width="5.7265625" style="985" customWidth="1"/>
    <col min="2" max="2" width="9.453125" style="1246" customWidth="1"/>
    <col min="3" max="3" width="5.7265625" style="985" customWidth="1"/>
    <col min="4" max="4" width="32.1796875" style="985" customWidth="1"/>
    <col min="5" max="5" width="14.453125" style="985" customWidth="1"/>
    <col min="6" max="6" width="21.81640625" style="985" customWidth="1"/>
    <col min="7" max="7" width="15.1796875" style="985" customWidth="1"/>
    <col min="8" max="8" width="22.7265625" style="985" customWidth="1"/>
    <col min="9" max="9" width="3.81640625" style="985" customWidth="1"/>
    <col min="10" max="10" width="23.1796875" style="985" customWidth="1"/>
    <col min="11" max="11" width="21.81640625" style="985" customWidth="1"/>
    <col min="12" max="12" width="24.54296875" style="985" customWidth="1"/>
    <col min="13" max="13" width="3.81640625" style="985" customWidth="1"/>
    <col min="14" max="14" width="19.7265625" style="985" customWidth="1"/>
    <col min="15" max="15" width="25.453125" style="985" customWidth="1"/>
    <col min="16" max="16" width="24.7265625" style="985" customWidth="1"/>
    <col min="17" max="17" width="25" style="985" customWidth="1"/>
    <col min="18" max="18" width="26.54296875" style="985" customWidth="1"/>
    <col min="19" max="19" width="3.81640625" style="985" customWidth="1"/>
    <col min="20" max="16384" width="9.1796875" style="985"/>
  </cols>
  <sheetData>
    <row r="1" spans="1:19" ht="15.5">
      <c r="A1" s="1835" t="s">
        <v>1705</v>
      </c>
      <c r="B1" s="1835"/>
      <c r="C1" s="1835"/>
      <c r="D1" s="1835"/>
      <c r="E1" s="1835"/>
      <c r="F1" s="1835"/>
      <c r="G1" s="1835"/>
      <c r="H1" s="1835"/>
      <c r="I1" s="1835"/>
      <c r="J1" s="1835"/>
      <c r="K1" s="1835"/>
      <c r="L1" s="1835"/>
      <c r="M1" s="1835"/>
      <c r="N1" s="1835"/>
      <c r="O1" s="1835"/>
      <c r="P1" s="1835"/>
      <c r="Q1" s="1835"/>
      <c r="R1" s="1835"/>
      <c r="S1" s="1243"/>
    </row>
    <row r="2" spans="1:19" ht="15.5">
      <c r="A2" s="1835" t="s">
        <v>1299</v>
      </c>
      <c r="B2" s="1835"/>
      <c r="C2" s="1835"/>
      <c r="D2" s="1835"/>
      <c r="E2" s="1835"/>
      <c r="F2" s="1835"/>
      <c r="G2" s="1835"/>
      <c r="H2" s="1835"/>
      <c r="I2" s="1835"/>
      <c r="J2" s="1835"/>
      <c r="K2" s="1835"/>
      <c r="L2" s="1835"/>
      <c r="M2" s="1835"/>
      <c r="N2" s="1835"/>
      <c r="O2" s="1835"/>
      <c r="P2" s="1835"/>
      <c r="Q2" s="1835"/>
      <c r="R2" s="1835"/>
      <c r="S2" s="1243"/>
    </row>
    <row r="3" spans="1:19" ht="15.5">
      <c r="A3" s="1835" t="s">
        <v>1300</v>
      </c>
      <c r="B3" s="1835"/>
      <c r="C3" s="1835"/>
      <c r="D3" s="1835"/>
      <c r="E3" s="1835"/>
      <c r="F3" s="1835"/>
      <c r="G3" s="1835"/>
      <c r="H3" s="1835"/>
      <c r="I3" s="1835"/>
      <c r="J3" s="1835"/>
      <c r="K3" s="1835"/>
      <c r="L3" s="1835"/>
      <c r="M3" s="1835"/>
      <c r="N3" s="1835"/>
      <c r="O3" s="1835"/>
      <c r="P3" s="1835"/>
      <c r="Q3" s="1835"/>
      <c r="R3" s="1835"/>
      <c r="S3" s="1243"/>
    </row>
    <row r="4" spans="1:19" ht="13">
      <c r="A4" s="1243"/>
      <c r="B4" s="1244"/>
      <c r="C4" s="1243"/>
    </row>
    <row r="5" spans="1:19" s="889" customFormat="1" ht="15.5">
      <c r="B5" s="1245"/>
      <c r="D5" s="889" t="s">
        <v>919</v>
      </c>
      <c r="E5" s="891" t="s">
        <v>1926</v>
      </c>
      <c r="F5" s="892"/>
      <c r="G5" s="892"/>
      <c r="H5" s="892"/>
    </row>
    <row r="6" spans="1:19" ht="13">
      <c r="D6" s="1243"/>
    </row>
    <row r="7" spans="1:19" ht="13">
      <c r="D7" s="1243" t="s">
        <v>920</v>
      </c>
      <c r="J7" s="1831"/>
      <c r="K7" s="1831"/>
      <c r="L7" s="1831"/>
      <c r="N7" s="1831"/>
      <c r="O7" s="1831"/>
      <c r="P7" s="1831"/>
      <c r="Q7" s="1831"/>
      <c r="R7" s="1831"/>
    </row>
    <row r="8" spans="1:19" ht="13">
      <c r="D8" s="1832" t="s">
        <v>921</v>
      </c>
      <c r="E8" s="1833"/>
      <c r="F8" s="1833"/>
      <c r="G8" s="1833"/>
      <c r="H8" s="1834"/>
      <c r="I8" s="1247"/>
      <c r="J8" s="1826" t="s">
        <v>1301</v>
      </c>
      <c r="K8" s="1827"/>
      <c r="L8" s="1828"/>
      <c r="M8" s="1247"/>
      <c r="N8" s="1826" t="s">
        <v>1302</v>
      </c>
      <c r="O8" s="1827"/>
      <c r="P8" s="1827"/>
      <c r="Q8" s="1827"/>
      <c r="R8" s="1828"/>
      <c r="S8" s="1247"/>
    </row>
    <row r="9" spans="1:19" ht="13">
      <c r="D9" s="1248" t="s">
        <v>175</v>
      </c>
      <c r="E9" s="1248" t="s">
        <v>176</v>
      </c>
      <c r="F9" s="1248" t="s">
        <v>1303</v>
      </c>
      <c r="G9" s="1248" t="s">
        <v>1304</v>
      </c>
      <c r="H9" s="1248" t="s">
        <v>1305</v>
      </c>
      <c r="I9" s="1247"/>
      <c r="J9" s="1248" t="s">
        <v>1306</v>
      </c>
      <c r="K9" s="1248" t="s">
        <v>1307</v>
      </c>
      <c r="L9" s="1248" t="s">
        <v>1308</v>
      </c>
      <c r="M9" s="1247"/>
      <c r="N9" s="1248" t="s">
        <v>1309</v>
      </c>
      <c r="O9" s="1248" t="s">
        <v>1310</v>
      </c>
      <c r="P9" s="1248" t="s">
        <v>1311</v>
      </c>
      <c r="Q9" s="1248" t="s">
        <v>1312</v>
      </c>
      <c r="R9" s="1248" t="s">
        <v>1313</v>
      </c>
      <c r="S9" s="1247"/>
    </row>
    <row r="10" spans="1:19" ht="63" customHeight="1">
      <c r="B10" s="1249" t="s">
        <v>1314</v>
      </c>
      <c r="D10" s="1250" t="s">
        <v>170</v>
      </c>
      <c r="E10" s="1250" t="s">
        <v>922</v>
      </c>
      <c r="F10" s="1250" t="s">
        <v>1014</v>
      </c>
      <c r="G10" s="1250" t="s">
        <v>1013</v>
      </c>
      <c r="H10" s="1250" t="s">
        <v>1315</v>
      </c>
      <c r="I10" s="1678"/>
      <c r="J10" s="1250" t="s">
        <v>925</v>
      </c>
      <c r="K10" s="1250" t="s">
        <v>1316</v>
      </c>
      <c r="L10" s="1250" t="s">
        <v>1317</v>
      </c>
      <c r="M10" s="1678"/>
      <c r="N10" s="1250" t="s">
        <v>1012</v>
      </c>
      <c r="O10" s="1250" t="s">
        <v>1318</v>
      </c>
      <c r="P10" s="1250" t="s">
        <v>1319</v>
      </c>
      <c r="Q10" s="1250" t="s">
        <v>1320</v>
      </c>
      <c r="R10" s="1250" t="s">
        <v>1321</v>
      </c>
      <c r="S10" s="1678"/>
    </row>
    <row r="11" spans="1:19">
      <c r="E11" s="1678"/>
      <c r="F11" s="1678"/>
      <c r="G11" s="1678"/>
      <c r="H11" s="1678"/>
      <c r="I11" s="1678"/>
      <c r="J11" s="1678"/>
      <c r="K11" s="1678"/>
      <c r="L11" s="1678"/>
      <c r="M11" s="1678"/>
      <c r="N11" s="1678"/>
      <c r="O11" s="1678"/>
      <c r="P11" s="1678"/>
      <c r="Q11" s="1678"/>
      <c r="R11" s="1678"/>
      <c r="S11" s="1678"/>
    </row>
    <row r="12" spans="1:19">
      <c r="B12" s="1246">
        <v>1</v>
      </c>
      <c r="D12" s="985" t="s">
        <v>1011</v>
      </c>
      <c r="E12" s="1678"/>
      <c r="F12" s="1678"/>
      <c r="G12" s="1678"/>
      <c r="H12" s="1678"/>
      <c r="I12" s="1678"/>
      <c r="J12" s="1726" t="s">
        <v>1915</v>
      </c>
      <c r="K12" s="1678"/>
      <c r="L12" s="1685">
        <v>0</v>
      </c>
      <c r="M12" s="1678"/>
      <c r="N12" s="1685"/>
      <c r="O12" s="1678"/>
      <c r="P12" s="1678"/>
      <c r="Q12" s="1678"/>
      <c r="R12" s="1685">
        <v>0</v>
      </c>
      <c r="S12" s="1678"/>
    </row>
    <row r="13" spans="1:19">
      <c r="E13" s="1678"/>
      <c r="F13" s="1678"/>
      <c r="G13" s="1678"/>
      <c r="H13" s="1678"/>
      <c r="I13" s="1678"/>
      <c r="J13" s="1678"/>
      <c r="K13" s="1678"/>
      <c r="L13" s="1678"/>
      <c r="M13" s="1678"/>
      <c r="N13" s="1678"/>
      <c r="O13" s="1678"/>
      <c r="P13" s="1678"/>
      <c r="Q13" s="1678"/>
      <c r="R13" s="1678"/>
      <c r="S13" s="1678"/>
    </row>
    <row r="14" spans="1:19">
      <c r="B14" s="1246">
        <f>B12+1</f>
        <v>2</v>
      </c>
      <c r="D14" s="1251" t="s">
        <v>528</v>
      </c>
      <c r="E14" s="1726">
        <v>31</v>
      </c>
      <c r="F14" s="1727">
        <v>0</v>
      </c>
      <c r="G14" s="1727">
        <v>214</v>
      </c>
      <c r="H14" s="1690">
        <f t="shared" ref="H14:H25" si="0">IF(F14=0,0.5,F14/G14)</f>
        <v>0.5</v>
      </c>
      <c r="I14" s="1689"/>
      <c r="J14" s="1685">
        <v>0</v>
      </c>
      <c r="K14" s="1683">
        <f t="shared" ref="K14:K25" si="1">+J14*H14</f>
        <v>0</v>
      </c>
      <c r="L14" s="1683">
        <f>+K14+L12</f>
        <v>0</v>
      </c>
      <c r="M14" s="1689"/>
      <c r="N14" s="1685">
        <v>0</v>
      </c>
      <c r="O14" s="1683">
        <f t="shared" ref="O14:O25" si="2">IF($D$177="True-Up Adjustment",N14-J14,0)</f>
        <v>0</v>
      </c>
      <c r="P14" s="1683">
        <f t="shared" ref="P14:P25" si="3">IF($D$177="True-Up Adjustment",IF(AND(J14&gt;=0,N14&gt;=0),IF(O14&gt;=0,K14+O14,N14/J14*K14),IF(AND(J14&lt;0,N14&lt;0),IF(O14&lt;0,K14+O14,N14/J14*K14),0)),0)</f>
        <v>0</v>
      </c>
      <c r="Q14" s="1683">
        <f t="shared" ref="Q14:Q25" si="4">IF(AND(J14&gt;=0,N14&lt;0),N14,IF(AND(J14&lt;0,N14&gt;=0),N14,0))</f>
        <v>0</v>
      </c>
      <c r="R14" s="1683">
        <f>+Q14+R12</f>
        <v>0</v>
      </c>
      <c r="S14" s="1689"/>
    </row>
    <row r="15" spans="1:19">
      <c r="B15" s="1246">
        <f t="shared" ref="B15:B26" si="5">+B14+1</f>
        <v>3</v>
      </c>
      <c r="D15" s="1251" t="s">
        <v>529</v>
      </c>
      <c r="E15" s="1726">
        <v>28</v>
      </c>
      <c r="F15" s="1727">
        <v>0</v>
      </c>
      <c r="G15" s="1727">
        <f t="shared" ref="G15:G25" si="6">G14</f>
        <v>214</v>
      </c>
      <c r="H15" s="1690">
        <f t="shared" si="0"/>
        <v>0.5</v>
      </c>
      <c r="I15" s="1689"/>
      <c r="J15" s="1685">
        <v>0</v>
      </c>
      <c r="K15" s="1683">
        <f t="shared" si="1"/>
        <v>0</v>
      </c>
      <c r="L15" s="1683">
        <f t="shared" ref="L15:L25" si="7">+K15+L14</f>
        <v>0</v>
      </c>
      <c r="M15" s="1689"/>
      <c r="N15" s="1685">
        <v>0</v>
      </c>
      <c r="O15" s="1683">
        <f t="shared" si="2"/>
        <v>0</v>
      </c>
      <c r="P15" s="1683">
        <f t="shared" si="3"/>
        <v>0</v>
      </c>
      <c r="Q15" s="1683">
        <f t="shared" si="4"/>
        <v>0</v>
      </c>
      <c r="R15" s="1683">
        <f t="shared" ref="R15:R25" si="8">R14+P15+Q15</f>
        <v>0</v>
      </c>
      <c r="S15" s="1689"/>
    </row>
    <row r="16" spans="1:19">
      <c r="B16" s="1246">
        <f t="shared" si="5"/>
        <v>4</v>
      </c>
      <c r="D16" s="1251" t="s">
        <v>553</v>
      </c>
      <c r="E16" s="1726">
        <v>31</v>
      </c>
      <c r="F16" s="1727">
        <v>0</v>
      </c>
      <c r="G16" s="1727">
        <f t="shared" si="6"/>
        <v>214</v>
      </c>
      <c r="H16" s="1690">
        <f t="shared" si="0"/>
        <v>0.5</v>
      </c>
      <c r="I16" s="1689"/>
      <c r="J16" s="1685">
        <v>0</v>
      </c>
      <c r="K16" s="1683">
        <f t="shared" si="1"/>
        <v>0</v>
      </c>
      <c r="L16" s="1683">
        <f t="shared" si="7"/>
        <v>0</v>
      </c>
      <c r="M16" s="1689"/>
      <c r="N16" s="1685">
        <v>0</v>
      </c>
      <c r="O16" s="1683">
        <f t="shared" si="2"/>
        <v>0</v>
      </c>
      <c r="P16" s="1683">
        <f t="shared" si="3"/>
        <v>0</v>
      </c>
      <c r="Q16" s="1683">
        <f t="shared" si="4"/>
        <v>0</v>
      </c>
      <c r="R16" s="1683">
        <f t="shared" si="8"/>
        <v>0</v>
      </c>
      <c r="S16" s="1689"/>
    </row>
    <row r="17" spans="2:19">
      <c r="B17" s="1246">
        <f t="shared" si="5"/>
        <v>5</v>
      </c>
      <c r="D17" s="1251" t="s">
        <v>172</v>
      </c>
      <c r="E17" s="1726">
        <v>30</v>
      </c>
      <c r="F17" s="1727">
        <v>0</v>
      </c>
      <c r="G17" s="1727">
        <f t="shared" si="6"/>
        <v>214</v>
      </c>
      <c r="H17" s="1690">
        <f t="shared" si="0"/>
        <v>0.5</v>
      </c>
      <c r="I17" s="1689"/>
      <c r="J17" s="1685">
        <v>0</v>
      </c>
      <c r="K17" s="1683">
        <f t="shared" si="1"/>
        <v>0</v>
      </c>
      <c r="L17" s="1683">
        <f t="shared" si="7"/>
        <v>0</v>
      </c>
      <c r="M17" s="1689"/>
      <c r="N17" s="1685">
        <v>0</v>
      </c>
      <c r="O17" s="1683">
        <f t="shared" si="2"/>
        <v>0</v>
      </c>
      <c r="P17" s="1683">
        <f t="shared" si="3"/>
        <v>0</v>
      </c>
      <c r="Q17" s="1683">
        <f t="shared" si="4"/>
        <v>0</v>
      </c>
      <c r="R17" s="1683">
        <f t="shared" si="8"/>
        <v>0</v>
      </c>
      <c r="S17" s="1689"/>
    </row>
    <row r="18" spans="2:19">
      <c r="B18" s="1246">
        <f t="shared" si="5"/>
        <v>6</v>
      </c>
      <c r="D18" s="1251" t="s">
        <v>173</v>
      </c>
      <c r="E18" s="1726">
        <v>31</v>
      </c>
      <c r="F18" s="1727">
        <v>0</v>
      </c>
      <c r="G18" s="1727">
        <f t="shared" si="6"/>
        <v>214</v>
      </c>
      <c r="H18" s="1690">
        <f t="shared" si="0"/>
        <v>0.5</v>
      </c>
      <c r="I18" s="1689"/>
      <c r="J18" s="1685">
        <v>0</v>
      </c>
      <c r="K18" s="1683">
        <f t="shared" si="1"/>
        <v>0</v>
      </c>
      <c r="L18" s="1683">
        <f t="shared" si="7"/>
        <v>0</v>
      </c>
      <c r="M18" s="1689"/>
      <c r="N18" s="1685">
        <v>0</v>
      </c>
      <c r="O18" s="1683">
        <f t="shared" si="2"/>
        <v>0</v>
      </c>
      <c r="P18" s="1683">
        <f t="shared" si="3"/>
        <v>0</v>
      </c>
      <c r="Q18" s="1683">
        <f t="shared" si="4"/>
        <v>0</v>
      </c>
      <c r="R18" s="1683">
        <f t="shared" si="8"/>
        <v>0</v>
      </c>
      <c r="S18" s="1689"/>
    </row>
    <row r="19" spans="2:19">
      <c r="B19" s="1246">
        <f t="shared" si="5"/>
        <v>7</v>
      </c>
      <c r="D19" s="1251" t="s">
        <v>174</v>
      </c>
      <c r="E19" s="1726">
        <v>30</v>
      </c>
      <c r="F19" s="1727">
        <f t="shared" ref="F19:F24" si="9">E20+F20</f>
        <v>185</v>
      </c>
      <c r="G19" s="1727">
        <f t="shared" si="6"/>
        <v>214</v>
      </c>
      <c r="H19" s="1690">
        <f t="shared" si="0"/>
        <v>0.86448598130841126</v>
      </c>
      <c r="I19" s="1689"/>
      <c r="J19" s="1685">
        <v>0</v>
      </c>
      <c r="K19" s="1683">
        <f t="shared" si="1"/>
        <v>0</v>
      </c>
      <c r="L19" s="1683">
        <f t="shared" si="7"/>
        <v>0</v>
      </c>
      <c r="M19" s="1689"/>
      <c r="N19" s="1685">
        <v>0</v>
      </c>
      <c r="O19" s="1683">
        <f t="shared" si="2"/>
        <v>0</v>
      </c>
      <c r="P19" s="1683">
        <f t="shared" si="3"/>
        <v>0</v>
      </c>
      <c r="Q19" s="1683">
        <f t="shared" si="4"/>
        <v>0</v>
      </c>
      <c r="R19" s="1683">
        <f t="shared" si="8"/>
        <v>0</v>
      </c>
      <c r="S19" s="1689"/>
    </row>
    <row r="20" spans="2:19">
      <c r="B20" s="1246">
        <f t="shared" si="5"/>
        <v>8</v>
      </c>
      <c r="D20" s="1251" t="s">
        <v>531</v>
      </c>
      <c r="E20" s="1726">
        <v>31</v>
      </c>
      <c r="F20" s="1727">
        <f t="shared" si="9"/>
        <v>154</v>
      </c>
      <c r="G20" s="1727">
        <f t="shared" si="6"/>
        <v>214</v>
      </c>
      <c r="H20" s="1690">
        <f t="shared" si="0"/>
        <v>0.71962616822429903</v>
      </c>
      <c r="I20" s="1689"/>
      <c r="J20" s="1685">
        <v>0</v>
      </c>
      <c r="K20" s="1683">
        <f t="shared" si="1"/>
        <v>0</v>
      </c>
      <c r="L20" s="1683">
        <f t="shared" si="7"/>
        <v>0</v>
      </c>
      <c r="M20" s="1689"/>
      <c r="N20" s="1685">
        <v>0</v>
      </c>
      <c r="O20" s="1683">
        <f t="shared" si="2"/>
        <v>0</v>
      </c>
      <c r="P20" s="1683">
        <f t="shared" si="3"/>
        <v>0</v>
      </c>
      <c r="Q20" s="1683">
        <f t="shared" si="4"/>
        <v>0</v>
      </c>
      <c r="R20" s="1683">
        <f t="shared" si="8"/>
        <v>0</v>
      </c>
      <c r="S20" s="1689"/>
    </row>
    <row r="21" spans="2:19">
      <c r="B21" s="1246">
        <f t="shared" si="5"/>
        <v>9</v>
      </c>
      <c r="D21" s="1251" t="s">
        <v>554</v>
      </c>
      <c r="E21" s="1726">
        <v>31</v>
      </c>
      <c r="F21" s="1727">
        <f t="shared" si="9"/>
        <v>123</v>
      </c>
      <c r="G21" s="1727">
        <f t="shared" si="6"/>
        <v>214</v>
      </c>
      <c r="H21" s="1690">
        <f t="shared" si="0"/>
        <v>0.57476635514018692</v>
      </c>
      <c r="I21" s="1689"/>
      <c r="J21" s="1685">
        <v>0</v>
      </c>
      <c r="K21" s="1683">
        <f t="shared" si="1"/>
        <v>0</v>
      </c>
      <c r="L21" s="1683">
        <f t="shared" si="7"/>
        <v>0</v>
      </c>
      <c r="M21" s="1689"/>
      <c r="N21" s="1685">
        <v>0</v>
      </c>
      <c r="O21" s="1683">
        <f t="shared" si="2"/>
        <v>0</v>
      </c>
      <c r="P21" s="1683">
        <f t="shared" si="3"/>
        <v>0</v>
      </c>
      <c r="Q21" s="1683">
        <f t="shared" si="4"/>
        <v>0</v>
      </c>
      <c r="R21" s="1683">
        <f t="shared" si="8"/>
        <v>0</v>
      </c>
      <c r="S21" s="1689"/>
    </row>
    <row r="22" spans="2:19">
      <c r="B22" s="1246">
        <f t="shared" si="5"/>
        <v>10</v>
      </c>
      <c r="D22" s="1251" t="s">
        <v>533</v>
      </c>
      <c r="E22" s="1726">
        <v>30</v>
      </c>
      <c r="F22" s="1727">
        <f t="shared" si="9"/>
        <v>93</v>
      </c>
      <c r="G22" s="1727">
        <f t="shared" si="6"/>
        <v>214</v>
      </c>
      <c r="H22" s="1690">
        <f t="shared" si="0"/>
        <v>0.43457943925233644</v>
      </c>
      <c r="I22" s="1689"/>
      <c r="J22" s="1685">
        <v>0</v>
      </c>
      <c r="K22" s="1683">
        <f t="shared" si="1"/>
        <v>0</v>
      </c>
      <c r="L22" s="1683">
        <f t="shared" si="7"/>
        <v>0</v>
      </c>
      <c r="M22" s="1689"/>
      <c r="N22" s="1685">
        <v>0</v>
      </c>
      <c r="O22" s="1683">
        <f t="shared" si="2"/>
        <v>0</v>
      </c>
      <c r="P22" s="1683">
        <f t="shared" si="3"/>
        <v>0</v>
      </c>
      <c r="Q22" s="1683">
        <f t="shared" si="4"/>
        <v>0</v>
      </c>
      <c r="R22" s="1683">
        <f t="shared" si="8"/>
        <v>0</v>
      </c>
      <c r="S22" s="1689"/>
    </row>
    <row r="23" spans="2:19">
      <c r="B23" s="1246">
        <f t="shared" si="5"/>
        <v>11</v>
      </c>
      <c r="D23" s="1251" t="s">
        <v>534</v>
      </c>
      <c r="E23" s="1726">
        <v>31</v>
      </c>
      <c r="F23" s="1727">
        <f t="shared" si="9"/>
        <v>62</v>
      </c>
      <c r="G23" s="1727">
        <f t="shared" si="6"/>
        <v>214</v>
      </c>
      <c r="H23" s="1690">
        <f t="shared" si="0"/>
        <v>0.28971962616822428</v>
      </c>
      <c r="I23" s="1689"/>
      <c r="J23" s="1685">
        <v>0</v>
      </c>
      <c r="K23" s="1683">
        <f t="shared" si="1"/>
        <v>0</v>
      </c>
      <c r="L23" s="1683">
        <f t="shared" si="7"/>
        <v>0</v>
      </c>
      <c r="M23" s="1689"/>
      <c r="N23" s="1685">
        <v>0</v>
      </c>
      <c r="O23" s="1683">
        <f t="shared" si="2"/>
        <v>0</v>
      </c>
      <c r="P23" s="1683">
        <f t="shared" si="3"/>
        <v>0</v>
      </c>
      <c r="Q23" s="1683">
        <f t="shared" si="4"/>
        <v>0</v>
      </c>
      <c r="R23" s="1683">
        <f t="shared" si="8"/>
        <v>0</v>
      </c>
      <c r="S23" s="1689"/>
    </row>
    <row r="24" spans="2:19">
      <c r="B24" s="1246">
        <f t="shared" si="5"/>
        <v>12</v>
      </c>
      <c r="D24" s="1251" t="s">
        <v>535</v>
      </c>
      <c r="E24" s="1726">
        <v>30</v>
      </c>
      <c r="F24" s="1727">
        <f t="shared" si="9"/>
        <v>32</v>
      </c>
      <c r="G24" s="1727">
        <f t="shared" si="6"/>
        <v>214</v>
      </c>
      <c r="H24" s="1690">
        <f t="shared" si="0"/>
        <v>0.14953271028037382</v>
      </c>
      <c r="I24" s="1689"/>
      <c r="J24" s="1685">
        <v>0</v>
      </c>
      <c r="K24" s="1683">
        <f t="shared" si="1"/>
        <v>0</v>
      </c>
      <c r="L24" s="1683">
        <f t="shared" si="7"/>
        <v>0</v>
      </c>
      <c r="M24" s="1689"/>
      <c r="N24" s="1685">
        <v>0</v>
      </c>
      <c r="O24" s="1683">
        <f t="shared" si="2"/>
        <v>0</v>
      </c>
      <c r="P24" s="1683">
        <f t="shared" si="3"/>
        <v>0</v>
      </c>
      <c r="Q24" s="1683">
        <f t="shared" si="4"/>
        <v>0</v>
      </c>
      <c r="R24" s="1683">
        <f t="shared" si="8"/>
        <v>0</v>
      </c>
      <c r="S24" s="1689"/>
    </row>
    <row r="25" spans="2:19">
      <c r="B25" s="1246">
        <f t="shared" si="5"/>
        <v>13</v>
      </c>
      <c r="D25" s="1252" t="s">
        <v>757</v>
      </c>
      <c r="E25" s="1726">
        <v>31</v>
      </c>
      <c r="F25" s="1728">
        <v>1</v>
      </c>
      <c r="G25" s="1727">
        <f t="shared" si="6"/>
        <v>214</v>
      </c>
      <c r="H25" s="1690">
        <f t="shared" si="0"/>
        <v>4.6728971962616819E-3</v>
      </c>
      <c r="I25" s="1689"/>
      <c r="J25" s="1685">
        <v>0</v>
      </c>
      <c r="K25" s="1683">
        <f t="shared" si="1"/>
        <v>0</v>
      </c>
      <c r="L25" s="1683">
        <f t="shared" si="7"/>
        <v>0</v>
      </c>
      <c r="M25" s="1689"/>
      <c r="N25" s="1685">
        <v>0</v>
      </c>
      <c r="O25" s="1683">
        <f t="shared" si="2"/>
        <v>0</v>
      </c>
      <c r="P25" s="1683">
        <f t="shared" si="3"/>
        <v>0</v>
      </c>
      <c r="Q25" s="1683">
        <f t="shared" si="4"/>
        <v>0</v>
      </c>
      <c r="R25" s="1683">
        <f t="shared" si="8"/>
        <v>0</v>
      </c>
      <c r="S25" s="1689"/>
    </row>
    <row r="26" spans="2:19">
      <c r="B26" s="1246">
        <f t="shared" si="5"/>
        <v>14</v>
      </c>
      <c r="D26" s="1253" t="str">
        <f>"Total (Sum of Lines "&amp;B14&amp;" - "&amp;B25&amp;")"</f>
        <v>Total (Sum of Lines 2 - 13)</v>
      </c>
      <c r="E26" s="1688">
        <f>SUM(E14:E25)</f>
        <v>365</v>
      </c>
      <c r="F26" s="1254"/>
      <c r="G26" s="1254"/>
      <c r="H26" s="1255"/>
      <c r="I26" s="1686"/>
      <c r="J26" s="1688">
        <f>SUM(J14:J25)</f>
        <v>0</v>
      </c>
      <c r="K26" s="1688">
        <f>SUM(K14:K25)</f>
        <v>0</v>
      </c>
      <c r="L26" s="1687"/>
      <c r="M26" s="1686"/>
      <c r="N26" s="1688">
        <f>SUM(N14:N25)</f>
        <v>0</v>
      </c>
      <c r="O26" s="1688">
        <f>SUM(O14:O25)</f>
        <v>0</v>
      </c>
      <c r="P26" s="1688">
        <f>SUM(P14:P25)</f>
        <v>0</v>
      </c>
      <c r="Q26" s="1688">
        <f>SUM(Q14:Q25)</f>
        <v>0</v>
      </c>
      <c r="R26" s="1687"/>
      <c r="S26" s="1686"/>
    </row>
    <row r="27" spans="2:19">
      <c r="D27" s="1256"/>
      <c r="E27" s="1256"/>
      <c r="F27" s="1256"/>
      <c r="G27" s="1256"/>
      <c r="H27" s="1257"/>
      <c r="I27" s="1257"/>
      <c r="K27" s="1258"/>
      <c r="L27" s="1257"/>
      <c r="M27" s="1257"/>
      <c r="O27" s="1258"/>
      <c r="P27" s="1258"/>
      <c r="Q27" s="1258"/>
      <c r="R27" s="1257"/>
      <c r="S27" s="1257"/>
    </row>
    <row r="28" spans="2:19">
      <c r="B28" s="1246">
        <f>B26+1</f>
        <v>15</v>
      </c>
      <c r="D28" s="985" t="s">
        <v>926</v>
      </c>
      <c r="I28" s="1257"/>
      <c r="J28" s="1726" t="s">
        <v>1915</v>
      </c>
      <c r="L28" s="1685">
        <f>'1C - ADIT BOY'!E11</f>
        <v>15849111.515415911</v>
      </c>
      <c r="M28" s="1259"/>
      <c r="N28" s="1685"/>
      <c r="R28" s="1685">
        <v>0</v>
      </c>
    </row>
    <row r="29" spans="2:19">
      <c r="B29" s="1246">
        <f>B28+1</f>
        <v>16</v>
      </c>
      <c r="D29" s="985" t="s">
        <v>1894</v>
      </c>
      <c r="I29" s="1257"/>
      <c r="J29" s="1260" t="s">
        <v>647</v>
      </c>
      <c r="L29" s="1261">
        <v>0</v>
      </c>
      <c r="M29" s="1262"/>
      <c r="N29" s="1260"/>
      <c r="R29" s="1261">
        <v>0</v>
      </c>
    </row>
    <row r="30" spans="2:19">
      <c r="B30" s="1246">
        <f>B29+1</f>
        <v>17</v>
      </c>
      <c r="D30" s="985" t="s">
        <v>927</v>
      </c>
      <c r="I30" s="1257"/>
      <c r="J30" s="1253" t="str">
        <f>"(Col. "&amp;L9&amp;", Line "&amp;B28&amp;" + Line "&amp;B29&amp;")"</f>
        <v>(Col. (H), Line 15 + Line 16)</v>
      </c>
      <c r="L30" s="1684">
        <f>L28+L29</f>
        <v>15849111.515415911</v>
      </c>
      <c r="M30" s="1257"/>
      <c r="N30" s="1253" t="str">
        <f>"(Col. "&amp;R9&amp;", Line "&amp;B28&amp;" + Line "&amp;B29&amp;")"</f>
        <v>(Col. (M), Line 15 + Line 16)</v>
      </c>
      <c r="R30" s="1684">
        <f>R28+R29</f>
        <v>0</v>
      </c>
    </row>
    <row r="31" spans="2:19">
      <c r="I31" s="1257"/>
      <c r="L31" s="1684"/>
      <c r="M31" s="1257"/>
      <c r="R31" s="1684"/>
    </row>
    <row r="32" spans="2:19">
      <c r="B32" s="1246">
        <f>B30+1</f>
        <v>18</v>
      </c>
      <c r="D32" s="985" t="s">
        <v>928</v>
      </c>
      <c r="I32" s="1257"/>
      <c r="J32" s="1726" t="s">
        <v>1927</v>
      </c>
      <c r="L32" s="1685">
        <f>'1B - ADIT EOY'!E11</f>
        <v>15049671.139249681</v>
      </c>
      <c r="M32" s="1259"/>
      <c r="N32" s="1685"/>
      <c r="R32" s="1685">
        <v>0</v>
      </c>
    </row>
    <row r="33" spans="2:19">
      <c r="B33" s="1246">
        <f>B32+1</f>
        <v>19</v>
      </c>
      <c r="D33" s="985" t="s">
        <v>1895</v>
      </c>
      <c r="I33" s="1257"/>
      <c r="J33" s="1260" t="s">
        <v>647</v>
      </c>
      <c r="L33" s="1261">
        <v>0</v>
      </c>
      <c r="M33" s="1257"/>
      <c r="N33" s="1260"/>
      <c r="R33" s="1261">
        <v>0</v>
      </c>
    </row>
    <row r="34" spans="2:19">
      <c r="B34" s="1246">
        <f>B33+1</f>
        <v>20</v>
      </c>
      <c r="D34" s="985" t="s">
        <v>932</v>
      </c>
      <c r="G34" s="1253"/>
      <c r="I34" s="1257"/>
      <c r="J34" s="1253" t="str">
        <f>"(Col. "&amp;L9&amp;", Line "&amp;B32&amp;" + Line "&amp;B33&amp;")"</f>
        <v>(Col. (H), Line 18 + Line 19)</v>
      </c>
      <c r="L34" s="1684">
        <f>L32+L33</f>
        <v>15049671.139249681</v>
      </c>
      <c r="M34" s="1257"/>
      <c r="N34" s="1253" t="str">
        <f>"(Col. "&amp;R9&amp;", Line "&amp;B32&amp;" + Line "&amp;B33&amp;")"</f>
        <v>(Col. (M), Line 18 + Line 19)</v>
      </c>
      <c r="R34" s="1684">
        <f>R32+R33</f>
        <v>0</v>
      </c>
    </row>
    <row r="35" spans="2:19">
      <c r="I35" s="1257"/>
      <c r="L35" s="1684"/>
      <c r="M35" s="1257"/>
      <c r="R35" s="1684"/>
    </row>
    <row r="36" spans="2:19">
      <c r="B36" s="1246">
        <f>B34+1</f>
        <v>21</v>
      </c>
      <c r="D36" s="985" t="s">
        <v>1009</v>
      </c>
      <c r="I36" s="1257"/>
      <c r="J36" s="1253" t="str">
        <f>"([Col. "&amp;L9&amp;", Line "&amp;B30&amp;" + Line "&amp;B34&amp;"] /2)"</f>
        <v>([Col. (H), Line 17 + Line 20] /2)</v>
      </c>
      <c r="L36" s="1683">
        <f>(L30+L34)/2</f>
        <v>15449391.327332795</v>
      </c>
      <c r="M36" s="1257"/>
      <c r="N36" s="1253" t="str">
        <f>"([Col. "&amp;R9&amp;", Line "&amp;B30&amp;" + Line "&amp;B34&amp;"] /2)"</f>
        <v>([Col. (M), Line 17 + Line 20] /2)</v>
      </c>
      <c r="R36" s="1683">
        <f>(R30+R34)/2</f>
        <v>0</v>
      </c>
    </row>
    <row r="37" spans="2:19">
      <c r="B37" s="1246">
        <f>B36+1</f>
        <v>22</v>
      </c>
      <c r="D37" s="1256" t="s">
        <v>1008</v>
      </c>
      <c r="E37" s="1256"/>
      <c r="F37" s="1256"/>
      <c r="G37" s="1256"/>
      <c r="H37" s="1257"/>
      <c r="I37" s="1257"/>
      <c r="J37" s="1253" t="str">
        <f>"(Col. "&amp;L9&amp;", Line "&amp;B25&amp;" )"</f>
        <v>(Col. (H), Line 13 )</v>
      </c>
      <c r="K37" s="1258"/>
      <c r="L37" s="1683">
        <f>L25</f>
        <v>0</v>
      </c>
      <c r="M37" s="1257"/>
      <c r="N37" s="1253" t="str">
        <f>"(Col. "&amp;R9&amp;", Line "&amp;B25&amp;" )"</f>
        <v>(Col. (M), Line 13 )</v>
      </c>
      <c r="R37" s="1683">
        <f>R25</f>
        <v>0</v>
      </c>
    </row>
    <row r="38" spans="2:19" ht="13.5" thickBot="1">
      <c r="B38" s="1246">
        <f>B37+1</f>
        <v>23</v>
      </c>
      <c r="D38" s="1263" t="s">
        <v>1861</v>
      </c>
      <c r="E38" s="1256"/>
      <c r="F38" s="1256"/>
      <c r="G38" s="1256"/>
      <c r="H38" s="1257"/>
      <c r="I38" s="1257"/>
      <c r="J38" s="1253" t="str">
        <f>"(Col. "&amp;L9&amp;", Line "&amp;B36&amp;" + Line "&amp;B37&amp;")"</f>
        <v>(Col. (H), Line 21 + Line 22)</v>
      </c>
      <c r="K38" s="1258"/>
      <c r="L38" s="1682">
        <f>L36+L37</f>
        <v>15449391.327332795</v>
      </c>
      <c r="M38" s="1257"/>
      <c r="N38" s="1253" t="str">
        <f>"(Col. "&amp;R9&amp;", Line "&amp;B36&amp;" + Line "&amp;B37&amp;")"</f>
        <v>(Col. (M), Line 21 + Line 22)</v>
      </c>
      <c r="R38" s="1682">
        <f>R36+R37</f>
        <v>0</v>
      </c>
    </row>
    <row r="39" spans="2:19">
      <c r="I39" s="1257"/>
      <c r="L39" s="1683"/>
      <c r="M39" s="1257"/>
      <c r="R39" s="1683"/>
      <c r="S39" s="1257"/>
    </row>
    <row r="40" spans="2:19" ht="13">
      <c r="D40" s="1243" t="s">
        <v>1322</v>
      </c>
      <c r="J40" s="1264"/>
      <c r="K40" s="1265"/>
      <c r="L40" s="1265"/>
      <c r="N40" s="1265"/>
      <c r="O40" s="1265"/>
      <c r="P40" s="1265"/>
      <c r="Q40" s="1265"/>
      <c r="R40" s="1265"/>
    </row>
    <row r="41" spans="2:19" ht="13">
      <c r="D41" s="1832" t="s">
        <v>921</v>
      </c>
      <c r="E41" s="1833"/>
      <c r="F41" s="1833"/>
      <c r="G41" s="1833"/>
      <c r="H41" s="1834"/>
      <c r="I41" s="1247"/>
      <c r="J41" s="1826" t="s">
        <v>1301</v>
      </c>
      <c r="K41" s="1827"/>
      <c r="L41" s="1828"/>
      <c r="M41" s="1247"/>
      <c r="N41" s="1826" t="s">
        <v>1302</v>
      </c>
      <c r="O41" s="1827"/>
      <c r="P41" s="1827"/>
      <c r="Q41" s="1827"/>
      <c r="R41" s="1828"/>
      <c r="S41" s="1247"/>
    </row>
    <row r="42" spans="2:19" ht="13">
      <c r="D42" s="1248" t="s">
        <v>175</v>
      </c>
      <c r="E42" s="1248" t="s">
        <v>176</v>
      </c>
      <c r="F42" s="1248" t="s">
        <v>1303</v>
      </c>
      <c r="G42" s="1248" t="s">
        <v>1304</v>
      </c>
      <c r="H42" s="1248" t="s">
        <v>1305</v>
      </c>
      <c r="I42" s="1247"/>
      <c r="J42" s="1248" t="s">
        <v>1306</v>
      </c>
      <c r="K42" s="1248" t="s">
        <v>1307</v>
      </c>
      <c r="L42" s="1248" t="s">
        <v>1308</v>
      </c>
      <c r="M42" s="1247"/>
      <c r="N42" s="1248" t="s">
        <v>1309</v>
      </c>
      <c r="O42" s="1248" t="s">
        <v>1310</v>
      </c>
      <c r="P42" s="1248" t="s">
        <v>1311</v>
      </c>
      <c r="Q42" s="1248" t="s">
        <v>1312</v>
      </c>
      <c r="R42" s="1248" t="s">
        <v>1313</v>
      </c>
      <c r="S42" s="1247"/>
    </row>
    <row r="43" spans="2:19" ht="50">
      <c r="B43" s="1249" t="s">
        <v>1314</v>
      </c>
      <c r="D43" s="1250" t="s">
        <v>170</v>
      </c>
      <c r="E43" s="1250" t="s">
        <v>922</v>
      </c>
      <c r="F43" s="1250" t="s">
        <v>923</v>
      </c>
      <c r="G43" s="1250" t="s">
        <v>924</v>
      </c>
      <c r="H43" s="1250" t="s">
        <v>1315</v>
      </c>
      <c r="I43" s="1678"/>
      <c r="J43" s="1250" t="s">
        <v>925</v>
      </c>
      <c r="K43" s="1250" t="s">
        <v>1316</v>
      </c>
      <c r="L43" s="1250" t="s">
        <v>1317</v>
      </c>
      <c r="M43" s="1678"/>
      <c r="N43" s="1250" t="s">
        <v>1012</v>
      </c>
      <c r="O43" s="1250" t="s">
        <v>1318</v>
      </c>
      <c r="P43" s="1250" t="s">
        <v>1319</v>
      </c>
      <c r="Q43" s="1250" t="s">
        <v>1320</v>
      </c>
      <c r="R43" s="1250" t="s">
        <v>1321</v>
      </c>
      <c r="S43" s="1678"/>
    </row>
    <row r="44" spans="2:19">
      <c r="E44" s="1678"/>
      <c r="F44" s="1678"/>
      <c r="G44" s="1678"/>
      <c r="H44" s="1678"/>
      <c r="I44" s="1678"/>
      <c r="J44" s="1678"/>
      <c r="K44" s="1678"/>
      <c r="L44" s="1678"/>
      <c r="M44" s="1678"/>
      <c r="N44" s="1678"/>
      <c r="O44" s="1678"/>
      <c r="P44" s="1678"/>
      <c r="Q44" s="1678"/>
      <c r="R44" s="1678"/>
      <c r="S44" s="1678"/>
    </row>
    <row r="45" spans="2:19">
      <c r="B45" s="1246">
        <f>B38+1</f>
        <v>24</v>
      </c>
      <c r="D45" s="985" t="s">
        <v>1011</v>
      </c>
      <c r="E45" s="1678"/>
      <c r="F45" s="1678"/>
      <c r="G45" s="1678"/>
      <c r="H45" s="1678"/>
      <c r="I45" s="1678"/>
      <c r="J45" s="1726" t="s">
        <v>1915</v>
      </c>
      <c r="K45" s="1678"/>
      <c r="L45" s="1685">
        <v>0</v>
      </c>
      <c r="M45" s="1678"/>
      <c r="N45" s="1685"/>
      <c r="O45" s="1678"/>
      <c r="P45" s="1678"/>
      <c r="Q45" s="1678"/>
      <c r="R45" s="1685">
        <v>0</v>
      </c>
      <c r="S45" s="1678"/>
    </row>
    <row r="46" spans="2:19">
      <c r="E46" s="1678"/>
      <c r="F46" s="1678"/>
      <c r="G46" s="1678"/>
      <c r="H46" s="1678"/>
      <c r="I46" s="1678"/>
      <c r="J46" s="1678"/>
      <c r="K46" s="1678"/>
      <c r="L46" s="1678"/>
      <c r="M46" s="1678"/>
      <c r="N46" s="1678"/>
      <c r="O46" s="1678"/>
      <c r="P46" s="1678"/>
      <c r="Q46" s="1678"/>
      <c r="R46" s="1678"/>
      <c r="S46" s="1678"/>
    </row>
    <row r="47" spans="2:19">
      <c r="B47" s="1246">
        <f>B45+1</f>
        <v>25</v>
      </c>
      <c r="D47" s="1251" t="s">
        <v>528</v>
      </c>
      <c r="E47" s="1726">
        <v>31</v>
      </c>
      <c r="F47" s="1727">
        <v>0</v>
      </c>
      <c r="G47" s="1727">
        <v>214</v>
      </c>
      <c r="H47" s="1690">
        <f t="shared" ref="H47:H58" si="10">IF(F47=0,0.5,F47/G47)</f>
        <v>0.5</v>
      </c>
      <c r="I47" s="1689"/>
      <c r="J47" s="1685"/>
      <c r="K47" s="1683">
        <f t="shared" ref="K47:K58" si="11">+J47*H47</f>
        <v>0</v>
      </c>
      <c r="L47" s="1683">
        <f>+K47+L45</f>
        <v>0</v>
      </c>
      <c r="M47" s="1689"/>
      <c r="N47" s="1685">
        <v>0</v>
      </c>
      <c r="O47" s="1683">
        <f t="shared" ref="O47:O58" si="12">IF($D$177="True-Up Adjustment",N47-J47,0)</f>
        <v>0</v>
      </c>
      <c r="P47" s="1683">
        <f t="shared" ref="P47:P58" si="13">IF($D$177="True-Up Adjustment",IF(AND(J47&gt;=0,N47&gt;=0),IF(O47&gt;=0,K47+O47,N47/J47*K47),IF(AND(J47&lt;0,N47&lt;0),IF(O47&lt;0,K47+O47,N47/J47*K47),0)),0)</f>
        <v>0</v>
      </c>
      <c r="Q47" s="1683">
        <f t="shared" ref="Q47:Q58" si="14">IF(AND(J47&gt;=0,N47&lt;0),N47,IF(AND(J47&lt;0,N47&gt;=0),N47,0))</f>
        <v>0</v>
      </c>
      <c r="R47" s="1683">
        <f>R45+P47+Q47</f>
        <v>0</v>
      </c>
      <c r="S47" s="1689"/>
    </row>
    <row r="48" spans="2:19">
      <c r="B48" s="1246">
        <f t="shared" ref="B48:B59" si="15">+B47+1</f>
        <v>26</v>
      </c>
      <c r="D48" s="1251" t="s">
        <v>529</v>
      </c>
      <c r="E48" s="1726">
        <v>28</v>
      </c>
      <c r="F48" s="1727">
        <v>0</v>
      </c>
      <c r="G48" s="1727">
        <f t="shared" ref="G48:G58" si="16">G47</f>
        <v>214</v>
      </c>
      <c r="H48" s="1690">
        <f t="shared" si="10"/>
        <v>0.5</v>
      </c>
      <c r="I48" s="1689"/>
      <c r="J48" s="1685"/>
      <c r="K48" s="1683">
        <f t="shared" si="11"/>
        <v>0</v>
      </c>
      <c r="L48" s="1683">
        <f t="shared" ref="L48:L58" si="17">+K48+L47</f>
        <v>0</v>
      </c>
      <c r="M48" s="1689"/>
      <c r="N48" s="1685">
        <v>0</v>
      </c>
      <c r="O48" s="1683">
        <f t="shared" si="12"/>
        <v>0</v>
      </c>
      <c r="P48" s="1683">
        <f t="shared" si="13"/>
        <v>0</v>
      </c>
      <c r="Q48" s="1683">
        <f t="shared" si="14"/>
        <v>0</v>
      </c>
      <c r="R48" s="1683">
        <f t="shared" ref="R48:R58" si="18">R47+P48+Q48</f>
        <v>0</v>
      </c>
      <c r="S48" s="1689"/>
    </row>
    <row r="49" spans="2:19">
      <c r="B49" s="1246">
        <f t="shared" si="15"/>
        <v>27</v>
      </c>
      <c r="D49" s="1251" t="s">
        <v>553</v>
      </c>
      <c r="E49" s="1726">
        <v>31</v>
      </c>
      <c r="F49" s="1727">
        <v>0</v>
      </c>
      <c r="G49" s="1727">
        <f t="shared" si="16"/>
        <v>214</v>
      </c>
      <c r="H49" s="1690">
        <f t="shared" si="10"/>
        <v>0.5</v>
      </c>
      <c r="I49" s="1689"/>
      <c r="J49" s="1685"/>
      <c r="K49" s="1683">
        <f t="shared" si="11"/>
        <v>0</v>
      </c>
      <c r="L49" s="1683">
        <f t="shared" si="17"/>
        <v>0</v>
      </c>
      <c r="M49" s="1689"/>
      <c r="N49" s="1685">
        <v>0</v>
      </c>
      <c r="O49" s="1683">
        <f t="shared" si="12"/>
        <v>0</v>
      </c>
      <c r="P49" s="1683">
        <f t="shared" si="13"/>
        <v>0</v>
      </c>
      <c r="Q49" s="1683">
        <f t="shared" si="14"/>
        <v>0</v>
      </c>
      <c r="R49" s="1683">
        <f t="shared" si="18"/>
        <v>0</v>
      </c>
      <c r="S49" s="1689"/>
    </row>
    <row r="50" spans="2:19">
      <c r="B50" s="1246">
        <f t="shared" si="15"/>
        <v>28</v>
      </c>
      <c r="D50" s="1251" t="s">
        <v>172</v>
      </c>
      <c r="E50" s="1726">
        <v>30</v>
      </c>
      <c r="F50" s="1727">
        <v>0</v>
      </c>
      <c r="G50" s="1727">
        <f t="shared" si="16"/>
        <v>214</v>
      </c>
      <c r="H50" s="1690">
        <f t="shared" si="10"/>
        <v>0.5</v>
      </c>
      <c r="I50" s="1689"/>
      <c r="J50" s="1685"/>
      <c r="K50" s="1683">
        <f t="shared" si="11"/>
        <v>0</v>
      </c>
      <c r="L50" s="1683">
        <f t="shared" si="17"/>
        <v>0</v>
      </c>
      <c r="M50" s="1689"/>
      <c r="N50" s="1685">
        <v>0</v>
      </c>
      <c r="O50" s="1683">
        <f t="shared" si="12"/>
        <v>0</v>
      </c>
      <c r="P50" s="1683">
        <f t="shared" si="13"/>
        <v>0</v>
      </c>
      <c r="Q50" s="1683">
        <f t="shared" si="14"/>
        <v>0</v>
      </c>
      <c r="R50" s="1683">
        <f t="shared" si="18"/>
        <v>0</v>
      </c>
      <c r="S50" s="1689"/>
    </row>
    <row r="51" spans="2:19">
      <c r="B51" s="1246">
        <f t="shared" si="15"/>
        <v>29</v>
      </c>
      <c r="D51" s="1251" t="s">
        <v>173</v>
      </c>
      <c r="E51" s="1726">
        <v>31</v>
      </c>
      <c r="F51" s="1727">
        <v>0</v>
      </c>
      <c r="G51" s="1727">
        <f t="shared" si="16"/>
        <v>214</v>
      </c>
      <c r="H51" s="1690">
        <f t="shared" si="10"/>
        <v>0.5</v>
      </c>
      <c r="I51" s="1689"/>
      <c r="J51" s="1685"/>
      <c r="K51" s="1683">
        <f t="shared" si="11"/>
        <v>0</v>
      </c>
      <c r="L51" s="1683">
        <f t="shared" si="17"/>
        <v>0</v>
      </c>
      <c r="M51" s="1689"/>
      <c r="N51" s="1685">
        <v>0</v>
      </c>
      <c r="O51" s="1683">
        <f t="shared" si="12"/>
        <v>0</v>
      </c>
      <c r="P51" s="1683">
        <f t="shared" si="13"/>
        <v>0</v>
      </c>
      <c r="Q51" s="1683">
        <f t="shared" si="14"/>
        <v>0</v>
      </c>
      <c r="R51" s="1683">
        <f t="shared" si="18"/>
        <v>0</v>
      </c>
      <c r="S51" s="1689"/>
    </row>
    <row r="52" spans="2:19">
      <c r="B52" s="1246">
        <f t="shared" si="15"/>
        <v>30</v>
      </c>
      <c r="D52" s="1251" t="s">
        <v>174</v>
      </c>
      <c r="E52" s="1726">
        <v>30</v>
      </c>
      <c r="F52" s="1727">
        <f t="shared" ref="F52:F57" si="19">E53+F53</f>
        <v>185</v>
      </c>
      <c r="G52" s="1727">
        <f t="shared" si="16"/>
        <v>214</v>
      </c>
      <c r="H52" s="1690">
        <f t="shared" si="10"/>
        <v>0.86448598130841126</v>
      </c>
      <c r="I52" s="1689"/>
      <c r="J52" s="1685"/>
      <c r="K52" s="1683">
        <f t="shared" si="11"/>
        <v>0</v>
      </c>
      <c r="L52" s="1683">
        <f t="shared" si="17"/>
        <v>0</v>
      </c>
      <c r="M52" s="1689"/>
      <c r="N52" s="1685">
        <v>0</v>
      </c>
      <c r="O52" s="1683">
        <f t="shared" si="12"/>
        <v>0</v>
      </c>
      <c r="P52" s="1683">
        <f t="shared" si="13"/>
        <v>0</v>
      </c>
      <c r="Q52" s="1683">
        <f t="shared" si="14"/>
        <v>0</v>
      </c>
      <c r="R52" s="1683">
        <f t="shared" si="18"/>
        <v>0</v>
      </c>
      <c r="S52" s="1689"/>
    </row>
    <row r="53" spans="2:19">
      <c r="B53" s="1246">
        <f t="shared" si="15"/>
        <v>31</v>
      </c>
      <c r="D53" s="1251" t="s">
        <v>531</v>
      </c>
      <c r="E53" s="1726">
        <v>31</v>
      </c>
      <c r="F53" s="1727">
        <f t="shared" si="19"/>
        <v>154</v>
      </c>
      <c r="G53" s="1727">
        <f t="shared" si="16"/>
        <v>214</v>
      </c>
      <c r="H53" s="1690">
        <f t="shared" si="10"/>
        <v>0.71962616822429903</v>
      </c>
      <c r="I53" s="1689"/>
      <c r="J53" s="1685"/>
      <c r="K53" s="1683">
        <f t="shared" si="11"/>
        <v>0</v>
      </c>
      <c r="L53" s="1683">
        <f t="shared" si="17"/>
        <v>0</v>
      </c>
      <c r="M53" s="1689"/>
      <c r="N53" s="1685">
        <v>0</v>
      </c>
      <c r="O53" s="1683">
        <f t="shared" si="12"/>
        <v>0</v>
      </c>
      <c r="P53" s="1683">
        <f t="shared" si="13"/>
        <v>0</v>
      </c>
      <c r="Q53" s="1683">
        <f t="shared" si="14"/>
        <v>0</v>
      </c>
      <c r="R53" s="1683">
        <f t="shared" si="18"/>
        <v>0</v>
      </c>
      <c r="S53" s="1689"/>
    </row>
    <row r="54" spans="2:19">
      <c r="B54" s="1246">
        <f t="shared" si="15"/>
        <v>32</v>
      </c>
      <c r="D54" s="1251" t="s">
        <v>554</v>
      </c>
      <c r="E54" s="1726">
        <v>31</v>
      </c>
      <c r="F54" s="1727">
        <f t="shared" si="19"/>
        <v>123</v>
      </c>
      <c r="G54" s="1727">
        <f t="shared" si="16"/>
        <v>214</v>
      </c>
      <c r="H54" s="1690">
        <f t="shared" si="10"/>
        <v>0.57476635514018692</v>
      </c>
      <c r="I54" s="1689"/>
      <c r="J54" s="1685"/>
      <c r="K54" s="1683">
        <f t="shared" si="11"/>
        <v>0</v>
      </c>
      <c r="L54" s="1683">
        <f t="shared" si="17"/>
        <v>0</v>
      </c>
      <c r="M54" s="1689"/>
      <c r="N54" s="1685">
        <v>0</v>
      </c>
      <c r="O54" s="1683">
        <f t="shared" si="12"/>
        <v>0</v>
      </c>
      <c r="P54" s="1683">
        <f t="shared" si="13"/>
        <v>0</v>
      </c>
      <c r="Q54" s="1683">
        <f t="shared" si="14"/>
        <v>0</v>
      </c>
      <c r="R54" s="1683">
        <f t="shared" si="18"/>
        <v>0</v>
      </c>
      <c r="S54" s="1689"/>
    </row>
    <row r="55" spans="2:19">
      <c r="B55" s="1246">
        <f t="shared" si="15"/>
        <v>33</v>
      </c>
      <c r="D55" s="1251" t="s">
        <v>533</v>
      </c>
      <c r="E55" s="1726">
        <v>30</v>
      </c>
      <c r="F55" s="1727">
        <f t="shared" si="19"/>
        <v>93</v>
      </c>
      <c r="G55" s="1727">
        <f t="shared" si="16"/>
        <v>214</v>
      </c>
      <c r="H55" s="1690">
        <f t="shared" si="10"/>
        <v>0.43457943925233644</v>
      </c>
      <c r="I55" s="1689"/>
      <c r="J55" s="1685"/>
      <c r="K55" s="1683">
        <f t="shared" si="11"/>
        <v>0</v>
      </c>
      <c r="L55" s="1683">
        <f t="shared" si="17"/>
        <v>0</v>
      </c>
      <c r="M55" s="1689"/>
      <c r="N55" s="1685">
        <v>0</v>
      </c>
      <c r="O55" s="1683">
        <f t="shared" si="12"/>
        <v>0</v>
      </c>
      <c r="P55" s="1683">
        <f t="shared" si="13"/>
        <v>0</v>
      </c>
      <c r="Q55" s="1683">
        <f t="shared" si="14"/>
        <v>0</v>
      </c>
      <c r="R55" s="1683">
        <f t="shared" si="18"/>
        <v>0</v>
      </c>
      <c r="S55" s="1689"/>
    </row>
    <row r="56" spans="2:19">
      <c r="B56" s="1246">
        <f t="shared" si="15"/>
        <v>34</v>
      </c>
      <c r="D56" s="1251" t="s">
        <v>534</v>
      </c>
      <c r="E56" s="1726">
        <v>31</v>
      </c>
      <c r="F56" s="1727">
        <f t="shared" si="19"/>
        <v>62</v>
      </c>
      <c r="G56" s="1727">
        <f t="shared" si="16"/>
        <v>214</v>
      </c>
      <c r="H56" s="1690">
        <f t="shared" si="10"/>
        <v>0.28971962616822428</v>
      </c>
      <c r="I56" s="1689"/>
      <c r="J56" s="1685"/>
      <c r="K56" s="1683">
        <f t="shared" si="11"/>
        <v>0</v>
      </c>
      <c r="L56" s="1683">
        <f t="shared" si="17"/>
        <v>0</v>
      </c>
      <c r="M56" s="1689"/>
      <c r="N56" s="1685">
        <v>0</v>
      </c>
      <c r="O56" s="1683">
        <f t="shared" si="12"/>
        <v>0</v>
      </c>
      <c r="P56" s="1683">
        <f t="shared" si="13"/>
        <v>0</v>
      </c>
      <c r="Q56" s="1683">
        <f t="shared" si="14"/>
        <v>0</v>
      </c>
      <c r="R56" s="1683">
        <f t="shared" si="18"/>
        <v>0</v>
      </c>
      <c r="S56" s="1689"/>
    </row>
    <row r="57" spans="2:19">
      <c r="B57" s="1246">
        <f t="shared" si="15"/>
        <v>35</v>
      </c>
      <c r="D57" s="1251" t="s">
        <v>535</v>
      </c>
      <c r="E57" s="1726">
        <v>30</v>
      </c>
      <c r="F57" s="1727">
        <f t="shared" si="19"/>
        <v>32</v>
      </c>
      <c r="G57" s="1727">
        <f t="shared" si="16"/>
        <v>214</v>
      </c>
      <c r="H57" s="1690">
        <f t="shared" si="10"/>
        <v>0.14953271028037382</v>
      </c>
      <c r="I57" s="1689"/>
      <c r="J57" s="1685"/>
      <c r="K57" s="1683">
        <f t="shared" si="11"/>
        <v>0</v>
      </c>
      <c r="L57" s="1683">
        <f t="shared" si="17"/>
        <v>0</v>
      </c>
      <c r="M57" s="1689"/>
      <c r="N57" s="1685">
        <v>0</v>
      </c>
      <c r="O57" s="1683">
        <f t="shared" si="12"/>
        <v>0</v>
      </c>
      <c r="P57" s="1683">
        <f t="shared" si="13"/>
        <v>0</v>
      </c>
      <c r="Q57" s="1683">
        <f t="shared" si="14"/>
        <v>0</v>
      </c>
      <c r="R57" s="1683">
        <f t="shared" si="18"/>
        <v>0</v>
      </c>
      <c r="S57" s="1689"/>
    </row>
    <row r="58" spans="2:19">
      <c r="B58" s="1246">
        <f t="shared" si="15"/>
        <v>36</v>
      </c>
      <c r="D58" s="1252" t="s">
        <v>757</v>
      </c>
      <c r="E58" s="1726">
        <v>31</v>
      </c>
      <c r="F58" s="1728">
        <v>1</v>
      </c>
      <c r="G58" s="1727">
        <f t="shared" si="16"/>
        <v>214</v>
      </c>
      <c r="H58" s="1690">
        <f t="shared" si="10"/>
        <v>4.6728971962616819E-3</v>
      </c>
      <c r="I58" s="1689"/>
      <c r="J58" s="1685"/>
      <c r="K58" s="1683">
        <f t="shared" si="11"/>
        <v>0</v>
      </c>
      <c r="L58" s="1683">
        <f t="shared" si="17"/>
        <v>0</v>
      </c>
      <c r="M58" s="1689"/>
      <c r="N58" s="1685">
        <v>0</v>
      </c>
      <c r="O58" s="1683">
        <f t="shared" si="12"/>
        <v>0</v>
      </c>
      <c r="P58" s="1683">
        <f t="shared" si="13"/>
        <v>0</v>
      </c>
      <c r="Q58" s="1683">
        <f t="shared" si="14"/>
        <v>0</v>
      </c>
      <c r="R58" s="1683">
        <f t="shared" si="18"/>
        <v>0</v>
      </c>
      <c r="S58" s="1689"/>
    </row>
    <row r="59" spans="2:19">
      <c r="B59" s="1246">
        <f t="shared" si="15"/>
        <v>37</v>
      </c>
      <c r="D59" s="1253" t="str">
        <f>"Total (Sum of Lines "&amp;B47&amp;" - "&amp;B58&amp;")"</f>
        <v>Total (Sum of Lines 25 - 36)</v>
      </c>
      <c r="E59" s="1688">
        <f>SUM(E47:E58)</f>
        <v>365</v>
      </c>
      <c r="F59" s="1254"/>
      <c r="G59" s="1254"/>
      <c r="H59" s="1255"/>
      <c r="I59" s="1686"/>
      <c r="J59" s="1688">
        <f>SUM(J47:J58)</f>
        <v>0</v>
      </c>
      <c r="K59" s="1688">
        <f>SUM(K47:K58)</f>
        <v>0</v>
      </c>
      <c r="L59" s="1688">
        <f>SUM(L47:L58)</f>
        <v>0</v>
      </c>
      <c r="M59" s="1686"/>
      <c r="N59" s="1688">
        <f>SUM(N47:N58)</f>
        <v>0</v>
      </c>
      <c r="O59" s="1688">
        <f>SUM(O47:O58)</f>
        <v>0</v>
      </c>
      <c r="P59" s="1688">
        <f>SUM(P47:P58)</f>
        <v>0</v>
      </c>
      <c r="Q59" s="1688">
        <f>SUM(Q47:Q58)</f>
        <v>0</v>
      </c>
      <c r="R59" s="1687"/>
      <c r="S59" s="1686"/>
    </row>
    <row r="60" spans="2:19">
      <c r="D60" s="1256"/>
      <c r="E60" s="1256"/>
      <c r="F60" s="1256"/>
      <c r="G60" s="1256"/>
      <c r="H60" s="1257"/>
      <c r="I60" s="1257"/>
      <c r="K60" s="1258"/>
      <c r="L60" s="1257"/>
      <c r="M60" s="1257"/>
      <c r="N60" s="1266"/>
      <c r="O60" s="1258"/>
      <c r="P60" s="1258"/>
      <c r="Q60" s="1258"/>
      <c r="R60" s="1257"/>
      <c r="S60" s="1257"/>
    </row>
    <row r="61" spans="2:19" ht="15" customHeight="1">
      <c r="B61" s="1246">
        <f>B59+1</f>
        <v>38</v>
      </c>
      <c r="D61" s="985" t="s">
        <v>926</v>
      </c>
      <c r="I61" s="1257"/>
      <c r="J61" s="1726" t="s">
        <v>1915</v>
      </c>
      <c r="L61" s="1685">
        <v>0</v>
      </c>
      <c r="M61" s="1259"/>
      <c r="N61" s="1685"/>
      <c r="R61" s="1685">
        <v>0</v>
      </c>
    </row>
    <row r="62" spans="2:19">
      <c r="B62" s="1246">
        <f>B61+1</f>
        <v>39</v>
      </c>
      <c r="D62" s="985" t="s">
        <v>1894</v>
      </c>
      <c r="I62" s="1257"/>
      <c r="J62" s="1260" t="s">
        <v>647</v>
      </c>
      <c r="L62" s="1261">
        <v>0</v>
      </c>
      <c r="M62" s="1262"/>
      <c r="N62" s="1260"/>
      <c r="R62" s="1261">
        <v>0</v>
      </c>
    </row>
    <row r="63" spans="2:19">
      <c r="B63" s="1246">
        <f>B62+1</f>
        <v>40</v>
      </c>
      <c r="D63" s="985" t="s">
        <v>927</v>
      </c>
      <c r="I63" s="1257"/>
      <c r="J63" s="1253" t="str">
        <f>"(Col. "&amp;L42&amp;", Line "&amp;B61&amp;" + Line "&amp;B62&amp;")"</f>
        <v>(Col. (H), Line 38 + Line 39)</v>
      </c>
      <c r="L63" s="1684">
        <f>L61+L62</f>
        <v>0</v>
      </c>
      <c r="M63" s="1257"/>
      <c r="N63" s="1253" t="str">
        <f>"(Col. "&amp;R42&amp;", Line "&amp;B61&amp;" + Line "&amp;B62&amp;")"</f>
        <v>(Col. (M), Line 38 + Line 39)</v>
      </c>
      <c r="R63" s="1684">
        <f>R61+R62</f>
        <v>0</v>
      </c>
    </row>
    <row r="64" spans="2:19">
      <c r="I64" s="1257"/>
      <c r="L64" s="1684"/>
      <c r="M64" s="1257"/>
      <c r="R64" s="1684"/>
    </row>
    <row r="65" spans="2:19">
      <c r="B65" s="1246">
        <f>B63+1</f>
        <v>41</v>
      </c>
      <c r="D65" s="985" t="s">
        <v>1010</v>
      </c>
      <c r="I65" s="1257"/>
      <c r="J65" s="1726" t="s">
        <v>1927</v>
      </c>
      <c r="L65" s="1685">
        <v>0</v>
      </c>
      <c r="M65" s="1259"/>
      <c r="N65" s="1685"/>
      <c r="R65" s="1685">
        <v>0</v>
      </c>
    </row>
    <row r="66" spans="2:19">
      <c r="B66" s="1246">
        <f>B65+1</f>
        <v>42</v>
      </c>
      <c r="D66" s="985" t="s">
        <v>1895</v>
      </c>
      <c r="I66" s="1257"/>
      <c r="J66" s="1260" t="s">
        <v>647</v>
      </c>
      <c r="L66" s="1261">
        <v>0</v>
      </c>
      <c r="M66" s="1257"/>
      <c r="N66" s="1260"/>
      <c r="R66" s="1261">
        <v>0</v>
      </c>
    </row>
    <row r="67" spans="2:19">
      <c r="B67" s="1246">
        <f>B66+1</f>
        <v>43</v>
      </c>
      <c r="D67" s="985" t="s">
        <v>932</v>
      </c>
      <c r="I67" s="1257"/>
      <c r="J67" s="1253" t="str">
        <f>"(Col. "&amp;L42&amp;", Line "&amp;B65&amp;" + Line "&amp;B66&amp;")"</f>
        <v>(Col. (H), Line 41 + Line 42)</v>
      </c>
      <c r="L67" s="1684">
        <f>L65+L66</f>
        <v>0</v>
      </c>
      <c r="M67" s="1257"/>
      <c r="N67" s="1253" t="str">
        <f>"(Col. "&amp;R42&amp;", Line "&amp;B65&amp;" + Line "&amp;B66&amp;")"</f>
        <v>(Col. (M), Line 41 + Line 42)</v>
      </c>
      <c r="R67" s="1684">
        <f>R65+R66</f>
        <v>0</v>
      </c>
    </row>
    <row r="68" spans="2:19">
      <c r="I68" s="1257"/>
      <c r="L68" s="1684"/>
      <c r="M68" s="1257"/>
      <c r="R68" s="1684"/>
    </row>
    <row r="69" spans="2:19">
      <c r="B69" s="1246">
        <f>B67+1</f>
        <v>44</v>
      </c>
      <c r="D69" s="985" t="s">
        <v>1009</v>
      </c>
      <c r="I69" s="1257"/>
      <c r="J69" s="1253" t="str">
        <f>"([Col. "&amp;L42&amp;", Line "&amp;B63&amp;" + Line "&amp;B67&amp;"] /2)"</f>
        <v>([Col. (H), Line 40 + Line 43] /2)</v>
      </c>
      <c r="L69" s="1683">
        <f>(L63+L67)/2</f>
        <v>0</v>
      </c>
      <c r="M69" s="1257"/>
      <c r="N69" s="1253" t="str">
        <f>"([Col. "&amp;R42&amp;", Line "&amp;B63&amp;" + Line "&amp;B67&amp;"] /2)"</f>
        <v>([Col. (M), Line 40 + Line 43] /2)</v>
      </c>
      <c r="R69" s="1683">
        <f>(R63+R67)/2</f>
        <v>0</v>
      </c>
    </row>
    <row r="70" spans="2:19">
      <c r="B70" s="1246">
        <f>B69+1</f>
        <v>45</v>
      </c>
      <c r="D70" s="1256" t="s">
        <v>1008</v>
      </c>
      <c r="E70" s="1256"/>
      <c r="F70" s="1256"/>
      <c r="G70" s="1256"/>
      <c r="H70" s="1257"/>
      <c r="I70" s="1257"/>
      <c r="J70" s="1253" t="str">
        <f>"(Col. "&amp;L42&amp;", Line "&amp;B58&amp;" )"</f>
        <v>(Col. (H), Line 36 )</v>
      </c>
      <c r="K70" s="1258"/>
      <c r="L70" s="1683">
        <f>L58</f>
        <v>0</v>
      </c>
      <c r="M70" s="1257"/>
      <c r="N70" s="1253" t="str">
        <f>"(Col. "&amp;R42&amp;", Line "&amp;B58&amp;" )"</f>
        <v>(Col. (M), Line 36 )</v>
      </c>
      <c r="R70" s="1683">
        <f>R58</f>
        <v>0</v>
      </c>
    </row>
    <row r="71" spans="2:19" ht="13.5" thickBot="1">
      <c r="B71" s="1246">
        <f>B70+1</f>
        <v>46</v>
      </c>
      <c r="D71" s="1263" t="s">
        <v>1862</v>
      </c>
      <c r="E71" s="1256"/>
      <c r="F71" s="1256"/>
      <c r="G71" s="1256"/>
      <c r="H71" s="1257"/>
      <c r="I71" s="1257"/>
      <c r="J71" s="1253" t="str">
        <f>"(Col. "&amp;L42&amp;", Line "&amp;B69&amp;" + Line "&amp;B70&amp;")"</f>
        <v>(Col. (H), Line 44 + Line 45)</v>
      </c>
      <c r="K71" s="1258"/>
      <c r="L71" s="1682">
        <f>L69+L70</f>
        <v>0</v>
      </c>
      <c r="M71" s="1257"/>
      <c r="N71" s="1253" t="str">
        <f>"(Col. "&amp;R42&amp;", Line "&amp;B69&amp;" + Line "&amp;B70&amp;")"</f>
        <v>(Col. (M), Line 44 + Line 45)</v>
      </c>
      <c r="R71" s="1682">
        <f>R69+R70</f>
        <v>0</v>
      </c>
    </row>
    <row r="72" spans="2:19" ht="13">
      <c r="D72" s="1243"/>
    </row>
    <row r="73" spans="2:19" ht="13">
      <c r="D73" s="1243" t="s">
        <v>929</v>
      </c>
      <c r="J73" s="1264"/>
      <c r="K73" s="1265"/>
      <c r="L73" s="1265"/>
      <c r="N73" s="1265"/>
      <c r="O73" s="1265"/>
      <c r="P73" s="1265"/>
      <c r="Q73" s="1265"/>
      <c r="R73" s="1265"/>
    </row>
    <row r="74" spans="2:19" ht="13">
      <c r="D74" s="1832" t="s">
        <v>921</v>
      </c>
      <c r="E74" s="1833"/>
      <c r="F74" s="1833"/>
      <c r="G74" s="1833"/>
      <c r="H74" s="1834"/>
      <c r="I74" s="1247"/>
      <c r="J74" s="1826" t="s">
        <v>1301</v>
      </c>
      <c r="K74" s="1827"/>
      <c r="L74" s="1828"/>
      <c r="M74" s="1247"/>
      <c r="N74" s="1826" t="s">
        <v>1302</v>
      </c>
      <c r="O74" s="1827"/>
      <c r="P74" s="1827"/>
      <c r="Q74" s="1827"/>
      <c r="R74" s="1828"/>
      <c r="S74" s="1247"/>
    </row>
    <row r="75" spans="2:19" ht="13">
      <c r="D75" s="1248" t="s">
        <v>175</v>
      </c>
      <c r="E75" s="1248" t="s">
        <v>176</v>
      </c>
      <c r="F75" s="1248" t="s">
        <v>1303</v>
      </c>
      <c r="G75" s="1248" t="s">
        <v>1304</v>
      </c>
      <c r="H75" s="1248" t="s">
        <v>1305</v>
      </c>
      <c r="I75" s="1247"/>
      <c r="J75" s="1248" t="s">
        <v>1306</v>
      </c>
      <c r="K75" s="1248" t="s">
        <v>1307</v>
      </c>
      <c r="L75" s="1248" t="s">
        <v>1308</v>
      </c>
      <c r="M75" s="1247"/>
      <c r="N75" s="1248" t="s">
        <v>1309</v>
      </c>
      <c r="O75" s="1248" t="s">
        <v>1310</v>
      </c>
      <c r="P75" s="1248" t="s">
        <v>1311</v>
      </c>
      <c r="Q75" s="1248" t="s">
        <v>1312</v>
      </c>
      <c r="R75" s="1248" t="s">
        <v>1313</v>
      </c>
      <c r="S75" s="1247"/>
    </row>
    <row r="76" spans="2:19" ht="50">
      <c r="B76" s="1249" t="s">
        <v>1314</v>
      </c>
      <c r="D76" s="1250" t="s">
        <v>170</v>
      </c>
      <c r="E76" s="1250" t="s">
        <v>922</v>
      </c>
      <c r="F76" s="1250" t="s">
        <v>923</v>
      </c>
      <c r="G76" s="1250" t="s">
        <v>924</v>
      </c>
      <c r="H76" s="1250" t="s">
        <v>1315</v>
      </c>
      <c r="I76" s="1678"/>
      <c r="J76" s="1250" t="s">
        <v>925</v>
      </c>
      <c r="K76" s="1250" t="s">
        <v>1316</v>
      </c>
      <c r="L76" s="1250" t="s">
        <v>1317</v>
      </c>
      <c r="M76" s="1678"/>
      <c r="N76" s="1250" t="s">
        <v>1012</v>
      </c>
      <c r="O76" s="1250" t="s">
        <v>1318</v>
      </c>
      <c r="P76" s="1250" t="s">
        <v>1319</v>
      </c>
      <c r="Q76" s="1250" t="s">
        <v>1320</v>
      </c>
      <c r="R76" s="1250" t="s">
        <v>1321</v>
      </c>
      <c r="S76" s="1678"/>
    </row>
    <row r="77" spans="2:19">
      <c r="E77" s="1678"/>
      <c r="F77" s="1678"/>
      <c r="G77" s="1678"/>
      <c r="H77" s="1678"/>
      <c r="I77" s="1678"/>
      <c r="J77" s="1678"/>
      <c r="K77" s="1678"/>
      <c r="L77" s="1678"/>
      <c r="M77" s="1678"/>
      <c r="N77" s="1678"/>
      <c r="O77" s="1678"/>
      <c r="P77" s="1678"/>
      <c r="Q77" s="1678"/>
      <c r="R77" s="1678"/>
      <c r="S77" s="1678"/>
    </row>
    <row r="78" spans="2:19">
      <c r="B78" s="1246">
        <f>B71+1</f>
        <v>47</v>
      </c>
      <c r="D78" s="985" t="s">
        <v>1011</v>
      </c>
      <c r="E78" s="1678"/>
      <c r="F78" s="1678"/>
      <c r="G78" s="1678"/>
      <c r="H78" s="1678"/>
      <c r="I78" s="1678"/>
      <c r="J78" s="1726" t="s">
        <v>1915</v>
      </c>
      <c r="K78" s="1678"/>
      <c r="L78" s="1685">
        <f>'1C - ADIT BOY'!H174</f>
        <v>-128119913.0573362</v>
      </c>
      <c r="M78" s="1678"/>
      <c r="N78" s="1685"/>
      <c r="O78" s="1678"/>
      <c r="P78" s="1678"/>
      <c r="Q78" s="1678"/>
      <c r="R78" s="1685">
        <v>0</v>
      </c>
      <c r="S78" s="1678"/>
    </row>
    <row r="79" spans="2:19">
      <c r="E79" s="1678"/>
      <c r="F79" s="1678"/>
      <c r="G79" s="1678"/>
      <c r="H79" s="1678"/>
      <c r="I79" s="1678"/>
      <c r="J79" s="1678"/>
      <c r="K79" s="1678"/>
      <c r="L79" s="1678"/>
      <c r="M79" s="1678"/>
      <c r="N79" s="1678"/>
      <c r="O79" s="1678"/>
      <c r="P79" s="1678"/>
      <c r="Q79" s="1678"/>
      <c r="R79" s="1678"/>
      <c r="S79" s="1678"/>
    </row>
    <row r="80" spans="2:19">
      <c r="B80" s="1246">
        <f>B78+1</f>
        <v>48</v>
      </c>
      <c r="D80" s="1251" t="s">
        <v>528</v>
      </c>
      <c r="E80" s="1726">
        <v>31</v>
      </c>
      <c r="F80" s="1727">
        <v>0</v>
      </c>
      <c r="G80" s="1727">
        <v>214</v>
      </c>
      <c r="H80" s="1690">
        <f t="shared" ref="H80:H91" si="20">IF(F80=0,0.5,F80/G80)</f>
        <v>0.5</v>
      </c>
      <c r="I80" s="1689"/>
      <c r="J80" s="1685">
        <v>-422548.93622147752</v>
      </c>
      <c r="K80" s="1683">
        <f t="shared" ref="K80:K91" si="21">+J80*H80</f>
        <v>-211274.46811073876</v>
      </c>
      <c r="L80" s="1683">
        <f>+K80+L78</f>
        <v>-128331187.52544694</v>
      </c>
      <c r="M80" s="1689"/>
      <c r="N80" s="1685">
        <v>0</v>
      </c>
      <c r="O80" s="1683">
        <f t="shared" ref="O80:O91" si="22">IF($D$177="True-Up Adjustment",N80-J80,0)</f>
        <v>0</v>
      </c>
      <c r="P80" s="1683">
        <f t="shared" ref="P80:P91" si="23">IF($D$177="True-Up Adjustment",IF(AND(J80&gt;=0,N80&gt;=0),IF(O80&gt;=0,K80+O80,N80/J80*K80),IF(AND(J80&lt;0,N80&lt;0),IF(O80&lt;0,K80+O80,N80/J80*K80),0)),0)</f>
        <v>0</v>
      </c>
      <c r="Q80" s="1683">
        <f t="shared" ref="Q80:Q91" si="24">IF(AND(J80&gt;=0,N80&lt;0),N80,IF(AND(J80&lt;0,N80&gt;=0),N80,0))</f>
        <v>0</v>
      </c>
      <c r="R80" s="1683">
        <f>R78+P80+Q80</f>
        <v>0</v>
      </c>
      <c r="S80" s="1689"/>
    </row>
    <row r="81" spans="2:19">
      <c r="B81" s="1246">
        <f t="shared" ref="B81:B92" si="25">+B80+1</f>
        <v>49</v>
      </c>
      <c r="D81" s="1251" t="s">
        <v>529</v>
      </c>
      <c r="E81" s="1726">
        <v>28</v>
      </c>
      <c r="F81" s="1727">
        <v>0</v>
      </c>
      <c r="G81" s="1727">
        <f t="shared" ref="G81:G91" si="26">G80</f>
        <v>214</v>
      </c>
      <c r="H81" s="1690">
        <f t="shared" si="20"/>
        <v>0.5</v>
      </c>
      <c r="I81" s="1689"/>
      <c r="J81" s="1685">
        <v>-419873.25022761314</v>
      </c>
      <c r="K81" s="1683">
        <f t="shared" si="21"/>
        <v>-209936.62511380657</v>
      </c>
      <c r="L81" s="1683">
        <f t="shared" ref="L81:L91" si="27">+K81+L80</f>
        <v>-128541124.15056074</v>
      </c>
      <c r="M81" s="1689"/>
      <c r="N81" s="1685">
        <v>0</v>
      </c>
      <c r="O81" s="1683">
        <f t="shared" si="22"/>
        <v>0</v>
      </c>
      <c r="P81" s="1683">
        <f t="shared" si="23"/>
        <v>0</v>
      </c>
      <c r="Q81" s="1683">
        <f t="shared" si="24"/>
        <v>0</v>
      </c>
      <c r="R81" s="1683">
        <f t="shared" ref="R81:R91" si="28">R80+P81+Q81</f>
        <v>0</v>
      </c>
      <c r="S81" s="1689"/>
    </row>
    <row r="82" spans="2:19">
      <c r="B82" s="1246">
        <f t="shared" si="25"/>
        <v>50</v>
      </c>
      <c r="D82" s="1251" t="s">
        <v>553</v>
      </c>
      <c r="E82" s="1726">
        <v>31</v>
      </c>
      <c r="F82" s="1727">
        <v>0</v>
      </c>
      <c r="G82" s="1727">
        <f t="shared" si="26"/>
        <v>214</v>
      </c>
      <c r="H82" s="1690">
        <f t="shared" si="20"/>
        <v>0.5</v>
      </c>
      <c r="I82" s="1689"/>
      <c r="J82" s="1685">
        <v>-243478.01797569159</v>
      </c>
      <c r="K82" s="1683">
        <f t="shared" si="21"/>
        <v>-121739.00898784579</v>
      </c>
      <c r="L82" s="1683">
        <f t="shared" si="27"/>
        <v>-128662863.15954858</v>
      </c>
      <c r="M82" s="1689"/>
      <c r="N82" s="1685">
        <v>0</v>
      </c>
      <c r="O82" s="1683">
        <f t="shared" si="22"/>
        <v>0</v>
      </c>
      <c r="P82" s="1683">
        <f t="shared" si="23"/>
        <v>0</v>
      </c>
      <c r="Q82" s="1683">
        <f t="shared" si="24"/>
        <v>0</v>
      </c>
      <c r="R82" s="1683">
        <f t="shared" si="28"/>
        <v>0</v>
      </c>
      <c r="S82" s="1689"/>
    </row>
    <row r="83" spans="2:19">
      <c r="B83" s="1246">
        <f t="shared" si="25"/>
        <v>51</v>
      </c>
      <c r="D83" s="1251" t="s">
        <v>172</v>
      </c>
      <c r="E83" s="1726">
        <v>30</v>
      </c>
      <c r="F83" s="1727">
        <v>0</v>
      </c>
      <c r="G83" s="1727">
        <f t="shared" si="26"/>
        <v>214</v>
      </c>
      <c r="H83" s="1690">
        <f t="shared" si="20"/>
        <v>0.5</v>
      </c>
      <c r="I83" s="1689"/>
      <c r="J83" s="1685">
        <v>-230787.08551757346</v>
      </c>
      <c r="K83" s="1683">
        <f t="shared" si="21"/>
        <v>-115393.54275878673</v>
      </c>
      <c r="L83" s="1683">
        <f t="shared" si="27"/>
        <v>-128778256.70230737</v>
      </c>
      <c r="M83" s="1689"/>
      <c r="N83" s="1685">
        <v>0</v>
      </c>
      <c r="O83" s="1683">
        <f t="shared" si="22"/>
        <v>0</v>
      </c>
      <c r="P83" s="1683">
        <f t="shared" si="23"/>
        <v>0</v>
      </c>
      <c r="Q83" s="1683">
        <f t="shared" si="24"/>
        <v>0</v>
      </c>
      <c r="R83" s="1683">
        <f t="shared" si="28"/>
        <v>0</v>
      </c>
      <c r="S83" s="1689"/>
    </row>
    <row r="84" spans="2:19">
      <c r="B84" s="1246">
        <f t="shared" si="25"/>
        <v>52</v>
      </c>
      <c r="D84" s="1251" t="s">
        <v>173</v>
      </c>
      <c r="E84" s="1726">
        <v>31</v>
      </c>
      <c r="F84" s="1727">
        <v>0</v>
      </c>
      <c r="G84" s="1727">
        <f t="shared" si="26"/>
        <v>214</v>
      </c>
      <c r="H84" s="1690">
        <f t="shared" si="20"/>
        <v>0.5</v>
      </c>
      <c r="I84" s="1689"/>
      <c r="J84" s="1685">
        <v>-223437.01339457312</v>
      </c>
      <c r="K84" s="1683">
        <f t="shared" si="21"/>
        <v>-111718.50669728656</v>
      </c>
      <c r="L84" s="1683">
        <f t="shared" si="27"/>
        <v>-128889975.20900466</v>
      </c>
      <c r="M84" s="1689"/>
      <c r="N84" s="1685">
        <v>0</v>
      </c>
      <c r="O84" s="1683">
        <f t="shared" si="22"/>
        <v>0</v>
      </c>
      <c r="P84" s="1683">
        <f t="shared" si="23"/>
        <v>0</v>
      </c>
      <c r="Q84" s="1683">
        <f t="shared" si="24"/>
        <v>0</v>
      </c>
      <c r="R84" s="1683">
        <f t="shared" si="28"/>
        <v>0</v>
      </c>
      <c r="S84" s="1689"/>
    </row>
    <row r="85" spans="2:19">
      <c r="B85" s="1246">
        <f t="shared" si="25"/>
        <v>53</v>
      </c>
      <c r="D85" s="1251" t="s">
        <v>174</v>
      </c>
      <c r="E85" s="1726">
        <v>30</v>
      </c>
      <c r="F85" s="1727">
        <f t="shared" ref="F85:F90" si="29">E86+F86</f>
        <v>185</v>
      </c>
      <c r="G85" s="1727">
        <f t="shared" si="26"/>
        <v>214</v>
      </c>
      <c r="H85" s="1690">
        <f t="shared" si="20"/>
        <v>0.86448598130841126</v>
      </c>
      <c r="I85" s="1689"/>
      <c r="J85" s="1685">
        <v>-208995.92216364891</v>
      </c>
      <c r="K85" s="1683">
        <f t="shared" si="21"/>
        <v>-180674.04486109837</v>
      </c>
      <c r="L85" s="1683">
        <f t="shared" si="27"/>
        <v>-129070649.25386575</v>
      </c>
      <c r="M85" s="1689"/>
      <c r="N85" s="1685">
        <v>0</v>
      </c>
      <c r="O85" s="1683">
        <f t="shared" si="22"/>
        <v>0</v>
      </c>
      <c r="P85" s="1683">
        <f t="shared" si="23"/>
        <v>0</v>
      </c>
      <c r="Q85" s="1683">
        <f t="shared" si="24"/>
        <v>0</v>
      </c>
      <c r="R85" s="1683">
        <f t="shared" si="28"/>
        <v>0</v>
      </c>
      <c r="S85" s="1689"/>
    </row>
    <row r="86" spans="2:19">
      <c r="B86" s="1246">
        <f t="shared" si="25"/>
        <v>54</v>
      </c>
      <c r="D86" s="1251" t="s">
        <v>531</v>
      </c>
      <c r="E86" s="1726">
        <v>31</v>
      </c>
      <c r="F86" s="1727">
        <f t="shared" si="29"/>
        <v>154</v>
      </c>
      <c r="G86" s="1727">
        <f t="shared" si="26"/>
        <v>214</v>
      </c>
      <c r="H86" s="1690">
        <f t="shared" si="20"/>
        <v>0.71962616822429903</v>
      </c>
      <c r="I86" s="1689"/>
      <c r="J86" s="1685">
        <v>-196907.94326018391</v>
      </c>
      <c r="K86" s="1683">
        <f t="shared" si="21"/>
        <v>-141700.10870125383</v>
      </c>
      <c r="L86" s="1683">
        <f t="shared" si="27"/>
        <v>-129212349.36256701</v>
      </c>
      <c r="M86" s="1689"/>
      <c r="N86" s="1685">
        <v>0</v>
      </c>
      <c r="O86" s="1683">
        <f t="shared" si="22"/>
        <v>0</v>
      </c>
      <c r="P86" s="1683">
        <f t="shared" si="23"/>
        <v>0</v>
      </c>
      <c r="Q86" s="1683">
        <f t="shared" si="24"/>
        <v>0</v>
      </c>
      <c r="R86" s="1683">
        <f t="shared" si="28"/>
        <v>0</v>
      </c>
      <c r="S86" s="1689"/>
    </row>
    <row r="87" spans="2:19">
      <c r="B87" s="1246">
        <f t="shared" si="25"/>
        <v>55</v>
      </c>
      <c r="D87" s="1251" t="s">
        <v>554</v>
      </c>
      <c r="E87" s="1726">
        <v>31</v>
      </c>
      <c r="F87" s="1727">
        <f t="shared" si="29"/>
        <v>123</v>
      </c>
      <c r="G87" s="1727">
        <f t="shared" si="26"/>
        <v>214</v>
      </c>
      <c r="H87" s="1690">
        <f t="shared" si="20"/>
        <v>0.57476635514018692</v>
      </c>
      <c r="I87" s="1689"/>
      <c r="J87" s="1685">
        <v>-187523.07069684286</v>
      </c>
      <c r="K87" s="1683">
        <f t="shared" si="21"/>
        <v>-107781.95184911996</v>
      </c>
      <c r="L87" s="1683">
        <f t="shared" si="27"/>
        <v>-129320131.31441613</v>
      </c>
      <c r="M87" s="1689"/>
      <c r="N87" s="1685">
        <v>0</v>
      </c>
      <c r="O87" s="1683">
        <f t="shared" si="22"/>
        <v>0</v>
      </c>
      <c r="P87" s="1683">
        <f t="shared" si="23"/>
        <v>0</v>
      </c>
      <c r="Q87" s="1683">
        <f t="shared" si="24"/>
        <v>0</v>
      </c>
      <c r="R87" s="1683">
        <f t="shared" si="28"/>
        <v>0</v>
      </c>
      <c r="S87" s="1689"/>
    </row>
    <row r="88" spans="2:19">
      <c r="B88" s="1246">
        <f t="shared" si="25"/>
        <v>56</v>
      </c>
      <c r="D88" s="1251" t="s">
        <v>533</v>
      </c>
      <c r="E88" s="1726">
        <v>30</v>
      </c>
      <c r="F88" s="1727">
        <f t="shared" si="29"/>
        <v>93</v>
      </c>
      <c r="G88" s="1727">
        <f t="shared" si="26"/>
        <v>214</v>
      </c>
      <c r="H88" s="1690">
        <f t="shared" si="20"/>
        <v>0.43457943925233644</v>
      </c>
      <c r="I88" s="1689"/>
      <c r="J88" s="1685">
        <v>-181256.77358438849</v>
      </c>
      <c r="K88" s="1683">
        <f t="shared" si="21"/>
        <v>-78770.46702499126</v>
      </c>
      <c r="L88" s="1683">
        <f t="shared" si="27"/>
        <v>-129398901.78144112</v>
      </c>
      <c r="M88" s="1689"/>
      <c r="N88" s="1685">
        <v>0</v>
      </c>
      <c r="O88" s="1683">
        <f t="shared" si="22"/>
        <v>0</v>
      </c>
      <c r="P88" s="1683">
        <f t="shared" si="23"/>
        <v>0</v>
      </c>
      <c r="Q88" s="1683">
        <f t="shared" si="24"/>
        <v>0</v>
      </c>
      <c r="R88" s="1683">
        <f t="shared" si="28"/>
        <v>0</v>
      </c>
      <c r="S88" s="1689"/>
    </row>
    <row r="89" spans="2:19">
      <c r="B89" s="1246">
        <f t="shared" si="25"/>
        <v>57</v>
      </c>
      <c r="D89" s="1251" t="s">
        <v>534</v>
      </c>
      <c r="E89" s="1726">
        <v>31</v>
      </c>
      <c r="F89" s="1727">
        <f t="shared" si="29"/>
        <v>62</v>
      </c>
      <c r="G89" s="1727">
        <f t="shared" si="26"/>
        <v>214</v>
      </c>
      <c r="H89" s="1690">
        <f t="shared" si="20"/>
        <v>0.28971962616822428</v>
      </c>
      <c r="I89" s="1689"/>
      <c r="J89" s="1685">
        <v>-172610.68902878888</v>
      </c>
      <c r="K89" s="1683">
        <f t="shared" si="21"/>
        <v>-50008.704298060329</v>
      </c>
      <c r="L89" s="1683">
        <f t="shared" si="27"/>
        <v>-129448910.48573919</v>
      </c>
      <c r="M89" s="1689"/>
      <c r="N89" s="1685">
        <v>0</v>
      </c>
      <c r="O89" s="1683">
        <f t="shared" si="22"/>
        <v>0</v>
      </c>
      <c r="P89" s="1683">
        <f t="shared" si="23"/>
        <v>0</v>
      </c>
      <c r="Q89" s="1683">
        <f t="shared" si="24"/>
        <v>0</v>
      </c>
      <c r="R89" s="1683">
        <f t="shared" si="28"/>
        <v>0</v>
      </c>
      <c r="S89" s="1689"/>
    </row>
    <row r="90" spans="2:19">
      <c r="B90" s="1246">
        <f t="shared" si="25"/>
        <v>58</v>
      </c>
      <c r="D90" s="1251" t="s">
        <v>535</v>
      </c>
      <c r="E90" s="1726">
        <v>30</v>
      </c>
      <c r="F90" s="1727">
        <f t="shared" si="29"/>
        <v>32</v>
      </c>
      <c r="G90" s="1727">
        <f t="shared" si="26"/>
        <v>214</v>
      </c>
      <c r="H90" s="1690">
        <f t="shared" si="20"/>
        <v>0.14953271028037382</v>
      </c>
      <c r="I90" s="1689"/>
      <c r="J90" s="1685">
        <v>-166951.70569149751</v>
      </c>
      <c r="K90" s="1683">
        <f t="shared" si="21"/>
        <v>-24964.741037980933</v>
      </c>
      <c r="L90" s="1683">
        <f t="shared" si="27"/>
        <v>-129473875.22677717</v>
      </c>
      <c r="M90" s="1689"/>
      <c r="N90" s="1685">
        <v>0</v>
      </c>
      <c r="O90" s="1683">
        <f t="shared" si="22"/>
        <v>0</v>
      </c>
      <c r="P90" s="1683">
        <f t="shared" si="23"/>
        <v>0</v>
      </c>
      <c r="Q90" s="1683">
        <f t="shared" si="24"/>
        <v>0</v>
      </c>
      <c r="R90" s="1683">
        <f t="shared" si="28"/>
        <v>0</v>
      </c>
      <c r="S90" s="1689"/>
    </row>
    <row r="91" spans="2:19">
      <c r="B91" s="1246">
        <f t="shared" si="25"/>
        <v>59</v>
      </c>
      <c r="D91" s="1252" t="s">
        <v>757</v>
      </c>
      <c r="E91" s="1726">
        <v>31</v>
      </c>
      <c r="F91" s="1728">
        <v>1</v>
      </c>
      <c r="G91" s="1727">
        <f t="shared" si="26"/>
        <v>214</v>
      </c>
      <c r="H91" s="1690">
        <f t="shared" si="20"/>
        <v>4.6728971962616819E-3</v>
      </c>
      <c r="I91" s="1689"/>
      <c r="J91" s="1685">
        <v>-138548.6599537381</v>
      </c>
      <c r="K91" s="1683">
        <f t="shared" si="21"/>
        <v>-647.42364464363595</v>
      </c>
      <c r="L91" s="1683">
        <f t="shared" si="27"/>
        <v>-129474522.65042181</v>
      </c>
      <c r="M91" s="1689"/>
      <c r="N91" s="1685">
        <v>0</v>
      </c>
      <c r="O91" s="1683">
        <f t="shared" si="22"/>
        <v>0</v>
      </c>
      <c r="P91" s="1683">
        <f t="shared" si="23"/>
        <v>0</v>
      </c>
      <c r="Q91" s="1683">
        <f t="shared" si="24"/>
        <v>0</v>
      </c>
      <c r="R91" s="1683">
        <f t="shared" si="28"/>
        <v>0</v>
      </c>
      <c r="S91" s="1689"/>
    </row>
    <row r="92" spans="2:19">
      <c r="B92" s="1246">
        <f t="shared" si="25"/>
        <v>60</v>
      </c>
      <c r="D92" s="1253" t="str">
        <f>"Total (Sum of Lines "&amp;B80&amp;" - "&amp;B91&amp;")"</f>
        <v>Total (Sum of Lines 48 - 59)</v>
      </c>
      <c r="E92" s="1688">
        <f>SUM(E80:E91)</f>
        <v>365</v>
      </c>
      <c r="F92" s="1254"/>
      <c r="G92" s="1254"/>
      <c r="H92" s="1255"/>
      <c r="I92" s="1686"/>
      <c r="J92" s="1688">
        <f>SUM(J80:J91)</f>
        <v>-2792919.0677160174</v>
      </c>
      <c r="K92" s="1688">
        <f>SUM(K80:K91)</f>
        <v>-1354609.5930856129</v>
      </c>
      <c r="L92" s="1688"/>
      <c r="M92" s="1686"/>
      <c r="N92" s="1688">
        <f>SUM(N80:N91)</f>
        <v>0</v>
      </c>
      <c r="O92" s="1688">
        <f>SUM(O80:O91)</f>
        <v>0</v>
      </c>
      <c r="P92" s="1688">
        <f>SUM(P80:P91)</f>
        <v>0</v>
      </c>
      <c r="Q92" s="1688">
        <f>SUM(Q80:Q91)</f>
        <v>0</v>
      </c>
      <c r="R92" s="1687"/>
      <c r="S92" s="1686"/>
    </row>
    <row r="93" spans="2:19">
      <c r="D93" s="1256"/>
      <c r="E93" s="1256"/>
      <c r="F93" s="1256"/>
      <c r="G93" s="1256"/>
      <c r="H93" s="1257"/>
      <c r="I93" s="1257"/>
      <c r="K93" s="1258"/>
      <c r="L93" s="1257"/>
      <c r="M93" s="1257"/>
      <c r="N93" s="1266"/>
      <c r="O93" s="1258"/>
      <c r="P93" s="1258"/>
      <c r="Q93" s="1258"/>
      <c r="R93" s="1257"/>
      <c r="S93" s="1257"/>
    </row>
    <row r="94" spans="2:19" ht="15" customHeight="1">
      <c r="B94" s="1246">
        <f>B92+1</f>
        <v>61</v>
      </c>
      <c r="D94" s="985" t="s">
        <v>926</v>
      </c>
      <c r="I94" s="1257"/>
      <c r="J94" s="1726" t="s">
        <v>1915</v>
      </c>
      <c r="L94" s="1685">
        <f>'1C - ADIT BOY'!E13</f>
        <v>-160426407.71658459</v>
      </c>
      <c r="M94" s="1259"/>
      <c r="N94" s="1685"/>
      <c r="R94" s="1685">
        <v>0</v>
      </c>
    </row>
    <row r="95" spans="2:19">
      <c r="B95" s="1246">
        <f>B94+1</f>
        <v>62</v>
      </c>
      <c r="D95" s="985" t="s">
        <v>930</v>
      </c>
      <c r="I95" s="1257"/>
      <c r="J95" s="1260" t="s">
        <v>647</v>
      </c>
      <c r="L95" s="1261">
        <v>0</v>
      </c>
      <c r="M95" s="1262"/>
      <c r="N95" s="1260"/>
      <c r="R95" s="1261">
        <v>0</v>
      </c>
    </row>
    <row r="96" spans="2:19">
      <c r="B96" s="1246">
        <f>B95+1</f>
        <v>63</v>
      </c>
      <c r="D96" s="985" t="s">
        <v>927</v>
      </c>
      <c r="I96" s="1257"/>
      <c r="J96" s="1253" t="str">
        <f>"(Col. "&amp;L75&amp;", Line "&amp;B94&amp;" + Line "&amp;B95&amp;")"</f>
        <v>(Col. (H), Line 61 + Line 62)</v>
      </c>
      <c r="L96" s="1684">
        <f>L94+L95</f>
        <v>-160426407.71658459</v>
      </c>
      <c r="M96" s="1257"/>
      <c r="N96" s="1253" t="str">
        <f>"(Col. "&amp;R75&amp;", Line "&amp;B94&amp;" + Line "&amp;B95&amp;")"</f>
        <v>(Col. (M), Line 61 + Line 62)</v>
      </c>
      <c r="R96" s="1684">
        <f>R94+R95</f>
        <v>0</v>
      </c>
    </row>
    <row r="97" spans="2:19">
      <c r="I97" s="1257"/>
      <c r="L97" s="1684"/>
      <c r="M97" s="1257"/>
      <c r="R97" s="1684"/>
    </row>
    <row r="98" spans="2:19">
      <c r="B98" s="1246">
        <f>B96+1</f>
        <v>64</v>
      </c>
      <c r="D98" s="985" t="s">
        <v>1010</v>
      </c>
      <c r="I98" s="1257"/>
      <c r="J98" s="1726" t="s">
        <v>1927</v>
      </c>
      <c r="L98" s="1685">
        <f>'1B - ADIT EOY'!E13</f>
        <v>-162007470.14139166</v>
      </c>
      <c r="M98" s="1259"/>
      <c r="N98" s="1685"/>
      <c r="R98" s="1685">
        <v>0</v>
      </c>
    </row>
    <row r="99" spans="2:19">
      <c r="B99" s="1246">
        <f>B98+1</f>
        <v>65</v>
      </c>
      <c r="D99" s="985" t="s">
        <v>931</v>
      </c>
      <c r="I99" s="1257"/>
      <c r="J99" s="1260" t="s">
        <v>647</v>
      </c>
      <c r="L99" s="1261">
        <v>0</v>
      </c>
      <c r="M99" s="1257"/>
      <c r="N99" s="1260"/>
      <c r="R99" s="1261">
        <v>0</v>
      </c>
    </row>
    <row r="100" spans="2:19">
      <c r="B100" s="1246">
        <f>B99+1</f>
        <v>66</v>
      </c>
      <c r="D100" s="985" t="s">
        <v>932</v>
      </c>
      <c r="I100" s="1257"/>
      <c r="J100" s="1253" t="str">
        <f>"(Col. "&amp;L75&amp;", Line "&amp;B98&amp;" + Line "&amp;B99&amp;")"</f>
        <v>(Col. (H), Line 64 + Line 65)</v>
      </c>
      <c r="L100" s="1684">
        <f>L98+L99</f>
        <v>-162007470.14139166</v>
      </c>
      <c r="M100" s="1257"/>
      <c r="N100" s="1253" t="str">
        <f>"(Col. "&amp;R75&amp;", Line "&amp;B98&amp;" + Line "&amp;B99&amp;")"</f>
        <v>(Col. (M), Line 64 + Line 65)</v>
      </c>
      <c r="R100" s="1684">
        <f>R98+R99</f>
        <v>0</v>
      </c>
    </row>
    <row r="101" spans="2:19">
      <c r="I101" s="1257"/>
      <c r="L101" s="1684"/>
      <c r="M101" s="1257"/>
      <c r="R101" s="1684"/>
    </row>
    <row r="102" spans="2:19">
      <c r="B102" s="1246">
        <f>B100+1</f>
        <v>67</v>
      </c>
      <c r="D102" s="985" t="s">
        <v>1009</v>
      </c>
      <c r="I102" s="1257"/>
      <c r="J102" s="1253" t="str">
        <f>"([Col. "&amp;L75&amp;", Line "&amp;B96&amp;" + Line "&amp;B100&amp;"] /2)"</f>
        <v>([Col. (H), Line 63 + Line 66] /2)</v>
      </c>
      <c r="L102" s="1683">
        <f>(L96+L100)/2</f>
        <v>-161216938.92898813</v>
      </c>
      <c r="M102" s="1257"/>
      <c r="N102" s="1253" t="str">
        <f>"([Col. "&amp;R75&amp;", Line "&amp;B96&amp;" + Line "&amp;B100&amp;"] /2)"</f>
        <v>([Col. (M), Line 63 + Line 66] /2)</v>
      </c>
      <c r="R102" s="1683">
        <f>(R96+R100)/2</f>
        <v>0</v>
      </c>
    </row>
    <row r="103" spans="2:19">
      <c r="B103" s="1246">
        <f>B102+1</f>
        <v>68</v>
      </c>
      <c r="D103" s="1256" t="s">
        <v>1008</v>
      </c>
      <c r="E103" s="1256"/>
      <c r="F103" s="1256"/>
      <c r="G103" s="1256"/>
      <c r="H103" s="1257"/>
      <c r="I103" s="1257"/>
      <c r="J103" s="1253" t="str">
        <f>"(Col. "&amp;L75&amp;", Line "&amp;B91&amp;" )"</f>
        <v>(Col. (H), Line 59 )</v>
      </c>
      <c r="K103" s="1258"/>
      <c r="L103" s="1683">
        <f>L91</f>
        <v>-129474522.65042181</v>
      </c>
      <c r="M103" s="1257"/>
      <c r="N103" s="1253" t="str">
        <f>"(Col. "&amp;R75&amp;", Line "&amp;B91&amp;" )"</f>
        <v>(Col. (M), Line 59 )</v>
      </c>
      <c r="R103" s="1683">
        <f>R91</f>
        <v>0</v>
      </c>
    </row>
    <row r="104" spans="2:19" ht="13.5" thickBot="1">
      <c r="B104" s="1246">
        <f>B103+1</f>
        <v>69</v>
      </c>
      <c r="D104" s="1263" t="s">
        <v>1865</v>
      </c>
      <c r="E104" s="1256"/>
      <c r="F104" s="1256"/>
      <c r="G104" s="1256"/>
      <c r="H104" s="1257"/>
      <c r="I104" s="1257"/>
      <c r="J104" s="1253" t="str">
        <f>"(Col. "&amp;L75&amp;", Line "&amp;B102&amp;" + Line "&amp;B103&amp;")"</f>
        <v>(Col. (H), Line 67 + Line 68)</v>
      </c>
      <c r="K104" s="1258"/>
      <c r="L104" s="1682">
        <f>L102+L103</f>
        <v>-290691461.57940996</v>
      </c>
      <c r="M104" s="1257"/>
      <c r="N104" s="1253" t="str">
        <f>"(Col. "&amp;R75&amp;", Line "&amp;B102&amp;" + Line "&amp;B103&amp;")"</f>
        <v>(Col. (M), Line 67 + Line 68)</v>
      </c>
      <c r="R104" s="1682">
        <f>R102+R103</f>
        <v>0</v>
      </c>
    </row>
    <row r="105" spans="2:19" ht="13">
      <c r="D105" s="1243"/>
    </row>
    <row r="106" spans="2:19" ht="13">
      <c r="D106" s="1243" t="s">
        <v>933</v>
      </c>
      <c r="J106" s="1831"/>
      <c r="K106" s="1831"/>
      <c r="L106" s="1831"/>
      <c r="N106" s="1831"/>
      <c r="O106" s="1831"/>
      <c r="P106" s="1831"/>
      <c r="Q106" s="1831"/>
      <c r="R106" s="1831"/>
    </row>
    <row r="107" spans="2:19" ht="13">
      <c r="D107" s="1832" t="s">
        <v>921</v>
      </c>
      <c r="E107" s="1833"/>
      <c r="F107" s="1833"/>
      <c r="G107" s="1833"/>
      <c r="H107" s="1834"/>
      <c r="I107" s="1247"/>
      <c r="J107" s="1826" t="s">
        <v>1301</v>
      </c>
      <c r="K107" s="1827"/>
      <c r="L107" s="1828"/>
      <c r="M107" s="1247"/>
      <c r="N107" s="1826" t="s">
        <v>1302</v>
      </c>
      <c r="O107" s="1827"/>
      <c r="P107" s="1827"/>
      <c r="Q107" s="1827"/>
      <c r="R107" s="1828"/>
      <c r="S107" s="1247"/>
    </row>
    <row r="108" spans="2:19" ht="13">
      <c r="D108" s="1248" t="s">
        <v>175</v>
      </c>
      <c r="E108" s="1248" t="s">
        <v>176</v>
      </c>
      <c r="F108" s="1248" t="s">
        <v>1303</v>
      </c>
      <c r="G108" s="1248" t="s">
        <v>1304</v>
      </c>
      <c r="H108" s="1248" t="s">
        <v>1305</v>
      </c>
      <c r="I108" s="1247"/>
      <c r="J108" s="1248" t="s">
        <v>1306</v>
      </c>
      <c r="K108" s="1248" t="s">
        <v>1307</v>
      </c>
      <c r="L108" s="1248" t="s">
        <v>1308</v>
      </c>
      <c r="M108" s="1247"/>
      <c r="N108" s="1248" t="s">
        <v>1309</v>
      </c>
      <c r="O108" s="1248" t="s">
        <v>1310</v>
      </c>
      <c r="P108" s="1248" t="s">
        <v>1311</v>
      </c>
      <c r="Q108" s="1248" t="s">
        <v>1312</v>
      </c>
      <c r="R108" s="1248" t="s">
        <v>1313</v>
      </c>
      <c r="S108" s="1247"/>
    </row>
    <row r="109" spans="2:19" ht="50">
      <c r="B109" s="1249" t="s">
        <v>1314</v>
      </c>
      <c r="D109" s="1250" t="s">
        <v>170</v>
      </c>
      <c r="E109" s="1250" t="s">
        <v>922</v>
      </c>
      <c r="F109" s="1250" t="s">
        <v>923</v>
      </c>
      <c r="G109" s="1250" t="s">
        <v>924</v>
      </c>
      <c r="H109" s="1250" t="s">
        <v>1315</v>
      </c>
      <c r="I109" s="1678"/>
      <c r="J109" s="1250" t="s">
        <v>925</v>
      </c>
      <c r="K109" s="1250" t="s">
        <v>1316</v>
      </c>
      <c r="L109" s="1250" t="s">
        <v>1317</v>
      </c>
      <c r="M109" s="1678"/>
      <c r="N109" s="1250" t="s">
        <v>1012</v>
      </c>
      <c r="O109" s="1250" t="s">
        <v>1318</v>
      </c>
      <c r="P109" s="1250" t="s">
        <v>1319</v>
      </c>
      <c r="Q109" s="1250" t="s">
        <v>1320</v>
      </c>
      <c r="R109" s="1250" t="s">
        <v>1321</v>
      </c>
      <c r="S109" s="1678"/>
    </row>
    <row r="110" spans="2:19">
      <c r="E110" s="1678"/>
      <c r="F110" s="1678"/>
      <c r="G110" s="1678"/>
      <c r="H110" s="1678"/>
      <c r="I110" s="1678"/>
      <c r="J110" s="1678"/>
      <c r="K110" s="1678"/>
      <c r="L110" s="1678"/>
      <c r="M110" s="1678"/>
      <c r="N110" s="1678"/>
      <c r="O110" s="1678"/>
      <c r="P110" s="1678"/>
      <c r="Q110" s="1678"/>
      <c r="R110" s="1678"/>
      <c r="S110" s="1678"/>
    </row>
    <row r="111" spans="2:19">
      <c r="B111" s="1246">
        <f>B104+1</f>
        <v>70</v>
      </c>
      <c r="D111" s="985" t="s">
        <v>1011</v>
      </c>
      <c r="E111" s="1678"/>
      <c r="F111" s="1678"/>
      <c r="G111" s="1678"/>
      <c r="H111" s="1678"/>
      <c r="I111" s="1678"/>
      <c r="J111" s="1726" t="s">
        <v>1915</v>
      </c>
      <c r="K111" s="1678"/>
      <c r="L111" s="1685">
        <v>0</v>
      </c>
      <c r="M111" s="1678"/>
      <c r="N111" s="1685"/>
      <c r="O111" s="1678"/>
      <c r="P111" s="1678"/>
      <c r="Q111" s="1678"/>
      <c r="R111" s="1685">
        <v>0</v>
      </c>
      <c r="S111" s="1678"/>
    </row>
    <row r="112" spans="2:19">
      <c r="E112" s="1678"/>
      <c r="F112" s="1678"/>
      <c r="G112" s="1678"/>
      <c r="H112" s="1678"/>
      <c r="I112" s="1678"/>
      <c r="J112" s="1678"/>
      <c r="K112" s="1678"/>
      <c r="L112" s="1678"/>
      <c r="M112" s="1678"/>
      <c r="N112" s="1678"/>
      <c r="O112" s="1678"/>
      <c r="P112" s="1678"/>
      <c r="Q112" s="1678"/>
      <c r="R112" s="1678"/>
      <c r="S112" s="1678"/>
    </row>
    <row r="113" spans="2:19">
      <c r="B113" s="1246">
        <f>B111+1</f>
        <v>71</v>
      </c>
      <c r="D113" s="1251" t="s">
        <v>528</v>
      </c>
      <c r="E113" s="1726">
        <v>31</v>
      </c>
      <c r="F113" s="1727">
        <v>0</v>
      </c>
      <c r="G113" s="1727">
        <v>214</v>
      </c>
      <c r="H113" s="1690">
        <f t="shared" ref="H113:H124" si="30">IF(F113=0,0.5,F113/G113)</f>
        <v>0.5</v>
      </c>
      <c r="I113" s="1689"/>
      <c r="J113" s="1685">
        <v>0</v>
      </c>
      <c r="K113" s="1683">
        <f t="shared" ref="K113:K124" si="31">+J113*H113</f>
        <v>0</v>
      </c>
      <c r="L113" s="1683">
        <f>+K113</f>
        <v>0</v>
      </c>
      <c r="M113" s="1689"/>
      <c r="N113" s="1685">
        <v>0</v>
      </c>
      <c r="O113" s="1683">
        <f t="shared" ref="O113:O124" si="32">IF($D$177="True-Up Adjustment",N113-J113,0)</f>
        <v>0</v>
      </c>
      <c r="P113" s="1683">
        <f t="shared" ref="P113:P124" si="33">IF($D$177="True-Up Adjustment",IF(AND(J113&gt;=0,N113&gt;=0),IF(O113&gt;=0,K113+O113,N113/J113*K113),IF(AND(J113&lt;0,N113&lt;0),IF(O113&lt;0,K113+O113,N113/J113*K113),0)),0)</f>
        <v>0</v>
      </c>
      <c r="Q113" s="1683">
        <f t="shared" ref="Q113:Q124" si="34">IF(AND(J113&gt;=0,N113&lt;0),N113,IF(AND(J113&lt;0,N113&gt;=0),N113,0))</f>
        <v>0</v>
      </c>
      <c r="R113" s="1683">
        <f>+P113+Q113</f>
        <v>0</v>
      </c>
      <c r="S113" s="1689"/>
    </row>
    <row r="114" spans="2:19">
      <c r="B114" s="1246">
        <f t="shared" ref="B114:B125" si="35">+B113+1</f>
        <v>72</v>
      </c>
      <c r="D114" s="1251" t="s">
        <v>529</v>
      </c>
      <c r="E114" s="1726">
        <v>28</v>
      </c>
      <c r="F114" s="1727">
        <v>0</v>
      </c>
      <c r="G114" s="1727">
        <f t="shared" ref="G114:G124" si="36">G113</f>
        <v>214</v>
      </c>
      <c r="H114" s="1690">
        <f t="shared" si="30"/>
        <v>0.5</v>
      </c>
      <c r="I114" s="1689"/>
      <c r="J114" s="1685">
        <v>0</v>
      </c>
      <c r="K114" s="1683">
        <f t="shared" si="31"/>
        <v>0</v>
      </c>
      <c r="L114" s="1683">
        <f t="shared" ref="L114:L124" si="37">+K114+L113</f>
        <v>0</v>
      </c>
      <c r="M114" s="1689"/>
      <c r="N114" s="1685">
        <v>0</v>
      </c>
      <c r="O114" s="1683">
        <f t="shared" si="32"/>
        <v>0</v>
      </c>
      <c r="P114" s="1683">
        <f t="shared" si="33"/>
        <v>0</v>
      </c>
      <c r="Q114" s="1683">
        <f t="shared" si="34"/>
        <v>0</v>
      </c>
      <c r="R114" s="1683">
        <f t="shared" ref="R114:R124" si="38">R113+P114+Q114</f>
        <v>0</v>
      </c>
      <c r="S114" s="1689"/>
    </row>
    <row r="115" spans="2:19">
      <c r="B115" s="1246">
        <f t="shared" si="35"/>
        <v>73</v>
      </c>
      <c r="D115" s="1251" t="s">
        <v>553</v>
      </c>
      <c r="E115" s="1726">
        <v>31</v>
      </c>
      <c r="F115" s="1727">
        <v>0</v>
      </c>
      <c r="G115" s="1727">
        <f t="shared" si="36"/>
        <v>214</v>
      </c>
      <c r="H115" s="1690">
        <f t="shared" si="30"/>
        <v>0.5</v>
      </c>
      <c r="I115" s="1689"/>
      <c r="J115" s="1685">
        <v>0</v>
      </c>
      <c r="K115" s="1683">
        <f t="shared" si="31"/>
        <v>0</v>
      </c>
      <c r="L115" s="1683">
        <f t="shared" si="37"/>
        <v>0</v>
      </c>
      <c r="M115" s="1689"/>
      <c r="N115" s="1685">
        <v>0</v>
      </c>
      <c r="O115" s="1683">
        <f t="shared" si="32"/>
        <v>0</v>
      </c>
      <c r="P115" s="1683">
        <f t="shared" si="33"/>
        <v>0</v>
      </c>
      <c r="Q115" s="1683">
        <f t="shared" si="34"/>
        <v>0</v>
      </c>
      <c r="R115" s="1683">
        <f t="shared" si="38"/>
        <v>0</v>
      </c>
      <c r="S115" s="1689"/>
    </row>
    <row r="116" spans="2:19">
      <c r="B116" s="1246">
        <f t="shared" si="35"/>
        <v>74</v>
      </c>
      <c r="D116" s="1251" t="s">
        <v>172</v>
      </c>
      <c r="E116" s="1726">
        <v>30</v>
      </c>
      <c r="F116" s="1727">
        <v>0</v>
      </c>
      <c r="G116" s="1727">
        <f t="shared" si="36"/>
        <v>214</v>
      </c>
      <c r="H116" s="1690">
        <f t="shared" si="30"/>
        <v>0.5</v>
      </c>
      <c r="I116" s="1689"/>
      <c r="J116" s="1685">
        <v>0</v>
      </c>
      <c r="K116" s="1683">
        <f t="shared" si="31"/>
        <v>0</v>
      </c>
      <c r="L116" s="1683">
        <f t="shared" si="37"/>
        <v>0</v>
      </c>
      <c r="M116" s="1689"/>
      <c r="N116" s="1685">
        <v>0</v>
      </c>
      <c r="O116" s="1683">
        <f t="shared" si="32"/>
        <v>0</v>
      </c>
      <c r="P116" s="1683">
        <f t="shared" si="33"/>
        <v>0</v>
      </c>
      <c r="Q116" s="1683">
        <f t="shared" si="34"/>
        <v>0</v>
      </c>
      <c r="R116" s="1683">
        <f t="shared" si="38"/>
        <v>0</v>
      </c>
      <c r="S116" s="1689"/>
    </row>
    <row r="117" spans="2:19">
      <c r="B117" s="1246">
        <f t="shared" si="35"/>
        <v>75</v>
      </c>
      <c r="D117" s="1251" t="s">
        <v>173</v>
      </c>
      <c r="E117" s="1726">
        <v>31</v>
      </c>
      <c r="F117" s="1727">
        <v>0</v>
      </c>
      <c r="G117" s="1727">
        <f t="shared" si="36"/>
        <v>214</v>
      </c>
      <c r="H117" s="1690">
        <f t="shared" si="30"/>
        <v>0.5</v>
      </c>
      <c r="I117" s="1689"/>
      <c r="J117" s="1685">
        <v>0</v>
      </c>
      <c r="K117" s="1683">
        <f t="shared" si="31"/>
        <v>0</v>
      </c>
      <c r="L117" s="1683">
        <f t="shared" si="37"/>
        <v>0</v>
      </c>
      <c r="M117" s="1689"/>
      <c r="N117" s="1685">
        <v>0</v>
      </c>
      <c r="O117" s="1683">
        <f t="shared" si="32"/>
        <v>0</v>
      </c>
      <c r="P117" s="1683">
        <f t="shared" si="33"/>
        <v>0</v>
      </c>
      <c r="Q117" s="1683">
        <f t="shared" si="34"/>
        <v>0</v>
      </c>
      <c r="R117" s="1683">
        <f t="shared" si="38"/>
        <v>0</v>
      </c>
      <c r="S117" s="1689"/>
    </row>
    <row r="118" spans="2:19">
      <c r="B118" s="1246">
        <f t="shared" si="35"/>
        <v>76</v>
      </c>
      <c r="D118" s="1251" t="s">
        <v>174</v>
      </c>
      <c r="E118" s="1726">
        <v>30</v>
      </c>
      <c r="F118" s="1727">
        <f t="shared" ref="F118:F123" si="39">E119+F119</f>
        <v>185</v>
      </c>
      <c r="G118" s="1727">
        <f t="shared" si="36"/>
        <v>214</v>
      </c>
      <c r="H118" s="1690">
        <f t="shared" si="30"/>
        <v>0.86448598130841126</v>
      </c>
      <c r="I118" s="1689"/>
      <c r="J118" s="1685">
        <v>0</v>
      </c>
      <c r="K118" s="1683">
        <f t="shared" si="31"/>
        <v>0</v>
      </c>
      <c r="L118" s="1683">
        <f t="shared" si="37"/>
        <v>0</v>
      </c>
      <c r="M118" s="1689"/>
      <c r="N118" s="1685">
        <v>0</v>
      </c>
      <c r="O118" s="1683">
        <f t="shared" si="32"/>
        <v>0</v>
      </c>
      <c r="P118" s="1683">
        <f t="shared" si="33"/>
        <v>0</v>
      </c>
      <c r="Q118" s="1683">
        <f t="shared" si="34"/>
        <v>0</v>
      </c>
      <c r="R118" s="1683">
        <f t="shared" si="38"/>
        <v>0</v>
      </c>
      <c r="S118" s="1689"/>
    </row>
    <row r="119" spans="2:19">
      <c r="B119" s="1246">
        <f t="shared" si="35"/>
        <v>77</v>
      </c>
      <c r="D119" s="1251" t="s">
        <v>531</v>
      </c>
      <c r="E119" s="1726">
        <v>31</v>
      </c>
      <c r="F119" s="1727">
        <f t="shared" si="39"/>
        <v>154</v>
      </c>
      <c r="G119" s="1727">
        <f t="shared" si="36"/>
        <v>214</v>
      </c>
      <c r="H119" s="1690">
        <f t="shared" si="30"/>
        <v>0.71962616822429903</v>
      </c>
      <c r="I119" s="1689"/>
      <c r="J119" s="1685">
        <v>0</v>
      </c>
      <c r="K119" s="1683">
        <f t="shared" si="31"/>
        <v>0</v>
      </c>
      <c r="L119" s="1683">
        <f t="shared" si="37"/>
        <v>0</v>
      </c>
      <c r="M119" s="1689"/>
      <c r="N119" s="1685">
        <v>0</v>
      </c>
      <c r="O119" s="1683">
        <f t="shared" si="32"/>
        <v>0</v>
      </c>
      <c r="P119" s="1683">
        <f t="shared" si="33"/>
        <v>0</v>
      </c>
      <c r="Q119" s="1683">
        <f t="shared" si="34"/>
        <v>0</v>
      </c>
      <c r="R119" s="1683">
        <f t="shared" si="38"/>
        <v>0</v>
      </c>
      <c r="S119" s="1689"/>
    </row>
    <row r="120" spans="2:19">
      <c r="B120" s="1246">
        <f t="shared" si="35"/>
        <v>78</v>
      </c>
      <c r="D120" s="1251" t="s">
        <v>554</v>
      </c>
      <c r="E120" s="1726">
        <v>31</v>
      </c>
      <c r="F120" s="1727">
        <f t="shared" si="39"/>
        <v>123</v>
      </c>
      <c r="G120" s="1727">
        <f t="shared" si="36"/>
        <v>214</v>
      </c>
      <c r="H120" s="1690">
        <f t="shared" si="30"/>
        <v>0.57476635514018692</v>
      </c>
      <c r="I120" s="1689"/>
      <c r="J120" s="1685">
        <v>0</v>
      </c>
      <c r="K120" s="1683">
        <f t="shared" si="31"/>
        <v>0</v>
      </c>
      <c r="L120" s="1683">
        <f t="shared" si="37"/>
        <v>0</v>
      </c>
      <c r="M120" s="1689"/>
      <c r="N120" s="1685">
        <v>0</v>
      </c>
      <c r="O120" s="1683">
        <f t="shared" si="32"/>
        <v>0</v>
      </c>
      <c r="P120" s="1683">
        <f t="shared" si="33"/>
        <v>0</v>
      </c>
      <c r="Q120" s="1683">
        <f t="shared" si="34"/>
        <v>0</v>
      </c>
      <c r="R120" s="1683">
        <f t="shared" si="38"/>
        <v>0</v>
      </c>
      <c r="S120" s="1689"/>
    </row>
    <row r="121" spans="2:19">
      <c r="B121" s="1246">
        <f t="shared" si="35"/>
        <v>79</v>
      </c>
      <c r="D121" s="1251" t="s">
        <v>533</v>
      </c>
      <c r="E121" s="1726">
        <v>30</v>
      </c>
      <c r="F121" s="1727">
        <f t="shared" si="39"/>
        <v>93</v>
      </c>
      <c r="G121" s="1727">
        <f t="shared" si="36"/>
        <v>214</v>
      </c>
      <c r="H121" s="1690">
        <f t="shared" si="30"/>
        <v>0.43457943925233644</v>
      </c>
      <c r="I121" s="1689"/>
      <c r="J121" s="1685">
        <v>0</v>
      </c>
      <c r="K121" s="1683">
        <f t="shared" si="31"/>
        <v>0</v>
      </c>
      <c r="L121" s="1683">
        <f t="shared" si="37"/>
        <v>0</v>
      </c>
      <c r="M121" s="1689"/>
      <c r="N121" s="1685">
        <v>0</v>
      </c>
      <c r="O121" s="1683">
        <f t="shared" si="32"/>
        <v>0</v>
      </c>
      <c r="P121" s="1683">
        <f t="shared" si="33"/>
        <v>0</v>
      </c>
      <c r="Q121" s="1683">
        <f t="shared" si="34"/>
        <v>0</v>
      </c>
      <c r="R121" s="1683">
        <f t="shared" si="38"/>
        <v>0</v>
      </c>
      <c r="S121" s="1689"/>
    </row>
    <row r="122" spans="2:19">
      <c r="B122" s="1246">
        <f t="shared" si="35"/>
        <v>80</v>
      </c>
      <c r="D122" s="1251" t="s">
        <v>534</v>
      </c>
      <c r="E122" s="1726">
        <v>31</v>
      </c>
      <c r="F122" s="1727">
        <f t="shared" si="39"/>
        <v>62</v>
      </c>
      <c r="G122" s="1727">
        <f t="shared" si="36"/>
        <v>214</v>
      </c>
      <c r="H122" s="1690">
        <f t="shared" si="30"/>
        <v>0.28971962616822428</v>
      </c>
      <c r="I122" s="1689"/>
      <c r="J122" s="1685">
        <v>0</v>
      </c>
      <c r="K122" s="1683">
        <f t="shared" si="31"/>
        <v>0</v>
      </c>
      <c r="L122" s="1683">
        <f t="shared" si="37"/>
        <v>0</v>
      </c>
      <c r="M122" s="1689"/>
      <c r="N122" s="1685">
        <v>0</v>
      </c>
      <c r="O122" s="1683">
        <f t="shared" si="32"/>
        <v>0</v>
      </c>
      <c r="P122" s="1683">
        <f t="shared" si="33"/>
        <v>0</v>
      </c>
      <c r="Q122" s="1683">
        <f t="shared" si="34"/>
        <v>0</v>
      </c>
      <c r="R122" s="1683">
        <f t="shared" si="38"/>
        <v>0</v>
      </c>
      <c r="S122" s="1689"/>
    </row>
    <row r="123" spans="2:19">
      <c r="B123" s="1246">
        <f t="shared" si="35"/>
        <v>81</v>
      </c>
      <c r="D123" s="1251" t="s">
        <v>535</v>
      </c>
      <c r="E123" s="1726">
        <v>30</v>
      </c>
      <c r="F123" s="1727">
        <f t="shared" si="39"/>
        <v>32</v>
      </c>
      <c r="G123" s="1727">
        <f t="shared" si="36"/>
        <v>214</v>
      </c>
      <c r="H123" s="1690">
        <f t="shared" si="30"/>
        <v>0.14953271028037382</v>
      </c>
      <c r="I123" s="1689"/>
      <c r="J123" s="1685">
        <v>0</v>
      </c>
      <c r="K123" s="1683">
        <f t="shared" si="31"/>
        <v>0</v>
      </c>
      <c r="L123" s="1683">
        <f t="shared" si="37"/>
        <v>0</v>
      </c>
      <c r="M123" s="1689"/>
      <c r="N123" s="1685">
        <v>0</v>
      </c>
      <c r="O123" s="1683">
        <f t="shared" si="32"/>
        <v>0</v>
      </c>
      <c r="P123" s="1683">
        <f t="shared" si="33"/>
        <v>0</v>
      </c>
      <c r="Q123" s="1683">
        <f t="shared" si="34"/>
        <v>0</v>
      </c>
      <c r="R123" s="1683">
        <f t="shared" si="38"/>
        <v>0</v>
      </c>
      <c r="S123" s="1689"/>
    </row>
    <row r="124" spans="2:19">
      <c r="B124" s="1246">
        <f t="shared" si="35"/>
        <v>82</v>
      </c>
      <c r="D124" s="1252" t="s">
        <v>757</v>
      </c>
      <c r="E124" s="1726">
        <v>31</v>
      </c>
      <c r="F124" s="1728">
        <v>1</v>
      </c>
      <c r="G124" s="1727">
        <f t="shared" si="36"/>
        <v>214</v>
      </c>
      <c r="H124" s="1690">
        <f t="shared" si="30"/>
        <v>4.6728971962616819E-3</v>
      </c>
      <c r="I124" s="1689"/>
      <c r="J124" s="1685">
        <v>0</v>
      </c>
      <c r="K124" s="1683">
        <f t="shared" si="31"/>
        <v>0</v>
      </c>
      <c r="L124" s="1683">
        <f t="shared" si="37"/>
        <v>0</v>
      </c>
      <c r="M124" s="1689"/>
      <c r="N124" s="1685">
        <v>0</v>
      </c>
      <c r="O124" s="1683">
        <f t="shared" si="32"/>
        <v>0</v>
      </c>
      <c r="P124" s="1683">
        <f t="shared" si="33"/>
        <v>0</v>
      </c>
      <c r="Q124" s="1683">
        <f t="shared" si="34"/>
        <v>0</v>
      </c>
      <c r="R124" s="1683">
        <f t="shared" si="38"/>
        <v>0</v>
      </c>
      <c r="S124" s="1689"/>
    </row>
    <row r="125" spans="2:19">
      <c r="B125" s="1246">
        <f t="shared" si="35"/>
        <v>83</v>
      </c>
      <c r="D125" s="1253" t="str">
        <f>"Total (Sum of Lines "&amp;B113&amp;" - "&amp;B124&amp;")"</f>
        <v>Total (Sum of Lines 71 - 82)</v>
      </c>
      <c r="E125" s="1688">
        <f>SUM(E113:E124)</f>
        <v>365</v>
      </c>
      <c r="F125" s="1254"/>
      <c r="G125" s="1254"/>
      <c r="H125" s="1255"/>
      <c r="I125" s="1686"/>
      <c r="J125" s="1688">
        <f>SUM(J113:J124)</f>
        <v>0</v>
      </c>
      <c r="K125" s="1688">
        <f>SUM(K113:K124)</f>
        <v>0</v>
      </c>
      <c r="L125" s="1687"/>
      <c r="M125" s="1686"/>
      <c r="N125" s="1688">
        <f>SUM(N113:N124)</f>
        <v>0</v>
      </c>
      <c r="O125" s="1688">
        <f>SUM(O113:O124)</f>
        <v>0</v>
      </c>
      <c r="P125" s="1688">
        <f>SUM(P113:P124)</f>
        <v>0</v>
      </c>
      <c r="Q125" s="1688">
        <f>SUM(Q113:Q124)</f>
        <v>0</v>
      </c>
      <c r="R125" s="1687"/>
      <c r="S125" s="1686"/>
    </row>
    <row r="126" spans="2:19">
      <c r="D126" s="1256"/>
      <c r="E126" s="1256"/>
      <c r="F126" s="1256"/>
      <c r="G126" s="1256"/>
      <c r="H126" s="1257"/>
      <c r="I126" s="1257"/>
      <c r="K126" s="1258"/>
      <c r="L126" s="1257"/>
      <c r="M126" s="1257"/>
      <c r="N126" s="1266"/>
      <c r="O126" s="1258"/>
      <c r="P126" s="1258"/>
      <c r="Q126" s="1258"/>
      <c r="R126" s="1257"/>
      <c r="S126" s="1257"/>
    </row>
    <row r="127" spans="2:19">
      <c r="B127" s="1246">
        <f>B125+1</f>
        <v>84</v>
      </c>
      <c r="D127" s="985" t="s">
        <v>926</v>
      </c>
      <c r="I127" s="1257"/>
      <c r="J127" s="1726" t="s">
        <v>1915</v>
      </c>
      <c r="L127" s="1685">
        <f>'1C - ADIT BOY'!E14</f>
        <v>-7296113.0384755004</v>
      </c>
      <c r="M127" s="1259"/>
      <c r="N127" s="1685"/>
      <c r="R127" s="1685">
        <v>0</v>
      </c>
    </row>
    <row r="128" spans="2:19">
      <c r="B128" s="1246">
        <f>B127+1</f>
        <v>85</v>
      </c>
      <c r="D128" s="985" t="s">
        <v>1894</v>
      </c>
      <c r="I128" s="1257"/>
      <c r="J128" s="1260" t="s">
        <v>647</v>
      </c>
      <c r="L128" s="1261">
        <v>0</v>
      </c>
      <c r="M128" s="1262"/>
      <c r="N128" s="1260"/>
      <c r="R128" s="1261">
        <v>0</v>
      </c>
    </row>
    <row r="129" spans="2:19">
      <c r="B129" s="1246">
        <f>B128+1</f>
        <v>86</v>
      </c>
      <c r="D129" s="985" t="s">
        <v>927</v>
      </c>
      <c r="I129" s="1257"/>
      <c r="J129" s="1253" t="str">
        <f>"(Col. "&amp;L108&amp;", Line "&amp;B127&amp;" + Line "&amp;B128&amp;")"</f>
        <v>(Col. (H), Line 84 + Line 85)</v>
      </c>
      <c r="L129" s="1684">
        <f>L127+L128</f>
        <v>-7296113.0384755004</v>
      </c>
      <c r="M129" s="1257"/>
      <c r="N129" s="1253" t="str">
        <f>"(Col. "&amp;R108&amp;", Line "&amp;B127&amp;" + Line "&amp;B128&amp;")"</f>
        <v>(Col. (M), Line 84 + Line 85)</v>
      </c>
      <c r="R129" s="1684">
        <f>R127+R128</f>
        <v>0</v>
      </c>
    </row>
    <row r="130" spans="2:19">
      <c r="I130" s="1257"/>
      <c r="L130" s="1684"/>
      <c r="M130" s="1257"/>
      <c r="R130" s="1684"/>
    </row>
    <row r="131" spans="2:19">
      <c r="B131" s="1246">
        <f>B129+1</f>
        <v>87</v>
      </c>
      <c r="D131" s="985" t="s">
        <v>1010</v>
      </c>
      <c r="I131" s="1257"/>
      <c r="J131" s="1726" t="s">
        <v>1927</v>
      </c>
      <c r="L131" s="1685">
        <f>'1B - ADIT EOY'!E14</f>
        <v>-7155411.1509775445</v>
      </c>
      <c r="M131" s="1259"/>
      <c r="N131" s="1685"/>
      <c r="R131" s="1685">
        <v>0</v>
      </c>
    </row>
    <row r="132" spans="2:19">
      <c r="B132" s="1246">
        <f>B131+1</f>
        <v>88</v>
      </c>
      <c r="D132" s="985" t="s">
        <v>1895</v>
      </c>
      <c r="I132" s="1257"/>
      <c r="J132" s="1260" t="s">
        <v>647</v>
      </c>
      <c r="L132" s="1261">
        <v>0</v>
      </c>
      <c r="M132" s="1257"/>
      <c r="N132" s="1260"/>
      <c r="R132" s="1261">
        <v>0</v>
      </c>
    </row>
    <row r="133" spans="2:19">
      <c r="B133" s="1246">
        <f>B132+1</f>
        <v>89</v>
      </c>
      <c r="D133" s="985" t="s">
        <v>932</v>
      </c>
      <c r="I133" s="1257"/>
      <c r="J133" s="1253" t="str">
        <f>"(Col. "&amp;L108&amp;", Line "&amp;B131&amp;" + Line "&amp;B132&amp;")"</f>
        <v>(Col. (H), Line 87 + Line 88)</v>
      </c>
      <c r="L133" s="1684">
        <f>L131+L132</f>
        <v>-7155411.1509775445</v>
      </c>
      <c r="M133" s="1257"/>
      <c r="N133" s="1253" t="str">
        <f>"(Col. "&amp;R108&amp;", Line "&amp;B131&amp;" + Line "&amp;B132&amp;")"</f>
        <v>(Col. (M), Line 87 + Line 88)</v>
      </c>
      <c r="R133" s="1684">
        <f>R131+R132</f>
        <v>0</v>
      </c>
    </row>
    <row r="134" spans="2:19">
      <c r="I134" s="1257"/>
      <c r="L134" s="1684"/>
      <c r="M134" s="1257"/>
      <c r="R134" s="1684"/>
    </row>
    <row r="135" spans="2:19">
      <c r="B135" s="1246">
        <f>B133+1</f>
        <v>90</v>
      </c>
      <c r="D135" s="985" t="s">
        <v>1009</v>
      </c>
      <c r="I135" s="1257"/>
      <c r="J135" s="1253" t="str">
        <f>"([Col. "&amp;L108&amp;", Line "&amp;B129&amp;" + Line "&amp;B133&amp;"] /2)"</f>
        <v>([Col. (H), Line 86 + Line 89] /2)</v>
      </c>
      <c r="L135" s="1683">
        <f>(L129+L133)/2</f>
        <v>-7225762.0947265225</v>
      </c>
      <c r="M135" s="1257"/>
      <c r="N135" s="1253" t="str">
        <f>"([Col. "&amp;R108&amp;", Line "&amp;B129&amp;" + Line "&amp;B133&amp;"] /2)"</f>
        <v>([Col. (M), Line 86 + Line 89] /2)</v>
      </c>
      <c r="R135" s="1683">
        <f>(R129+R133)/2</f>
        <v>0</v>
      </c>
    </row>
    <row r="136" spans="2:19">
      <c r="B136" s="1246">
        <f>B135+1</f>
        <v>91</v>
      </c>
      <c r="D136" s="1256" t="s">
        <v>1008</v>
      </c>
      <c r="E136" s="1256"/>
      <c r="F136" s="1256"/>
      <c r="G136" s="1256"/>
      <c r="H136" s="1257"/>
      <c r="I136" s="1257"/>
      <c r="J136" s="1253" t="str">
        <f>"(Col. "&amp;L108&amp;", Line "&amp;B124&amp;" )"</f>
        <v>(Col. (H), Line 82 )</v>
      </c>
      <c r="K136" s="1258"/>
      <c r="L136" s="1683">
        <f>L124</f>
        <v>0</v>
      </c>
      <c r="M136" s="1257"/>
      <c r="N136" s="1253" t="str">
        <f>"(Col. "&amp;R108&amp;", Line "&amp;B124&amp;" )"</f>
        <v>(Col. (M), Line 82 )</v>
      </c>
      <c r="R136" s="1683">
        <f>R124</f>
        <v>0</v>
      </c>
    </row>
    <row r="137" spans="2:19" ht="13.5" thickBot="1">
      <c r="B137" s="1246">
        <f>B136+1</f>
        <v>92</v>
      </c>
      <c r="D137" s="1263" t="s">
        <v>1864</v>
      </c>
      <c r="E137" s="1256"/>
      <c r="F137" s="1256"/>
      <c r="G137" s="1256"/>
      <c r="H137" s="1257"/>
      <c r="I137" s="1257"/>
      <c r="J137" s="1253" t="str">
        <f>"(Col. "&amp;L108&amp;", Line "&amp;B135&amp;" + Line "&amp;B136&amp;")"</f>
        <v>(Col. (H), Line 90 + Line 91)</v>
      </c>
      <c r="K137" s="1258"/>
      <c r="L137" s="1682">
        <f>L135+L136</f>
        <v>-7225762.0947265225</v>
      </c>
      <c r="M137" s="1257"/>
      <c r="N137" s="1253" t="str">
        <f>"(Col. "&amp;R108&amp;", Line "&amp;B135&amp;" + Line "&amp;B136&amp;")"</f>
        <v>(Col. (M), Line 90 + Line 91)</v>
      </c>
      <c r="R137" s="1682">
        <f>R135+R136</f>
        <v>0</v>
      </c>
    </row>
    <row r="138" spans="2:19">
      <c r="D138" s="1256"/>
      <c r="E138" s="1256"/>
      <c r="F138" s="1256"/>
      <c r="G138" s="1256"/>
      <c r="H138" s="1257"/>
      <c r="I138" s="1257"/>
      <c r="K138" s="1258"/>
      <c r="L138" s="1257"/>
      <c r="M138" s="1257"/>
      <c r="O138" s="1258"/>
      <c r="P138" s="1258"/>
      <c r="Q138" s="1258"/>
      <c r="R138" s="1257"/>
      <c r="S138" s="1257"/>
    </row>
    <row r="139" spans="2:19" ht="13">
      <c r="D139" s="1243" t="s">
        <v>1323</v>
      </c>
      <c r="J139" s="1831"/>
      <c r="K139" s="1831"/>
      <c r="L139" s="1831"/>
      <c r="N139" s="1831"/>
      <c r="O139" s="1831"/>
      <c r="P139" s="1831"/>
      <c r="Q139" s="1831"/>
      <c r="R139" s="1831"/>
    </row>
    <row r="140" spans="2:19" ht="13">
      <c r="D140" s="1832" t="s">
        <v>921</v>
      </c>
      <c r="E140" s="1833"/>
      <c r="F140" s="1833"/>
      <c r="G140" s="1833"/>
      <c r="H140" s="1834"/>
      <c r="I140" s="1247"/>
      <c r="J140" s="1826" t="s">
        <v>1324</v>
      </c>
      <c r="K140" s="1827"/>
      <c r="L140" s="1828"/>
      <c r="M140" s="1247"/>
      <c r="N140" s="1826" t="s">
        <v>1325</v>
      </c>
      <c r="O140" s="1827"/>
      <c r="P140" s="1827"/>
      <c r="Q140" s="1827"/>
      <c r="R140" s="1828"/>
      <c r="S140" s="1247"/>
    </row>
    <row r="141" spans="2:19" ht="13">
      <c r="D141" s="1248" t="s">
        <v>175</v>
      </c>
      <c r="E141" s="1248" t="s">
        <v>176</v>
      </c>
      <c r="F141" s="1248" t="s">
        <v>1303</v>
      </c>
      <c r="G141" s="1248" t="s">
        <v>1304</v>
      </c>
      <c r="H141" s="1248" t="s">
        <v>1305</v>
      </c>
      <c r="I141" s="1247"/>
      <c r="J141" s="1248" t="s">
        <v>1306</v>
      </c>
      <c r="K141" s="1248" t="s">
        <v>1307</v>
      </c>
      <c r="L141" s="1248" t="s">
        <v>1308</v>
      </c>
      <c r="M141" s="1247"/>
      <c r="N141" s="1248" t="s">
        <v>1309</v>
      </c>
      <c r="O141" s="1248" t="s">
        <v>1310</v>
      </c>
      <c r="P141" s="1248" t="s">
        <v>1311</v>
      </c>
      <c r="Q141" s="1248" t="s">
        <v>1312</v>
      </c>
      <c r="R141" s="1248" t="s">
        <v>1313</v>
      </c>
      <c r="S141" s="1247"/>
    </row>
    <row r="142" spans="2:19" ht="50">
      <c r="B142" s="1249" t="s">
        <v>1314</v>
      </c>
      <c r="D142" s="1250" t="s">
        <v>170</v>
      </c>
      <c r="E142" s="1250" t="s">
        <v>922</v>
      </c>
      <c r="F142" s="1250" t="s">
        <v>923</v>
      </c>
      <c r="G142" s="1250" t="s">
        <v>924</v>
      </c>
      <c r="H142" s="1250" t="s">
        <v>1315</v>
      </c>
      <c r="I142" s="1678"/>
      <c r="J142" s="1250" t="s">
        <v>925</v>
      </c>
      <c r="K142" s="1250" t="s">
        <v>1316</v>
      </c>
      <c r="L142" s="1250" t="s">
        <v>1317</v>
      </c>
      <c r="M142" s="1678"/>
      <c r="N142" s="1250" t="s">
        <v>1012</v>
      </c>
      <c r="O142" s="1250" t="s">
        <v>1318</v>
      </c>
      <c r="P142" s="1250" t="s">
        <v>1319</v>
      </c>
      <c r="Q142" s="1250" t="s">
        <v>1320</v>
      </c>
      <c r="R142" s="1250" t="s">
        <v>1321</v>
      </c>
      <c r="S142" s="1678"/>
    </row>
    <row r="143" spans="2:19">
      <c r="E143" s="1678"/>
      <c r="F143" s="1678"/>
      <c r="G143" s="1678"/>
      <c r="H143" s="1678"/>
      <c r="I143" s="1678"/>
      <c r="J143" s="1678"/>
      <c r="K143" s="1678"/>
      <c r="L143" s="1678"/>
      <c r="M143" s="1678"/>
      <c r="N143" s="1678"/>
      <c r="O143" s="1678"/>
      <c r="P143" s="1678"/>
      <c r="Q143" s="1678"/>
      <c r="R143" s="1678"/>
      <c r="S143" s="1678"/>
    </row>
    <row r="144" spans="2:19">
      <c r="B144" s="1246">
        <f>B137+1</f>
        <v>93</v>
      </c>
      <c r="D144" s="985" t="s">
        <v>1326</v>
      </c>
      <c r="E144" s="1678"/>
      <c r="F144" s="1678"/>
      <c r="G144" s="1678"/>
      <c r="H144" s="1678"/>
      <c r="I144" s="1678"/>
      <c r="J144" s="1726" t="s">
        <v>1915</v>
      </c>
      <c r="K144" s="1678"/>
      <c r="L144" s="1685">
        <v>0</v>
      </c>
      <c r="M144" s="1678"/>
      <c r="N144" s="1685"/>
      <c r="O144" s="1678"/>
      <c r="P144" s="1678"/>
      <c r="Q144" s="1678"/>
      <c r="R144" s="1685">
        <v>0</v>
      </c>
      <c r="S144" s="1678"/>
    </row>
    <row r="145" spans="2:19">
      <c r="E145" s="1678"/>
      <c r="F145" s="1678"/>
      <c r="G145" s="1678"/>
      <c r="H145" s="1678"/>
      <c r="I145" s="1678"/>
      <c r="J145" s="1678"/>
      <c r="K145" s="1678"/>
      <c r="L145" s="1678"/>
      <c r="M145" s="1678"/>
      <c r="N145" s="1678"/>
      <c r="O145" s="1678"/>
      <c r="P145" s="1678"/>
      <c r="Q145" s="1678"/>
      <c r="R145" s="1678"/>
      <c r="S145" s="1678"/>
    </row>
    <row r="146" spans="2:19">
      <c r="B146" s="1246">
        <f>B144+1</f>
        <v>94</v>
      </c>
      <c r="D146" s="1251" t="s">
        <v>528</v>
      </c>
      <c r="E146" s="1726">
        <v>31</v>
      </c>
      <c r="F146" s="1727">
        <v>0</v>
      </c>
      <c r="G146" s="1727">
        <v>214</v>
      </c>
      <c r="H146" s="1690">
        <f t="shared" ref="H146:H157" si="40">IF(F146=0,0.5,F146/G146)</f>
        <v>0.5</v>
      </c>
      <c r="I146" s="1689"/>
      <c r="J146" s="1685">
        <v>0</v>
      </c>
      <c r="K146" s="1683">
        <f t="shared" ref="K146:K157" si="41">+J146*H146</f>
        <v>0</v>
      </c>
      <c r="L146" s="1683">
        <f>+K146</f>
        <v>0</v>
      </c>
      <c r="M146" s="1689"/>
      <c r="N146" s="1685">
        <v>0</v>
      </c>
      <c r="O146" s="1683">
        <f t="shared" ref="O146:O157" si="42">IF($D$177="True-Up Adjustment",N146-J146,0)</f>
        <v>0</v>
      </c>
      <c r="P146" s="1683">
        <f t="shared" ref="P146:P157" si="43">IF($D$177="True-Up Adjustment",IF(AND(J146&gt;=0,N146&gt;=0),IF(O146&gt;=0,K146+O146,N146/J146*K146),IF(AND(J146&lt;0,N146&lt;0),IF(O146&lt;0,K146+O146,N146/J146*K146),0)),0)</f>
        <v>0</v>
      </c>
      <c r="Q146" s="1683">
        <f t="shared" ref="Q146:Q157" si="44">IF(AND(J146&gt;=0,N146&lt;0),N146,IF(AND(J146&lt;0,N146&gt;=0),N146,0))</f>
        <v>0</v>
      </c>
      <c r="R146" s="1683">
        <f>+P146+Q146</f>
        <v>0</v>
      </c>
      <c r="S146" s="1689"/>
    </row>
    <row r="147" spans="2:19">
      <c r="B147" s="1246">
        <f t="shared" ref="B147:B158" si="45">+B146+1</f>
        <v>95</v>
      </c>
      <c r="D147" s="1251" t="s">
        <v>529</v>
      </c>
      <c r="E147" s="1726">
        <v>28</v>
      </c>
      <c r="F147" s="1727">
        <v>0</v>
      </c>
      <c r="G147" s="1727">
        <f t="shared" ref="G147:G157" si="46">G146</f>
        <v>214</v>
      </c>
      <c r="H147" s="1690">
        <f t="shared" si="40"/>
        <v>0.5</v>
      </c>
      <c r="I147" s="1689"/>
      <c r="J147" s="1685">
        <v>0</v>
      </c>
      <c r="K147" s="1683">
        <f t="shared" si="41"/>
        <v>0</v>
      </c>
      <c r="L147" s="1683">
        <f t="shared" ref="L147:L157" si="47">+K147+L146</f>
        <v>0</v>
      </c>
      <c r="M147" s="1689"/>
      <c r="N147" s="1685">
        <v>0</v>
      </c>
      <c r="O147" s="1683">
        <f t="shared" si="42"/>
        <v>0</v>
      </c>
      <c r="P147" s="1683">
        <f t="shared" si="43"/>
        <v>0</v>
      </c>
      <c r="Q147" s="1683">
        <f t="shared" si="44"/>
        <v>0</v>
      </c>
      <c r="R147" s="1683">
        <f t="shared" ref="R147:R157" si="48">R146+P147+Q147</f>
        <v>0</v>
      </c>
      <c r="S147" s="1689"/>
    </row>
    <row r="148" spans="2:19">
      <c r="B148" s="1246">
        <f t="shared" si="45"/>
        <v>96</v>
      </c>
      <c r="D148" s="1251" t="s">
        <v>553</v>
      </c>
      <c r="E148" s="1726">
        <v>31</v>
      </c>
      <c r="F148" s="1727">
        <v>0</v>
      </c>
      <c r="G148" s="1727">
        <f t="shared" si="46"/>
        <v>214</v>
      </c>
      <c r="H148" s="1690">
        <f t="shared" si="40"/>
        <v>0.5</v>
      </c>
      <c r="I148" s="1689"/>
      <c r="J148" s="1685">
        <v>0</v>
      </c>
      <c r="K148" s="1683">
        <f t="shared" si="41"/>
        <v>0</v>
      </c>
      <c r="L148" s="1683">
        <f t="shared" si="47"/>
        <v>0</v>
      </c>
      <c r="M148" s="1689"/>
      <c r="N148" s="1685">
        <v>0</v>
      </c>
      <c r="O148" s="1683">
        <f t="shared" si="42"/>
        <v>0</v>
      </c>
      <c r="P148" s="1683">
        <f t="shared" si="43"/>
        <v>0</v>
      </c>
      <c r="Q148" s="1683">
        <f t="shared" si="44"/>
        <v>0</v>
      </c>
      <c r="R148" s="1683">
        <f t="shared" si="48"/>
        <v>0</v>
      </c>
      <c r="S148" s="1689"/>
    </row>
    <row r="149" spans="2:19">
      <c r="B149" s="1246">
        <f t="shared" si="45"/>
        <v>97</v>
      </c>
      <c r="D149" s="1251" t="s">
        <v>172</v>
      </c>
      <c r="E149" s="1726">
        <v>30</v>
      </c>
      <c r="F149" s="1727">
        <v>0</v>
      </c>
      <c r="G149" s="1727">
        <f t="shared" si="46"/>
        <v>214</v>
      </c>
      <c r="H149" s="1690">
        <f t="shared" si="40"/>
        <v>0.5</v>
      </c>
      <c r="I149" s="1689"/>
      <c r="J149" s="1685">
        <v>0</v>
      </c>
      <c r="K149" s="1683">
        <f t="shared" si="41"/>
        <v>0</v>
      </c>
      <c r="L149" s="1683">
        <f t="shared" si="47"/>
        <v>0</v>
      </c>
      <c r="M149" s="1689"/>
      <c r="N149" s="1685">
        <v>0</v>
      </c>
      <c r="O149" s="1683">
        <f t="shared" si="42"/>
        <v>0</v>
      </c>
      <c r="P149" s="1683">
        <f t="shared" si="43"/>
        <v>0</v>
      </c>
      <c r="Q149" s="1683">
        <f t="shared" si="44"/>
        <v>0</v>
      </c>
      <c r="R149" s="1683">
        <f t="shared" si="48"/>
        <v>0</v>
      </c>
      <c r="S149" s="1689"/>
    </row>
    <row r="150" spans="2:19">
      <c r="B150" s="1246">
        <f t="shared" si="45"/>
        <v>98</v>
      </c>
      <c r="D150" s="1251" t="s">
        <v>173</v>
      </c>
      <c r="E150" s="1726">
        <v>31</v>
      </c>
      <c r="F150" s="1727">
        <v>0</v>
      </c>
      <c r="G150" s="1727">
        <f t="shared" si="46"/>
        <v>214</v>
      </c>
      <c r="H150" s="1690">
        <f t="shared" si="40"/>
        <v>0.5</v>
      </c>
      <c r="I150" s="1689"/>
      <c r="J150" s="1685">
        <v>0</v>
      </c>
      <c r="K150" s="1683">
        <f t="shared" si="41"/>
        <v>0</v>
      </c>
      <c r="L150" s="1683">
        <f t="shared" si="47"/>
        <v>0</v>
      </c>
      <c r="M150" s="1689"/>
      <c r="N150" s="1685">
        <v>0</v>
      </c>
      <c r="O150" s="1683">
        <f t="shared" si="42"/>
        <v>0</v>
      </c>
      <c r="P150" s="1683">
        <f t="shared" si="43"/>
        <v>0</v>
      </c>
      <c r="Q150" s="1683">
        <f t="shared" si="44"/>
        <v>0</v>
      </c>
      <c r="R150" s="1683">
        <f t="shared" si="48"/>
        <v>0</v>
      </c>
      <c r="S150" s="1689"/>
    </row>
    <row r="151" spans="2:19">
      <c r="B151" s="1246">
        <f t="shared" si="45"/>
        <v>99</v>
      </c>
      <c r="D151" s="1251" t="s">
        <v>174</v>
      </c>
      <c r="E151" s="1726">
        <v>30</v>
      </c>
      <c r="F151" s="1727">
        <f t="shared" ref="F151:F156" si="49">E152+F152</f>
        <v>185</v>
      </c>
      <c r="G151" s="1727">
        <f t="shared" si="46"/>
        <v>214</v>
      </c>
      <c r="H151" s="1690">
        <f t="shared" si="40"/>
        <v>0.86448598130841126</v>
      </c>
      <c r="I151" s="1689"/>
      <c r="J151" s="1685">
        <v>0</v>
      </c>
      <c r="K151" s="1683">
        <f t="shared" si="41"/>
        <v>0</v>
      </c>
      <c r="L151" s="1683">
        <f t="shared" si="47"/>
        <v>0</v>
      </c>
      <c r="M151" s="1689"/>
      <c r="N151" s="1685">
        <v>0</v>
      </c>
      <c r="O151" s="1683">
        <f t="shared" si="42"/>
        <v>0</v>
      </c>
      <c r="P151" s="1683">
        <f t="shared" si="43"/>
        <v>0</v>
      </c>
      <c r="Q151" s="1683">
        <f t="shared" si="44"/>
        <v>0</v>
      </c>
      <c r="R151" s="1683">
        <f t="shared" si="48"/>
        <v>0</v>
      </c>
      <c r="S151" s="1689"/>
    </row>
    <row r="152" spans="2:19">
      <c r="B152" s="1246">
        <f t="shared" si="45"/>
        <v>100</v>
      </c>
      <c r="D152" s="1251" t="s">
        <v>531</v>
      </c>
      <c r="E152" s="1726">
        <v>31</v>
      </c>
      <c r="F152" s="1727">
        <f t="shared" si="49"/>
        <v>154</v>
      </c>
      <c r="G152" s="1727">
        <f t="shared" si="46"/>
        <v>214</v>
      </c>
      <c r="H152" s="1690">
        <f t="shared" si="40"/>
        <v>0.71962616822429903</v>
      </c>
      <c r="I152" s="1689"/>
      <c r="J152" s="1685">
        <v>0</v>
      </c>
      <c r="K152" s="1683">
        <f t="shared" si="41"/>
        <v>0</v>
      </c>
      <c r="L152" s="1683">
        <f t="shared" si="47"/>
        <v>0</v>
      </c>
      <c r="M152" s="1689"/>
      <c r="N152" s="1685">
        <v>0</v>
      </c>
      <c r="O152" s="1683">
        <f t="shared" si="42"/>
        <v>0</v>
      </c>
      <c r="P152" s="1683">
        <f t="shared" si="43"/>
        <v>0</v>
      </c>
      <c r="Q152" s="1683">
        <f t="shared" si="44"/>
        <v>0</v>
      </c>
      <c r="R152" s="1683">
        <f t="shared" si="48"/>
        <v>0</v>
      </c>
      <c r="S152" s="1689"/>
    </row>
    <row r="153" spans="2:19">
      <c r="B153" s="1246">
        <f t="shared" si="45"/>
        <v>101</v>
      </c>
      <c r="D153" s="1251" t="s">
        <v>554</v>
      </c>
      <c r="E153" s="1726">
        <v>31</v>
      </c>
      <c r="F153" s="1727">
        <f t="shared" si="49"/>
        <v>123</v>
      </c>
      <c r="G153" s="1727">
        <f t="shared" si="46"/>
        <v>214</v>
      </c>
      <c r="H153" s="1690">
        <f t="shared" si="40"/>
        <v>0.57476635514018692</v>
      </c>
      <c r="I153" s="1689"/>
      <c r="J153" s="1685">
        <v>0</v>
      </c>
      <c r="K153" s="1683">
        <f t="shared" si="41"/>
        <v>0</v>
      </c>
      <c r="L153" s="1683">
        <f t="shared" si="47"/>
        <v>0</v>
      </c>
      <c r="M153" s="1689"/>
      <c r="N153" s="1685">
        <v>0</v>
      </c>
      <c r="O153" s="1683">
        <f t="shared" si="42"/>
        <v>0</v>
      </c>
      <c r="P153" s="1683">
        <f t="shared" si="43"/>
        <v>0</v>
      </c>
      <c r="Q153" s="1683">
        <f t="shared" si="44"/>
        <v>0</v>
      </c>
      <c r="R153" s="1683">
        <f t="shared" si="48"/>
        <v>0</v>
      </c>
      <c r="S153" s="1689"/>
    </row>
    <row r="154" spans="2:19">
      <c r="B154" s="1246">
        <f t="shared" si="45"/>
        <v>102</v>
      </c>
      <c r="D154" s="1251" t="s">
        <v>533</v>
      </c>
      <c r="E154" s="1726">
        <v>30</v>
      </c>
      <c r="F154" s="1727">
        <f t="shared" si="49"/>
        <v>93</v>
      </c>
      <c r="G154" s="1727">
        <f t="shared" si="46"/>
        <v>214</v>
      </c>
      <c r="H154" s="1690">
        <f t="shared" si="40"/>
        <v>0.43457943925233644</v>
      </c>
      <c r="I154" s="1689"/>
      <c r="J154" s="1685">
        <v>0</v>
      </c>
      <c r="K154" s="1683">
        <f t="shared" si="41"/>
        <v>0</v>
      </c>
      <c r="L154" s="1683">
        <f t="shared" si="47"/>
        <v>0</v>
      </c>
      <c r="M154" s="1689"/>
      <c r="N154" s="1685">
        <v>0</v>
      </c>
      <c r="O154" s="1683">
        <f t="shared" si="42"/>
        <v>0</v>
      </c>
      <c r="P154" s="1683">
        <f t="shared" si="43"/>
        <v>0</v>
      </c>
      <c r="Q154" s="1683">
        <f t="shared" si="44"/>
        <v>0</v>
      </c>
      <c r="R154" s="1683">
        <f t="shared" si="48"/>
        <v>0</v>
      </c>
      <c r="S154" s="1689"/>
    </row>
    <row r="155" spans="2:19">
      <c r="B155" s="1246">
        <f t="shared" si="45"/>
        <v>103</v>
      </c>
      <c r="D155" s="1251" t="s">
        <v>534</v>
      </c>
      <c r="E155" s="1726">
        <v>31</v>
      </c>
      <c r="F155" s="1727">
        <f t="shared" si="49"/>
        <v>62</v>
      </c>
      <c r="G155" s="1727">
        <f t="shared" si="46"/>
        <v>214</v>
      </c>
      <c r="H155" s="1690">
        <f t="shared" si="40"/>
        <v>0.28971962616822428</v>
      </c>
      <c r="I155" s="1689"/>
      <c r="J155" s="1685">
        <v>0</v>
      </c>
      <c r="K155" s="1683">
        <f t="shared" si="41"/>
        <v>0</v>
      </c>
      <c r="L155" s="1683">
        <f t="shared" si="47"/>
        <v>0</v>
      </c>
      <c r="M155" s="1689"/>
      <c r="N155" s="1685">
        <v>0</v>
      </c>
      <c r="O155" s="1683">
        <f t="shared" si="42"/>
        <v>0</v>
      </c>
      <c r="P155" s="1683">
        <f t="shared" si="43"/>
        <v>0</v>
      </c>
      <c r="Q155" s="1683">
        <f t="shared" si="44"/>
        <v>0</v>
      </c>
      <c r="R155" s="1683">
        <f t="shared" si="48"/>
        <v>0</v>
      </c>
      <c r="S155" s="1689"/>
    </row>
    <row r="156" spans="2:19">
      <c r="B156" s="1246">
        <f t="shared" si="45"/>
        <v>104</v>
      </c>
      <c r="D156" s="1251" t="s">
        <v>535</v>
      </c>
      <c r="E156" s="1726">
        <v>30</v>
      </c>
      <c r="F156" s="1727">
        <f t="shared" si="49"/>
        <v>32</v>
      </c>
      <c r="G156" s="1727">
        <f t="shared" si="46"/>
        <v>214</v>
      </c>
      <c r="H156" s="1690">
        <f t="shared" si="40"/>
        <v>0.14953271028037382</v>
      </c>
      <c r="I156" s="1689"/>
      <c r="J156" s="1685">
        <v>0</v>
      </c>
      <c r="K156" s="1683">
        <f t="shared" si="41"/>
        <v>0</v>
      </c>
      <c r="L156" s="1683">
        <f t="shared" si="47"/>
        <v>0</v>
      </c>
      <c r="M156" s="1689"/>
      <c r="N156" s="1685">
        <v>0</v>
      </c>
      <c r="O156" s="1683">
        <f t="shared" si="42"/>
        <v>0</v>
      </c>
      <c r="P156" s="1683">
        <f t="shared" si="43"/>
        <v>0</v>
      </c>
      <c r="Q156" s="1683">
        <f t="shared" si="44"/>
        <v>0</v>
      </c>
      <c r="R156" s="1683">
        <f t="shared" si="48"/>
        <v>0</v>
      </c>
      <c r="S156" s="1689"/>
    </row>
    <row r="157" spans="2:19">
      <c r="B157" s="1246">
        <f t="shared" si="45"/>
        <v>105</v>
      </c>
      <c r="D157" s="1252" t="s">
        <v>757</v>
      </c>
      <c r="E157" s="1726">
        <v>31</v>
      </c>
      <c r="F157" s="1728">
        <v>1</v>
      </c>
      <c r="G157" s="1727">
        <f t="shared" si="46"/>
        <v>214</v>
      </c>
      <c r="H157" s="1690">
        <f t="shared" si="40"/>
        <v>4.6728971962616819E-3</v>
      </c>
      <c r="I157" s="1689"/>
      <c r="J157" s="1685">
        <v>0</v>
      </c>
      <c r="K157" s="1683">
        <f t="shared" si="41"/>
        <v>0</v>
      </c>
      <c r="L157" s="1683">
        <f t="shared" si="47"/>
        <v>0</v>
      </c>
      <c r="M157" s="1689"/>
      <c r="N157" s="1685">
        <v>0</v>
      </c>
      <c r="O157" s="1683">
        <f t="shared" si="42"/>
        <v>0</v>
      </c>
      <c r="P157" s="1683">
        <f t="shared" si="43"/>
        <v>0</v>
      </c>
      <c r="Q157" s="1683">
        <f t="shared" si="44"/>
        <v>0</v>
      </c>
      <c r="R157" s="1683">
        <f t="shared" si="48"/>
        <v>0</v>
      </c>
      <c r="S157" s="1689"/>
    </row>
    <row r="158" spans="2:19">
      <c r="B158" s="1246">
        <f t="shared" si="45"/>
        <v>106</v>
      </c>
      <c r="D158" s="1253" t="str">
        <f>"Total (Sum of Lines "&amp;B146&amp;" - "&amp;B157&amp;")"</f>
        <v>Total (Sum of Lines 94 - 105)</v>
      </c>
      <c r="E158" s="1688">
        <f>SUM(E146:E157)</f>
        <v>365</v>
      </c>
      <c r="F158" s="1254"/>
      <c r="G158" s="1254"/>
      <c r="H158" s="1255"/>
      <c r="I158" s="1686"/>
      <c r="J158" s="1688">
        <f>SUM(J146:J157)</f>
        <v>0</v>
      </c>
      <c r="K158" s="1688">
        <f>SUM(K146:K157)</f>
        <v>0</v>
      </c>
      <c r="L158" s="1687"/>
      <c r="M158" s="1686"/>
      <c r="N158" s="1688">
        <f>SUM(N146:N157)</f>
        <v>0</v>
      </c>
      <c r="O158" s="1688">
        <f>SUM(O146:O157)</f>
        <v>0</v>
      </c>
      <c r="P158" s="1688">
        <f>SUM(P146:P157)</f>
        <v>0</v>
      </c>
      <c r="Q158" s="1688">
        <f>SUM(Q146:Q157)</f>
        <v>0</v>
      </c>
      <c r="R158" s="1687"/>
      <c r="S158" s="1686"/>
    </row>
    <row r="159" spans="2:19">
      <c r="D159" s="1256"/>
      <c r="E159" s="1256"/>
      <c r="F159" s="1256"/>
      <c r="G159" s="1256"/>
      <c r="H159" s="1257"/>
      <c r="I159" s="1257"/>
      <c r="K159" s="1258"/>
      <c r="L159" s="1257"/>
      <c r="M159" s="1257"/>
      <c r="N159" s="1266"/>
      <c r="O159" s="1258"/>
      <c r="P159" s="1258"/>
      <c r="Q159" s="1258"/>
      <c r="R159" s="1257"/>
      <c r="S159" s="1257"/>
    </row>
    <row r="160" spans="2:19">
      <c r="B160" s="1246">
        <f>B158+1</f>
        <v>107</v>
      </c>
      <c r="D160" s="985" t="s">
        <v>1327</v>
      </c>
      <c r="I160" s="1257"/>
      <c r="J160" s="1726" t="s">
        <v>1915</v>
      </c>
      <c r="L160" s="1685">
        <f>'1C - ADIT BOY'!E15</f>
        <v>-587418.07132533717</v>
      </c>
      <c r="M160" s="1259"/>
      <c r="N160" s="1685"/>
      <c r="R160" s="1685">
        <v>0</v>
      </c>
    </row>
    <row r="161" spans="1:19">
      <c r="B161" s="1246">
        <f>B160+1</f>
        <v>108</v>
      </c>
      <c r="D161" s="985" t="s">
        <v>1328</v>
      </c>
      <c r="I161" s="1257"/>
      <c r="J161" s="1260" t="s">
        <v>647</v>
      </c>
      <c r="L161" s="1261">
        <v>0</v>
      </c>
      <c r="M161" s="1262"/>
      <c r="N161" s="1260"/>
      <c r="R161" s="1261">
        <v>0</v>
      </c>
    </row>
    <row r="162" spans="1:19">
      <c r="B162" s="1246">
        <f>B161+1</f>
        <v>109</v>
      </c>
      <c r="D162" s="985" t="s">
        <v>1329</v>
      </c>
      <c r="I162" s="1257"/>
      <c r="J162" s="1253" t="str">
        <f>"(Col. "&amp;L141&amp;", Line "&amp;B160&amp;" + Line "&amp;B161&amp;")"</f>
        <v>(Col. (H), Line 107 + Line 108)</v>
      </c>
      <c r="L162" s="1684">
        <f>L160+L161</f>
        <v>-587418.07132533717</v>
      </c>
      <c r="M162" s="1257"/>
      <c r="N162" s="1253" t="str">
        <f>"(Col. "&amp;R141&amp;", Line "&amp;B160&amp;" + Line "&amp;B161&amp;")"</f>
        <v>(Col. (M), Line 107 + Line 108)</v>
      </c>
      <c r="R162" s="1684">
        <f>R160+R161</f>
        <v>0</v>
      </c>
    </row>
    <row r="163" spans="1:19">
      <c r="I163" s="1257"/>
      <c r="L163" s="1684"/>
      <c r="M163" s="1257"/>
      <c r="R163" s="1684"/>
    </row>
    <row r="164" spans="1:19">
      <c r="B164" s="1246">
        <f>B162+1</f>
        <v>110</v>
      </c>
      <c r="D164" s="985" t="s">
        <v>1330</v>
      </c>
      <c r="I164" s="1257"/>
      <c r="J164" s="1726" t="s">
        <v>1927</v>
      </c>
      <c r="L164" s="1685">
        <f>'1B - ADIT EOY'!E15</f>
        <v>-480978.24483814614</v>
      </c>
      <c r="M164" s="1259"/>
      <c r="N164" s="1685"/>
      <c r="R164" s="1685">
        <v>0</v>
      </c>
    </row>
    <row r="165" spans="1:19">
      <c r="B165" s="1246">
        <f>B164+1</f>
        <v>111</v>
      </c>
      <c r="D165" s="985" t="s">
        <v>1331</v>
      </c>
      <c r="I165" s="1257"/>
      <c r="J165" s="1260" t="s">
        <v>647</v>
      </c>
      <c r="L165" s="1261">
        <v>0</v>
      </c>
      <c r="M165" s="1257"/>
      <c r="N165" s="1260"/>
      <c r="R165" s="1261">
        <v>0</v>
      </c>
    </row>
    <row r="166" spans="1:19">
      <c r="B166" s="1246">
        <f>B165+1</f>
        <v>112</v>
      </c>
      <c r="D166" s="985" t="s">
        <v>1332</v>
      </c>
      <c r="I166" s="1257"/>
      <c r="J166" s="1253" t="str">
        <f>"(Col. "&amp;L141&amp;", Line "&amp;B164&amp;" + Line "&amp;B165&amp;")"</f>
        <v>(Col. (H), Line 110 + Line 111)</v>
      </c>
      <c r="L166" s="1684">
        <f>L164+L165</f>
        <v>-480978.24483814614</v>
      </c>
      <c r="M166" s="1257"/>
      <c r="N166" s="1253" t="str">
        <f>"(Col. "&amp;R141&amp;", Line "&amp;B164&amp;" + Line "&amp;B165&amp;")"</f>
        <v>(Col. (M), Line 110 + Line 111)</v>
      </c>
      <c r="R166" s="1684">
        <f>R164+R165</f>
        <v>0</v>
      </c>
    </row>
    <row r="167" spans="1:19">
      <c r="I167" s="1257"/>
      <c r="L167" s="1684"/>
      <c r="M167" s="1257"/>
      <c r="R167" s="1684"/>
    </row>
    <row r="168" spans="1:19">
      <c r="B168" s="1246">
        <f>B166+1</f>
        <v>113</v>
      </c>
      <c r="D168" s="985" t="s">
        <v>1009</v>
      </c>
      <c r="I168" s="1257"/>
      <c r="J168" s="1253" t="str">
        <f>"([Col. "&amp;L141&amp;", Line "&amp;B162&amp;" + Line "&amp;B166&amp;"] /2)"</f>
        <v>([Col. (H), Line 109 + Line 112] /2)</v>
      </c>
      <c r="L168" s="1683">
        <f>(L162+L166)/2</f>
        <v>-534198.15808174165</v>
      </c>
      <c r="M168" s="1257"/>
      <c r="N168" s="1253" t="str">
        <f>"([Col. "&amp;R141&amp;", Line "&amp;B162&amp;" + Line "&amp;B166&amp;"] /2)"</f>
        <v>([Col. (M), Line 109 + Line 112] /2)</v>
      </c>
      <c r="R168" s="1683">
        <f>(R162+R166)/2</f>
        <v>0</v>
      </c>
    </row>
    <row r="169" spans="1:19">
      <c r="B169" s="1246">
        <f>B168+1</f>
        <v>114</v>
      </c>
      <c r="D169" s="1256" t="s">
        <v>1333</v>
      </c>
      <c r="E169" s="1256"/>
      <c r="F169" s="1256"/>
      <c r="G169" s="1256"/>
      <c r="H169" s="1257"/>
      <c r="I169" s="1257"/>
      <c r="J169" s="1253" t="str">
        <f>"(Col. "&amp;L141&amp;", Line "&amp;B157&amp;" )"</f>
        <v>(Col. (H), Line 105 )</v>
      </c>
      <c r="K169" s="1258"/>
      <c r="L169" s="1683">
        <f>L157</f>
        <v>0</v>
      </c>
      <c r="M169" s="1257"/>
      <c r="N169" s="1253" t="str">
        <f>"(Col. "&amp;R141&amp;", Line "&amp;B157&amp;" )"</f>
        <v>(Col. (M), Line 105 )</v>
      </c>
      <c r="R169" s="1683">
        <f>R157</f>
        <v>0</v>
      </c>
    </row>
    <row r="170" spans="1:19" ht="13.5" thickBot="1">
      <c r="B170" s="1246">
        <f>B169+1</f>
        <v>115</v>
      </c>
      <c r="D170" s="1263" t="s">
        <v>1863</v>
      </c>
      <c r="E170" s="1256"/>
      <c r="F170" s="1256"/>
      <c r="G170" s="1256"/>
      <c r="H170" s="1257"/>
      <c r="I170" s="1257"/>
      <c r="J170" s="1253" t="str">
        <f>"(Col. "&amp;L141&amp;", Line "&amp;B168&amp;" + Line "&amp;B169&amp;")"</f>
        <v>(Col. (H), Line 113 + Line 114)</v>
      </c>
      <c r="K170" s="1258"/>
      <c r="L170" s="1682">
        <f>L168+L169</f>
        <v>-534198.15808174165</v>
      </c>
      <c r="M170" s="1257"/>
      <c r="N170" s="1253" t="str">
        <f>"(Col. "&amp;R141&amp;", Line "&amp;B168&amp;" + Line "&amp;B169&amp;")"</f>
        <v>(Col. (M), Line 113 + Line 114)</v>
      </c>
      <c r="R170" s="1682">
        <f>R168+R169</f>
        <v>0</v>
      </c>
    </row>
    <row r="171" spans="1:19">
      <c r="D171" s="1256"/>
      <c r="E171" s="1256"/>
      <c r="F171" s="1256"/>
      <c r="G171" s="1256"/>
      <c r="H171" s="1257"/>
      <c r="I171" s="1257"/>
      <c r="K171" s="1258"/>
      <c r="L171" s="1257"/>
      <c r="M171" s="1257"/>
      <c r="O171" s="1258"/>
      <c r="P171" s="1258"/>
      <c r="Q171" s="1258"/>
      <c r="R171" s="1257"/>
      <c r="S171" s="1257"/>
    </row>
    <row r="172" spans="1:19" ht="13">
      <c r="A172" s="1267"/>
      <c r="B172" s="1268" t="s">
        <v>1282</v>
      </c>
      <c r="C172" s="1267"/>
      <c r="D172" s="1267"/>
      <c r="E172" s="1267"/>
      <c r="F172" s="1267"/>
      <c r="G172" s="1267"/>
      <c r="H172" s="1267"/>
      <c r="I172" s="1267"/>
      <c r="J172" s="1267"/>
      <c r="K172" s="1267"/>
      <c r="L172" s="1267"/>
      <c r="M172" s="1267"/>
      <c r="N172" s="1267"/>
      <c r="O172" s="1267"/>
      <c r="P172" s="1267"/>
      <c r="Q172" s="1267"/>
      <c r="R172" s="1267"/>
      <c r="S172" s="1267"/>
    </row>
    <row r="174" spans="1:19" ht="12.75" customHeight="1">
      <c r="B174" s="1829" t="s">
        <v>1334</v>
      </c>
      <c r="C174" s="1829"/>
      <c r="D174" s="1829"/>
      <c r="E174" s="1829"/>
      <c r="F174" s="1829"/>
      <c r="G174" s="1829"/>
      <c r="H174" s="1829"/>
      <c r="I174" s="1829"/>
      <c r="J174" s="1829"/>
      <c r="K174" s="1829"/>
      <c r="L174" s="1829"/>
      <c r="M174" s="1257"/>
      <c r="O174" s="1258"/>
      <c r="P174" s="1258"/>
      <c r="Q174" s="1258"/>
      <c r="R174" s="1257"/>
      <c r="S174" s="1257"/>
    </row>
    <row r="175" spans="1:19">
      <c r="B175" s="1829"/>
      <c r="C175" s="1829"/>
      <c r="D175" s="1829"/>
      <c r="E175" s="1829"/>
      <c r="F175" s="1829"/>
      <c r="G175" s="1829"/>
      <c r="H175" s="1829"/>
      <c r="I175" s="1829"/>
      <c r="J175" s="1829"/>
      <c r="K175" s="1829"/>
      <c r="L175" s="1829"/>
      <c r="M175" s="1257"/>
      <c r="O175" s="1258"/>
      <c r="P175" s="1258"/>
      <c r="Q175" s="1258"/>
      <c r="R175" s="1257"/>
      <c r="S175" s="1257"/>
    </row>
    <row r="176" spans="1:19">
      <c r="D176" s="1256"/>
      <c r="E176" s="1256"/>
      <c r="F176" s="1256"/>
      <c r="G176" s="1256"/>
      <c r="H176" s="1257"/>
      <c r="I176" s="1257"/>
      <c r="K176" s="1258"/>
      <c r="L176" s="1257"/>
      <c r="M176" s="1257"/>
      <c r="O176" s="1258"/>
      <c r="P176" s="1258"/>
      <c r="Q176" s="1258"/>
      <c r="R176" s="1257"/>
      <c r="S176" s="1257"/>
    </row>
    <row r="177" spans="1:19" ht="13">
      <c r="B177" s="1244" t="s">
        <v>1335</v>
      </c>
      <c r="D177" s="1269" t="s">
        <v>1215</v>
      </c>
      <c r="E177" s="1270" t="str">
        <f>IF(D177="Projected Activity","Check",IF(D177="True-Up Adjustment","Check","Error"))</f>
        <v>Check</v>
      </c>
      <c r="F177" s="1257"/>
      <c r="G177" s="1257"/>
      <c r="H177" s="1257"/>
      <c r="I177" s="1257"/>
      <c r="K177" s="1258"/>
      <c r="L177" s="1257"/>
      <c r="M177" s="1257"/>
      <c r="O177" s="1258"/>
      <c r="P177" s="1258"/>
      <c r="Q177" s="1258"/>
      <c r="R177" s="1257"/>
      <c r="S177" s="1257"/>
    </row>
    <row r="178" spans="1:19">
      <c r="D178" s="1256"/>
      <c r="E178" s="1256"/>
      <c r="F178" s="1256"/>
      <c r="G178" s="1256"/>
      <c r="H178" s="1257"/>
      <c r="I178" s="1257"/>
      <c r="K178" s="1258"/>
      <c r="L178" s="1257"/>
      <c r="M178" s="1257"/>
      <c r="O178" s="1258"/>
      <c r="P178" s="1258"/>
      <c r="Q178" s="1258"/>
      <c r="R178" s="1257"/>
      <c r="S178" s="1257"/>
    </row>
    <row r="179" spans="1:19">
      <c r="B179" s="1830" t="s">
        <v>1336</v>
      </c>
      <c r="C179" s="1830"/>
      <c r="D179" s="1830"/>
      <c r="E179" s="1830"/>
      <c r="F179" s="1830"/>
      <c r="G179" s="1830"/>
      <c r="H179" s="1830"/>
      <c r="I179" s="1830"/>
      <c r="J179" s="1830"/>
      <c r="K179" s="1830"/>
      <c r="L179" s="1830"/>
      <c r="M179" s="1257"/>
      <c r="O179" s="1258"/>
      <c r="P179" s="1258"/>
      <c r="Q179" s="1258"/>
      <c r="R179" s="1257"/>
      <c r="S179" s="1257"/>
    </row>
    <row r="180" spans="1:19">
      <c r="B180" s="1830"/>
      <c r="C180" s="1830"/>
      <c r="D180" s="1830"/>
      <c r="E180" s="1830"/>
      <c r="F180" s="1830"/>
      <c r="G180" s="1830"/>
      <c r="H180" s="1830"/>
      <c r="I180" s="1830"/>
      <c r="J180" s="1830"/>
      <c r="K180" s="1830"/>
      <c r="L180" s="1830"/>
      <c r="M180" s="1257"/>
      <c r="O180" s="1258"/>
      <c r="P180" s="1258"/>
      <c r="Q180" s="1258"/>
      <c r="R180" s="1257"/>
      <c r="S180" s="1257"/>
    </row>
    <row r="181" spans="1:19">
      <c r="D181" s="1256"/>
      <c r="E181" s="1256"/>
      <c r="F181" s="1256"/>
      <c r="G181" s="1256"/>
      <c r="H181" s="1257"/>
      <c r="I181" s="1257"/>
      <c r="K181" s="1258"/>
      <c r="L181" s="1257"/>
      <c r="M181" s="1257"/>
      <c r="O181" s="1258"/>
      <c r="P181" s="1258"/>
      <c r="Q181" s="1258"/>
      <c r="R181" s="1257"/>
      <c r="S181" s="1257"/>
    </row>
    <row r="182" spans="1:19" ht="13">
      <c r="A182" s="1267"/>
      <c r="B182" s="1268" t="s">
        <v>934</v>
      </c>
      <c r="C182" s="1267"/>
      <c r="D182" s="1267"/>
      <c r="E182" s="1267"/>
      <c r="F182" s="1267"/>
      <c r="G182" s="1267"/>
      <c r="H182" s="1267"/>
      <c r="I182" s="1267"/>
      <c r="J182" s="1267"/>
      <c r="K182" s="1267"/>
      <c r="L182" s="1267"/>
      <c r="M182" s="1267"/>
      <c r="N182" s="1267"/>
      <c r="O182" s="1267"/>
      <c r="P182" s="1267"/>
      <c r="Q182" s="1267"/>
      <c r="R182" s="1267"/>
      <c r="S182" s="1267"/>
    </row>
    <row r="184" spans="1:19" ht="15.75" customHeight="1">
      <c r="A184" s="1243"/>
      <c r="B184" s="1244" t="s">
        <v>9</v>
      </c>
      <c r="C184" s="1829" t="s">
        <v>1007</v>
      </c>
      <c r="D184" s="1829"/>
      <c r="E184" s="1829"/>
      <c r="F184" s="1829"/>
      <c r="G184" s="1829"/>
      <c r="H184" s="1829"/>
      <c r="I184" s="1829"/>
      <c r="J184" s="1829"/>
      <c r="K184" s="1829"/>
      <c r="L184" s="1829"/>
    </row>
    <row r="185" spans="1:19" ht="13">
      <c r="A185" s="1243"/>
      <c r="B185" s="1244"/>
      <c r="C185" s="1829"/>
      <c r="D185" s="1829"/>
      <c r="E185" s="1829"/>
      <c r="F185" s="1829"/>
      <c r="G185" s="1829"/>
      <c r="H185" s="1829"/>
      <c r="I185" s="1829"/>
      <c r="J185" s="1829"/>
      <c r="K185" s="1829"/>
      <c r="L185" s="1829"/>
    </row>
    <row r="186" spans="1:19">
      <c r="C186" s="1829"/>
      <c r="D186" s="1829"/>
      <c r="E186" s="1829"/>
      <c r="F186" s="1829"/>
      <c r="G186" s="1829"/>
      <c r="H186" s="1829"/>
      <c r="I186" s="1829"/>
      <c r="J186" s="1829"/>
      <c r="K186" s="1829"/>
      <c r="L186" s="1829"/>
    </row>
    <row r="187" spans="1:19">
      <c r="C187" s="1829"/>
      <c r="D187" s="1829"/>
      <c r="E187" s="1829"/>
      <c r="F187" s="1829"/>
      <c r="G187" s="1829"/>
      <c r="H187" s="1829"/>
      <c r="I187" s="1829"/>
      <c r="J187" s="1829"/>
      <c r="K187" s="1829"/>
      <c r="L187" s="1829"/>
    </row>
    <row r="188" spans="1:19" ht="15.75" customHeight="1">
      <c r="A188" s="1243"/>
      <c r="B188" s="1244" t="s">
        <v>10</v>
      </c>
      <c r="C188" s="1829" t="s">
        <v>1006</v>
      </c>
      <c r="D188" s="1829"/>
      <c r="E188" s="1829"/>
      <c r="F188" s="1829"/>
      <c r="G188" s="1829"/>
      <c r="H188" s="1829"/>
      <c r="I188" s="1829"/>
      <c r="J188" s="1829"/>
      <c r="K188" s="1829"/>
      <c r="L188" s="1829"/>
    </row>
    <row r="189" spans="1:19" ht="13">
      <c r="A189" s="1243"/>
      <c r="B189" s="1244"/>
      <c r="C189" s="1829"/>
      <c r="D189" s="1829"/>
      <c r="E189" s="1829"/>
      <c r="F189" s="1829"/>
      <c r="G189" s="1829"/>
      <c r="H189" s="1829"/>
      <c r="I189" s="1829"/>
      <c r="J189" s="1829"/>
      <c r="K189" s="1829"/>
      <c r="L189" s="1829"/>
    </row>
    <row r="190" spans="1:19" ht="13">
      <c r="A190" s="1243"/>
      <c r="B190" s="1244"/>
      <c r="C190" s="1829"/>
      <c r="D190" s="1829"/>
      <c r="E190" s="1829"/>
      <c r="F190" s="1829"/>
      <c r="G190" s="1829"/>
      <c r="H190" s="1829"/>
      <c r="I190" s="1829"/>
      <c r="J190" s="1829"/>
      <c r="K190" s="1829"/>
      <c r="L190" s="1829"/>
    </row>
    <row r="191" spans="1:19" ht="13">
      <c r="A191" s="1243"/>
      <c r="B191" s="1244"/>
      <c r="C191" s="1829"/>
      <c r="D191" s="1829"/>
      <c r="E191" s="1829"/>
      <c r="F191" s="1829"/>
      <c r="G191" s="1829"/>
      <c r="H191" s="1829"/>
      <c r="I191" s="1829"/>
      <c r="J191" s="1829"/>
      <c r="K191" s="1829"/>
      <c r="L191" s="1829"/>
    </row>
    <row r="192" spans="1:19" ht="13">
      <c r="A192" s="1243"/>
      <c r="B192" s="1244"/>
      <c r="C192" s="1829"/>
      <c r="D192" s="1829"/>
      <c r="E192" s="1829"/>
      <c r="F192" s="1829"/>
      <c r="G192" s="1829"/>
      <c r="H192" s="1829"/>
      <c r="I192" s="1829"/>
      <c r="J192" s="1829"/>
      <c r="K192" s="1829"/>
      <c r="L192" s="1829"/>
    </row>
    <row r="193" spans="1:12">
      <c r="C193" s="1829"/>
      <c r="D193" s="1829"/>
      <c r="E193" s="1829"/>
      <c r="F193" s="1829"/>
      <c r="G193" s="1829"/>
      <c r="H193" s="1829"/>
      <c r="I193" s="1829"/>
      <c r="J193" s="1829"/>
      <c r="K193" s="1829"/>
      <c r="L193" s="1829"/>
    </row>
    <row r="194" spans="1:12">
      <c r="C194" s="1829"/>
      <c r="D194" s="1829"/>
      <c r="E194" s="1829"/>
      <c r="F194" s="1829"/>
      <c r="G194" s="1829"/>
      <c r="H194" s="1829"/>
      <c r="I194" s="1829"/>
      <c r="J194" s="1829"/>
      <c r="K194" s="1829"/>
      <c r="L194" s="1829"/>
    </row>
    <row r="195" spans="1:12" ht="15.75" customHeight="1">
      <c r="A195" s="1243"/>
      <c r="B195" s="1244" t="s">
        <v>11</v>
      </c>
      <c r="C195" s="1829" t="s">
        <v>1005</v>
      </c>
      <c r="D195" s="1829"/>
      <c r="E195" s="1829"/>
      <c r="F195" s="1829"/>
      <c r="G195" s="1829"/>
      <c r="H195" s="1829"/>
      <c r="I195" s="1829"/>
      <c r="J195" s="1829"/>
      <c r="K195" s="1829"/>
      <c r="L195" s="1829"/>
    </row>
    <row r="196" spans="1:12" ht="13">
      <c r="A196" s="1243"/>
      <c r="B196" s="1244"/>
      <c r="C196" s="1829"/>
      <c r="D196" s="1829"/>
      <c r="E196" s="1829"/>
      <c r="F196" s="1829"/>
      <c r="G196" s="1829"/>
      <c r="H196" s="1829"/>
      <c r="I196" s="1829"/>
      <c r="J196" s="1829"/>
      <c r="K196" s="1829"/>
      <c r="L196" s="1829"/>
    </row>
    <row r="197" spans="1:12" ht="13">
      <c r="A197" s="1243"/>
      <c r="B197" s="1244"/>
      <c r="C197" s="1829"/>
      <c r="D197" s="1829"/>
      <c r="E197" s="1829"/>
      <c r="F197" s="1829"/>
      <c r="G197" s="1829"/>
      <c r="H197" s="1829"/>
      <c r="I197" s="1829"/>
      <c r="J197" s="1829"/>
      <c r="K197" s="1829"/>
      <c r="L197" s="1829"/>
    </row>
    <row r="198" spans="1:12" ht="13">
      <c r="A198" s="1243"/>
      <c r="B198" s="1244"/>
      <c r="C198" s="1829"/>
      <c r="D198" s="1829"/>
      <c r="E198" s="1829"/>
      <c r="F198" s="1829"/>
      <c r="G198" s="1829"/>
      <c r="H198" s="1829"/>
      <c r="I198" s="1829"/>
      <c r="J198" s="1829"/>
      <c r="K198" s="1829"/>
      <c r="L198" s="1829"/>
    </row>
    <row r="199" spans="1:12" ht="15.75" customHeight="1">
      <c r="A199" s="1243"/>
      <c r="B199" s="1244" t="s">
        <v>14</v>
      </c>
      <c r="C199" s="1829" t="s">
        <v>1004</v>
      </c>
      <c r="D199" s="1829"/>
      <c r="E199" s="1829"/>
      <c r="F199" s="1829"/>
      <c r="G199" s="1829"/>
      <c r="H199" s="1829"/>
      <c r="I199" s="1829"/>
      <c r="J199" s="1829"/>
      <c r="K199" s="1829"/>
      <c r="L199" s="1829"/>
    </row>
    <row r="200" spans="1:12" ht="15.75" customHeight="1">
      <c r="C200" s="1829"/>
      <c r="D200" s="1829"/>
      <c r="E200" s="1829"/>
      <c r="F200" s="1829"/>
      <c r="G200" s="1829"/>
      <c r="H200" s="1829"/>
      <c r="I200" s="1829"/>
      <c r="J200" s="1829"/>
      <c r="K200" s="1829"/>
      <c r="L200" s="1829"/>
    </row>
    <row r="201" spans="1:12" ht="15.75" customHeight="1">
      <c r="A201" s="1243"/>
      <c r="B201" s="1244" t="s">
        <v>137</v>
      </c>
      <c r="C201" s="1829" t="s">
        <v>1003</v>
      </c>
      <c r="D201" s="1829"/>
      <c r="E201" s="1829"/>
      <c r="F201" s="1829"/>
      <c r="G201" s="1829"/>
      <c r="H201" s="1829"/>
      <c r="I201" s="1829"/>
      <c r="J201" s="1829"/>
      <c r="K201" s="1829"/>
      <c r="L201" s="1829"/>
    </row>
    <row r="202" spans="1:12" ht="15.75" customHeight="1">
      <c r="C202" s="1829"/>
      <c r="D202" s="1829"/>
      <c r="E202" s="1829"/>
      <c r="F202" s="1829"/>
      <c r="G202" s="1829"/>
      <c r="H202" s="1829"/>
      <c r="I202" s="1829"/>
      <c r="J202" s="1829"/>
      <c r="K202" s="1829"/>
      <c r="L202" s="1829"/>
    </row>
    <row r="203" spans="1:12" ht="15.75" customHeight="1">
      <c r="A203" s="1243"/>
      <c r="B203" s="1244" t="s">
        <v>138</v>
      </c>
      <c r="C203" s="1825" t="s">
        <v>1002</v>
      </c>
      <c r="D203" s="1825"/>
      <c r="E203" s="1825"/>
      <c r="F203" s="1825"/>
      <c r="G203" s="1825"/>
      <c r="H203" s="1825"/>
      <c r="I203" s="1825"/>
      <c r="J203" s="1825"/>
      <c r="K203" s="1825"/>
      <c r="L203" s="1825"/>
    </row>
    <row r="204" spans="1:12">
      <c r="C204" s="1825"/>
      <c r="D204" s="1825"/>
      <c r="E204" s="1825"/>
      <c r="F204" s="1825"/>
      <c r="G204" s="1825"/>
      <c r="H204" s="1825"/>
      <c r="I204" s="1825"/>
      <c r="J204" s="1825"/>
      <c r="K204" s="1825"/>
      <c r="L204" s="1825"/>
    </row>
  </sheetData>
  <mergeCells count="32">
    <mergeCell ref="D8:H8"/>
    <mergeCell ref="J8:L8"/>
    <mergeCell ref="N8:R8"/>
    <mergeCell ref="A1:R1"/>
    <mergeCell ref="A2:R2"/>
    <mergeCell ref="A3:R3"/>
    <mergeCell ref="J7:L7"/>
    <mergeCell ref="N7:R7"/>
    <mergeCell ref="J139:L139"/>
    <mergeCell ref="N139:R139"/>
    <mergeCell ref="D140:H140"/>
    <mergeCell ref="J140:L140"/>
    <mergeCell ref="D41:H41"/>
    <mergeCell ref="J41:L41"/>
    <mergeCell ref="N41:R41"/>
    <mergeCell ref="D74:H74"/>
    <mergeCell ref="J74:L74"/>
    <mergeCell ref="N74:R74"/>
    <mergeCell ref="J106:L106"/>
    <mergeCell ref="N106:R106"/>
    <mergeCell ref="D107:H107"/>
    <mergeCell ref="J107:L107"/>
    <mergeCell ref="N107:R107"/>
    <mergeCell ref="C203:L204"/>
    <mergeCell ref="N140:R140"/>
    <mergeCell ref="B174:L175"/>
    <mergeCell ref="B179:L180"/>
    <mergeCell ref="C184:L187"/>
    <mergeCell ref="C188:L194"/>
    <mergeCell ref="C195:L198"/>
    <mergeCell ref="C199:L200"/>
    <mergeCell ref="C201:L202"/>
  </mergeCells>
  <pageMargins left="0.25" right="0.25" top="0.75" bottom="0.75" header="0.3" footer="0.3"/>
  <pageSetup scale="40"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zoomScale="84" zoomScaleNormal="84" zoomScaleSheetLayoutView="70" workbookViewId="0">
      <selection activeCell="G87" sqref="G87"/>
    </sheetView>
  </sheetViews>
  <sheetFormatPr defaultColWidth="11.453125" defaultRowHeight="13"/>
  <cols>
    <col min="1" max="1" width="6.26953125" style="598" customWidth="1"/>
    <col min="2" max="2" width="37.26953125" style="599" bestFit="1" customWidth="1"/>
    <col min="3" max="3" width="30.81640625" style="599" customWidth="1"/>
    <col min="4" max="4" width="32.81640625" style="599" customWidth="1"/>
    <col min="5" max="5" width="24.7265625" style="599" customWidth="1"/>
    <col min="6" max="6" width="20.54296875" style="599" customWidth="1"/>
    <col min="7" max="8" width="22.26953125" style="599" customWidth="1"/>
    <col min="9" max="9" width="23.453125" style="599" customWidth="1"/>
    <col min="10" max="10" width="23.1796875" style="599" customWidth="1"/>
    <col min="11" max="12" width="27.54296875" style="599" customWidth="1"/>
    <col min="13" max="13" width="26.1796875" style="599" customWidth="1"/>
    <col min="14" max="14" width="24.453125" style="599" customWidth="1"/>
    <col min="15" max="16" width="15.1796875" style="599" customWidth="1"/>
    <col min="17" max="17" width="20.26953125" style="599" customWidth="1"/>
    <col min="18" max="16384" width="11.453125" style="599"/>
  </cols>
  <sheetData>
    <row r="1" spans="1:16">
      <c r="C1" s="600"/>
      <c r="D1" s="600"/>
      <c r="E1" s="600"/>
      <c r="F1" s="600"/>
      <c r="I1" s="601" t="s">
        <v>565</v>
      </c>
      <c r="J1" s="600"/>
      <c r="K1" s="600"/>
      <c r="L1" s="600"/>
    </row>
    <row r="2" spans="1:16">
      <c r="A2" s="603"/>
      <c r="C2" s="600"/>
      <c r="D2" s="600"/>
      <c r="E2" s="600"/>
      <c r="F2" s="600"/>
      <c r="G2" s="600"/>
      <c r="H2" s="600"/>
      <c r="I2" s="604" t="s">
        <v>566</v>
      </c>
      <c r="J2" s="600"/>
      <c r="K2" s="600"/>
      <c r="L2" s="600"/>
      <c r="M2" s="600"/>
      <c r="O2" s="605"/>
    </row>
    <row r="3" spans="1:16">
      <c r="A3" s="603"/>
      <c r="C3" s="600"/>
      <c r="D3" s="600"/>
      <c r="E3" s="600"/>
      <c r="F3" s="600"/>
      <c r="G3" s="600"/>
      <c r="H3" s="600"/>
      <c r="I3" s="604" t="str">
        <f>+'ATT H-3D'!$A$4</f>
        <v>Delmarva Power &amp; Light Company</v>
      </c>
      <c r="J3" s="604"/>
      <c r="K3" s="604"/>
      <c r="L3" s="604"/>
      <c r="M3" s="604"/>
      <c r="N3" s="604"/>
    </row>
    <row r="4" spans="1:16">
      <c r="A4" s="603"/>
      <c r="C4" s="600"/>
      <c r="D4" s="600"/>
      <c r="E4" s="895"/>
      <c r="F4" s="600"/>
      <c r="G4" s="600"/>
      <c r="H4" s="600"/>
      <c r="I4" s="600"/>
      <c r="J4" s="600"/>
      <c r="K4" s="600"/>
      <c r="L4" s="600"/>
      <c r="M4" s="600"/>
      <c r="P4" s="945"/>
    </row>
    <row r="5" spans="1:16" ht="13.5" thickBot="1">
      <c r="A5" s="603"/>
      <c r="B5" s="607"/>
      <c r="C5" s="607"/>
      <c r="D5" s="607"/>
      <c r="E5" s="607"/>
      <c r="F5" s="607"/>
      <c r="G5" s="600"/>
      <c r="H5" s="600"/>
      <c r="I5" s="600"/>
      <c r="J5" s="600"/>
      <c r="K5" s="600"/>
      <c r="L5" s="600"/>
      <c r="M5" s="607"/>
    </row>
    <row r="6" spans="1:16" ht="13.5" thickBot="1">
      <c r="A6" s="603"/>
      <c r="B6" s="1110" t="s">
        <v>823</v>
      </c>
      <c r="C6" s="1985" t="s">
        <v>1249</v>
      </c>
      <c r="D6" s="1988"/>
      <c r="E6" s="1988"/>
      <c r="F6" s="1989"/>
      <c r="G6" s="1985" t="s">
        <v>1263</v>
      </c>
      <c r="H6" s="1988"/>
      <c r="I6" s="1988"/>
      <c r="J6" s="1989"/>
      <c r="K6" s="1985" t="s">
        <v>1264</v>
      </c>
      <c r="L6" s="1988"/>
      <c r="M6" s="1988"/>
      <c r="N6" s="1989"/>
      <c r="P6" s="945"/>
    </row>
    <row r="7" spans="1:16" s="612" customFormat="1" ht="26">
      <c r="A7" s="609" t="s">
        <v>507</v>
      </c>
      <c r="B7" s="610" t="s">
        <v>170</v>
      </c>
      <c r="C7" s="610" t="s">
        <v>567</v>
      </c>
      <c r="D7" s="610" t="s">
        <v>229</v>
      </c>
      <c r="E7" s="610" t="s">
        <v>148</v>
      </c>
      <c r="F7" s="611" t="s">
        <v>508</v>
      </c>
      <c r="G7" s="610" t="s">
        <v>567</v>
      </c>
      <c r="H7" s="610" t="s">
        <v>229</v>
      </c>
      <c r="I7" s="610" t="s">
        <v>148</v>
      </c>
      <c r="J7" s="611" t="s">
        <v>508</v>
      </c>
      <c r="K7" s="610" t="s">
        <v>567</v>
      </c>
      <c r="L7" s="610" t="s">
        <v>229</v>
      </c>
      <c r="M7" s="610" t="s">
        <v>148</v>
      </c>
      <c r="N7" s="611" t="s">
        <v>508</v>
      </c>
      <c r="O7" s="600"/>
    </row>
    <row r="8" spans="1:16" s="614" customFormat="1">
      <c r="A8" s="603"/>
      <c r="B8" s="608" t="s">
        <v>513</v>
      </c>
      <c r="C8" s="608" t="s">
        <v>514</v>
      </c>
      <c r="D8" s="608" t="s">
        <v>515</v>
      </c>
      <c r="E8" s="610" t="s">
        <v>516</v>
      </c>
      <c r="F8" s="608" t="s">
        <v>517</v>
      </c>
      <c r="G8" s="608" t="s">
        <v>518</v>
      </c>
      <c r="H8" s="610" t="s">
        <v>519</v>
      </c>
      <c r="I8" s="608" t="s">
        <v>520</v>
      </c>
      <c r="J8" s="608" t="s">
        <v>521</v>
      </c>
      <c r="K8" s="610" t="s">
        <v>522</v>
      </c>
      <c r="L8" s="608" t="s">
        <v>523</v>
      </c>
      <c r="M8" s="610" t="s">
        <v>552</v>
      </c>
      <c r="N8" s="610" t="s">
        <v>771</v>
      </c>
      <c r="O8" s="600"/>
    </row>
    <row r="9" spans="1:16" s="614" customFormat="1">
      <c r="A9" s="603"/>
      <c r="B9" s="615" t="s">
        <v>1892</v>
      </c>
      <c r="C9" s="604"/>
      <c r="D9" s="604"/>
      <c r="E9" s="604"/>
      <c r="F9" s="616"/>
      <c r="G9" s="604"/>
      <c r="H9" s="604"/>
      <c r="I9" s="604"/>
      <c r="J9" s="616"/>
      <c r="K9" s="604">
        <v>6</v>
      </c>
      <c r="L9" s="604"/>
      <c r="M9" s="604"/>
      <c r="N9" s="616"/>
      <c r="O9" s="600"/>
    </row>
    <row r="10" spans="1:16" s="614" customFormat="1" ht="104">
      <c r="A10" s="603"/>
      <c r="B10" s="608"/>
      <c r="C10" s="618" t="s">
        <v>984</v>
      </c>
      <c r="D10" s="618" t="s">
        <v>1908</v>
      </c>
      <c r="E10" s="619" t="s">
        <v>985</v>
      </c>
      <c r="F10" s="620" t="s">
        <v>525</v>
      </c>
      <c r="G10" s="618" t="s">
        <v>986</v>
      </c>
      <c r="H10" s="618" t="s">
        <v>969</v>
      </c>
      <c r="I10" s="619" t="s">
        <v>987</v>
      </c>
      <c r="J10" s="620" t="s">
        <v>525</v>
      </c>
      <c r="K10" s="618" t="s">
        <v>970</v>
      </c>
      <c r="L10" s="618" t="s">
        <v>971</v>
      </c>
      <c r="M10" s="618" t="s">
        <v>972</v>
      </c>
      <c r="N10" s="618" t="s">
        <v>973</v>
      </c>
      <c r="O10" s="600"/>
    </row>
    <row r="11" spans="1:16">
      <c r="A11" s="603">
        <v>1</v>
      </c>
      <c r="B11" s="621" t="s">
        <v>527</v>
      </c>
      <c r="C11" s="622">
        <f>+'5 - Cost Support 1'!I216</f>
        <v>4707097803</v>
      </c>
      <c r="D11" s="622">
        <f>+'5 - Cost Support 1'!I219</f>
        <v>1803909099</v>
      </c>
      <c r="E11" s="622">
        <f>+'5 - Cost Support 1'!I220</f>
        <v>288799293</v>
      </c>
      <c r="F11" s="622">
        <v>149574926</v>
      </c>
      <c r="G11" s="622">
        <v>5819241.4600000009</v>
      </c>
      <c r="H11" s="622"/>
      <c r="I11" s="622">
        <v>0</v>
      </c>
      <c r="J11" s="622">
        <v>0</v>
      </c>
      <c r="K11" s="622">
        <f>+C11-G11</f>
        <v>4701278561.54</v>
      </c>
      <c r="L11" s="622">
        <f>+D11-H11</f>
        <v>1803909099</v>
      </c>
      <c r="M11" s="622">
        <f>+E11-I11</f>
        <v>288799293</v>
      </c>
      <c r="N11" s="622">
        <f>+F11-J11</f>
        <v>149574926</v>
      </c>
      <c r="P11" s="600"/>
    </row>
    <row r="12" spans="1:16">
      <c r="A12" s="603">
        <v>2</v>
      </c>
      <c r="B12" s="621" t="s">
        <v>528</v>
      </c>
      <c r="C12" s="622">
        <v>4727774196.939476</v>
      </c>
      <c r="D12" s="622">
        <v>1807280104.4591999</v>
      </c>
      <c r="E12" s="622">
        <v>297678467.05173802</v>
      </c>
      <c r="F12" s="622">
        <v>149574926</v>
      </c>
      <c r="G12" s="622">
        <v>5794384.8400000017</v>
      </c>
      <c r="H12" s="622"/>
      <c r="I12" s="622">
        <v>0</v>
      </c>
      <c r="J12" s="622">
        <v>0</v>
      </c>
      <c r="K12" s="622">
        <f t="shared" ref="K12:K23" si="0">+C12-G12</f>
        <v>4721979812.0994759</v>
      </c>
      <c r="L12" s="622">
        <f t="shared" ref="L12:L23" si="1">+D12-H12</f>
        <v>1807280104.4591999</v>
      </c>
      <c r="M12" s="622">
        <f t="shared" ref="M12:M23" si="2">+E12-I12</f>
        <v>297678467.05173802</v>
      </c>
      <c r="N12" s="622">
        <f t="shared" ref="N12:N23" si="3">+F12-J12</f>
        <v>149574926</v>
      </c>
      <c r="O12" s="600"/>
      <c r="P12" s="600"/>
    </row>
    <row r="13" spans="1:16">
      <c r="A13" s="603">
        <v>3</v>
      </c>
      <c r="B13" s="600" t="s">
        <v>529</v>
      </c>
      <c r="C13" s="622">
        <v>4745382207.4812603</v>
      </c>
      <c r="D13" s="622">
        <v>1810369412.2938499</v>
      </c>
      <c r="E13" s="622">
        <v>301404741.42773002</v>
      </c>
      <c r="F13" s="622">
        <v>149574926</v>
      </c>
      <c r="G13" s="622">
        <v>5794551.3200000012</v>
      </c>
      <c r="H13" s="622"/>
      <c r="I13" s="622">
        <v>0</v>
      </c>
      <c r="J13" s="622">
        <v>0</v>
      </c>
      <c r="K13" s="622">
        <f t="shared" si="0"/>
        <v>4739587656.1612606</v>
      </c>
      <c r="L13" s="622">
        <f t="shared" si="1"/>
        <v>1810369412.2938499</v>
      </c>
      <c r="M13" s="622">
        <f t="shared" si="2"/>
        <v>301404741.42773002</v>
      </c>
      <c r="N13" s="622">
        <f t="shared" si="3"/>
        <v>149574926</v>
      </c>
      <c r="O13" s="600"/>
      <c r="P13" s="600"/>
    </row>
    <row r="14" spans="1:16">
      <c r="A14" s="603">
        <v>4</v>
      </c>
      <c r="B14" s="600" t="s">
        <v>530</v>
      </c>
      <c r="C14" s="622">
        <v>4771385567.6934109</v>
      </c>
      <c r="D14" s="622">
        <v>1814022655.9898398</v>
      </c>
      <c r="E14" s="622">
        <v>312568558.5859881</v>
      </c>
      <c r="F14" s="622">
        <v>149574926</v>
      </c>
      <c r="G14" s="622">
        <v>5787854.4500000011</v>
      </c>
      <c r="H14" s="622"/>
      <c r="I14" s="622">
        <v>0</v>
      </c>
      <c r="J14" s="622">
        <v>0</v>
      </c>
      <c r="K14" s="622">
        <f t="shared" si="0"/>
        <v>4765597713.2434111</v>
      </c>
      <c r="L14" s="622">
        <f t="shared" si="1"/>
        <v>1814022655.9898398</v>
      </c>
      <c r="M14" s="622">
        <f t="shared" si="2"/>
        <v>312568558.5859881</v>
      </c>
      <c r="N14" s="622">
        <f t="shared" si="3"/>
        <v>149574926</v>
      </c>
      <c r="O14" s="600"/>
      <c r="P14" s="600"/>
    </row>
    <row r="15" spans="1:16">
      <c r="A15" s="603">
        <v>5</v>
      </c>
      <c r="B15" s="600" t="s">
        <v>172</v>
      </c>
      <c r="C15" s="622">
        <v>4794849045.199441</v>
      </c>
      <c r="D15" s="622">
        <v>1820734869.7696197</v>
      </c>
      <c r="E15" s="622">
        <v>318823906.88068008</v>
      </c>
      <c r="F15" s="622">
        <v>149574926</v>
      </c>
      <c r="G15" s="622">
        <v>5787854.4500000011</v>
      </c>
      <c r="H15" s="622"/>
      <c r="I15" s="622">
        <v>0</v>
      </c>
      <c r="J15" s="622">
        <v>0</v>
      </c>
      <c r="K15" s="622">
        <f t="shared" si="0"/>
        <v>4789061190.7494411</v>
      </c>
      <c r="L15" s="622">
        <f t="shared" si="1"/>
        <v>1820734869.7696197</v>
      </c>
      <c r="M15" s="622">
        <f t="shared" si="2"/>
        <v>318823906.88068008</v>
      </c>
      <c r="N15" s="622">
        <f t="shared" si="3"/>
        <v>149574926</v>
      </c>
      <c r="O15" s="600"/>
      <c r="P15" s="600"/>
    </row>
    <row r="16" spans="1:16">
      <c r="A16" s="603">
        <v>6</v>
      </c>
      <c r="B16" s="600" t="s">
        <v>173</v>
      </c>
      <c r="C16" s="622">
        <v>4817392797.2383137</v>
      </c>
      <c r="D16" s="622">
        <v>1824541035.7476096</v>
      </c>
      <c r="E16" s="622">
        <v>321314161.54268008</v>
      </c>
      <c r="F16" s="622">
        <v>149574926</v>
      </c>
      <c r="G16" s="622">
        <v>5787854.4500000011</v>
      </c>
      <c r="H16" s="622"/>
      <c r="I16" s="622">
        <v>0</v>
      </c>
      <c r="J16" s="622">
        <v>0</v>
      </c>
      <c r="K16" s="622">
        <f t="shared" si="0"/>
        <v>4811604942.7883139</v>
      </c>
      <c r="L16" s="622">
        <f t="shared" si="1"/>
        <v>1824541035.7476096</v>
      </c>
      <c r="M16" s="622">
        <f t="shared" si="2"/>
        <v>321314161.54268008</v>
      </c>
      <c r="N16" s="622">
        <f t="shared" si="3"/>
        <v>149574926</v>
      </c>
      <c r="O16" s="600"/>
      <c r="P16" s="600"/>
    </row>
    <row r="17" spans="1:16">
      <c r="A17" s="603">
        <v>7</v>
      </c>
      <c r="B17" s="600" t="s">
        <v>174</v>
      </c>
      <c r="C17" s="622">
        <v>4841680586.4695663</v>
      </c>
      <c r="D17" s="622">
        <v>1831729993.7424397</v>
      </c>
      <c r="E17" s="622">
        <v>328949702.10486203</v>
      </c>
      <c r="F17" s="622">
        <v>149574926</v>
      </c>
      <c r="G17" s="622">
        <v>5787854.4500000011</v>
      </c>
      <c r="H17" s="622"/>
      <c r="I17" s="622">
        <v>0</v>
      </c>
      <c r="J17" s="622">
        <v>0</v>
      </c>
      <c r="K17" s="622">
        <f t="shared" si="0"/>
        <v>4835892732.0195665</v>
      </c>
      <c r="L17" s="622">
        <f t="shared" si="1"/>
        <v>1831729993.7424397</v>
      </c>
      <c r="M17" s="622">
        <f t="shared" si="2"/>
        <v>328949702.10486203</v>
      </c>
      <c r="N17" s="622">
        <f t="shared" si="3"/>
        <v>149574926</v>
      </c>
      <c r="O17" s="600"/>
      <c r="P17" s="600"/>
    </row>
    <row r="18" spans="1:16">
      <c r="A18" s="603">
        <v>8</v>
      </c>
      <c r="B18" s="600" t="s">
        <v>531</v>
      </c>
      <c r="C18" s="622">
        <v>4866984342.3258762</v>
      </c>
      <c r="D18" s="622">
        <v>1834380505.5225196</v>
      </c>
      <c r="E18" s="622">
        <v>336337515.93392402</v>
      </c>
      <c r="F18" s="622">
        <v>149574926</v>
      </c>
      <c r="G18" s="622">
        <v>5787854.4500000011</v>
      </c>
      <c r="H18" s="622"/>
      <c r="I18" s="622">
        <v>0</v>
      </c>
      <c r="J18" s="622">
        <v>0</v>
      </c>
      <c r="K18" s="622">
        <f t="shared" si="0"/>
        <v>4861196487.8758764</v>
      </c>
      <c r="L18" s="622">
        <f t="shared" si="1"/>
        <v>1834380505.5225196</v>
      </c>
      <c r="M18" s="622">
        <f t="shared" si="2"/>
        <v>336337515.93392402</v>
      </c>
      <c r="N18" s="622">
        <f t="shared" si="3"/>
        <v>149574926</v>
      </c>
      <c r="O18" s="600"/>
      <c r="P18" s="600"/>
    </row>
    <row r="19" spans="1:16">
      <c r="A19" s="603">
        <v>9</v>
      </c>
      <c r="B19" s="600" t="s">
        <v>532</v>
      </c>
      <c r="C19" s="622">
        <v>4884027219.926486</v>
      </c>
      <c r="D19" s="622">
        <v>1836816951.9095197</v>
      </c>
      <c r="E19" s="622">
        <v>340981094.82770509</v>
      </c>
      <c r="F19" s="622">
        <v>149574926</v>
      </c>
      <c r="G19" s="622">
        <v>5787854.4500000011</v>
      </c>
      <c r="H19" s="622"/>
      <c r="I19" s="622">
        <v>0</v>
      </c>
      <c r="J19" s="622">
        <v>0</v>
      </c>
      <c r="K19" s="622">
        <f t="shared" si="0"/>
        <v>4878239365.4764862</v>
      </c>
      <c r="L19" s="622">
        <f t="shared" si="1"/>
        <v>1836816951.9095197</v>
      </c>
      <c r="M19" s="622">
        <f t="shared" si="2"/>
        <v>340981094.82770509</v>
      </c>
      <c r="N19" s="622">
        <f t="shared" si="3"/>
        <v>149574926</v>
      </c>
      <c r="O19" s="600"/>
      <c r="P19" s="600"/>
    </row>
    <row r="20" spans="1:16">
      <c r="A20" s="603">
        <v>10</v>
      </c>
      <c r="B20" s="600" t="s">
        <v>533</v>
      </c>
      <c r="C20" s="622">
        <v>4901866256.0109167</v>
      </c>
      <c r="D20" s="622">
        <v>1840124000.3690495</v>
      </c>
      <c r="E20" s="622">
        <v>344665201.99386603</v>
      </c>
      <c r="F20" s="622">
        <v>149574926</v>
      </c>
      <c r="G20" s="622">
        <v>5787854.4500000011</v>
      </c>
      <c r="H20" s="622"/>
      <c r="I20" s="622">
        <v>0</v>
      </c>
      <c r="J20" s="622">
        <v>0</v>
      </c>
      <c r="K20" s="622">
        <f t="shared" si="0"/>
        <v>4896078401.5609169</v>
      </c>
      <c r="L20" s="622">
        <f t="shared" si="1"/>
        <v>1840124000.3690495</v>
      </c>
      <c r="M20" s="622">
        <f t="shared" si="2"/>
        <v>344665201.99386603</v>
      </c>
      <c r="N20" s="622">
        <f t="shared" si="3"/>
        <v>149574926</v>
      </c>
      <c r="O20" s="600"/>
      <c r="P20" s="600"/>
    </row>
    <row r="21" spans="1:16">
      <c r="A21" s="603">
        <v>11</v>
      </c>
      <c r="B21" s="600" t="s">
        <v>534</v>
      </c>
      <c r="C21" s="622">
        <v>4923064275.2708206</v>
      </c>
      <c r="D21" s="622">
        <v>1844742362.8203795</v>
      </c>
      <c r="E21" s="622">
        <v>351883708.99066502</v>
      </c>
      <c r="F21" s="622">
        <v>149574926</v>
      </c>
      <c r="G21" s="622">
        <v>5787854.4500000011</v>
      </c>
      <c r="H21" s="622"/>
      <c r="I21" s="622">
        <v>0</v>
      </c>
      <c r="J21" s="622">
        <v>0</v>
      </c>
      <c r="K21" s="622">
        <f t="shared" si="0"/>
        <v>4917276420.8208208</v>
      </c>
      <c r="L21" s="622">
        <f t="shared" si="1"/>
        <v>1844742362.8203795</v>
      </c>
      <c r="M21" s="622">
        <f t="shared" si="2"/>
        <v>351883708.99066502</v>
      </c>
      <c r="N21" s="622">
        <f t="shared" si="3"/>
        <v>149574926</v>
      </c>
      <c r="O21" s="600"/>
      <c r="P21" s="600"/>
    </row>
    <row r="22" spans="1:16">
      <c r="A22" s="603">
        <v>12</v>
      </c>
      <c r="B22" s="600" t="s">
        <v>535</v>
      </c>
      <c r="C22" s="622">
        <v>4937945707.9030991</v>
      </c>
      <c r="D22" s="622">
        <v>1848364013.2432795</v>
      </c>
      <c r="E22" s="622">
        <v>355096121.3573631</v>
      </c>
      <c r="F22" s="622">
        <v>149574926</v>
      </c>
      <c r="G22" s="622">
        <v>5787854.4500000011</v>
      </c>
      <c r="H22" s="622"/>
      <c r="I22" s="622">
        <v>0</v>
      </c>
      <c r="J22" s="622">
        <v>0</v>
      </c>
      <c r="K22" s="622">
        <f t="shared" si="0"/>
        <v>4932157853.4530993</v>
      </c>
      <c r="L22" s="622">
        <f t="shared" si="1"/>
        <v>1848364013.2432795</v>
      </c>
      <c r="M22" s="622">
        <f t="shared" si="2"/>
        <v>355096121.3573631</v>
      </c>
      <c r="N22" s="622">
        <f t="shared" si="3"/>
        <v>149574926</v>
      </c>
      <c r="O22" s="600"/>
      <c r="P22" s="600"/>
    </row>
    <row r="23" spans="1:16">
      <c r="A23" s="603">
        <v>13</v>
      </c>
      <c r="B23" s="600" t="s">
        <v>536</v>
      </c>
      <c r="C23" s="622">
        <v>5014324804.48736</v>
      </c>
      <c r="D23" s="622">
        <v>1860327645.2164896</v>
      </c>
      <c r="E23" s="622">
        <v>368368342.26900208</v>
      </c>
      <c r="F23" s="622">
        <v>149574926</v>
      </c>
      <c r="G23" s="622">
        <v>5787854.4500000011</v>
      </c>
      <c r="H23" s="622"/>
      <c r="I23" s="622"/>
      <c r="J23" s="622">
        <v>0</v>
      </c>
      <c r="K23" s="622">
        <f t="shared" si="0"/>
        <v>5008536950.0373602</v>
      </c>
      <c r="L23" s="622">
        <f t="shared" si="1"/>
        <v>1860327645.2164896</v>
      </c>
      <c r="M23" s="622">
        <f t="shared" si="2"/>
        <v>368368342.26900208</v>
      </c>
      <c r="N23" s="622">
        <f t="shared" si="3"/>
        <v>149574926</v>
      </c>
      <c r="O23" s="600"/>
      <c r="P23" s="600"/>
    </row>
    <row r="24" spans="1:16" ht="13.5" thickBot="1">
      <c r="A24" s="603">
        <v>14</v>
      </c>
      <c r="B24" s="602" t="s">
        <v>537</v>
      </c>
      <c r="C24" s="624">
        <f t="shared" ref="C24:J24" si="4">SUM(C11:C23)/13</f>
        <v>4841059600.7650785</v>
      </c>
      <c r="D24" s="624">
        <f t="shared" si="4"/>
        <v>1829026357.6987534</v>
      </c>
      <c r="E24" s="624">
        <f t="shared" si="4"/>
        <v>328220831.99740028</v>
      </c>
      <c r="F24" s="624">
        <f t="shared" si="4"/>
        <v>149574926</v>
      </c>
      <c r="G24" s="624">
        <f t="shared" si="4"/>
        <v>5791286.31692308</v>
      </c>
      <c r="H24" s="624">
        <f t="shared" si="4"/>
        <v>0</v>
      </c>
      <c r="I24" s="624">
        <f t="shared" si="4"/>
        <v>0</v>
      </c>
      <c r="J24" s="624">
        <f t="shared" si="4"/>
        <v>0</v>
      </c>
      <c r="K24" s="624">
        <f t="shared" ref="K24:N24" si="5">SUM(K11:K23)/13</f>
        <v>4835268314.4481564</v>
      </c>
      <c r="L24" s="624">
        <f t="shared" si="5"/>
        <v>1829026357.6987534</v>
      </c>
      <c r="M24" s="624">
        <f t="shared" si="5"/>
        <v>328220831.99740028</v>
      </c>
      <c r="N24" s="624">
        <f t="shared" si="5"/>
        <v>149574926</v>
      </c>
      <c r="O24" s="600"/>
    </row>
    <row r="25" spans="1:16" ht="14" thickTop="1" thickBot="1">
      <c r="A25" s="603"/>
      <c r="B25" s="600"/>
      <c r="C25" s="625"/>
      <c r="D25" s="625"/>
      <c r="E25" s="626"/>
      <c r="F25" s="626"/>
      <c r="G25" s="600"/>
      <c r="H25" s="600"/>
      <c r="I25" s="625"/>
      <c r="J25" s="625"/>
      <c r="K25" s="625"/>
      <c r="L25" s="625"/>
    </row>
    <row r="26" spans="1:16" s="871" customFormat="1" ht="15" thickBot="1">
      <c r="A26" s="870"/>
      <c r="B26" s="607"/>
      <c r="C26" s="1985" t="s">
        <v>1265</v>
      </c>
      <c r="D26" s="1988"/>
      <c r="E26" s="1988"/>
      <c r="F26" s="1988"/>
      <c r="G26" s="1990"/>
      <c r="H26" s="1987"/>
      <c r="I26" s="1985" t="s">
        <v>1263</v>
      </c>
      <c r="J26" s="1990"/>
      <c r="K26" s="1990"/>
      <c r="L26" s="1990"/>
      <c r="M26" s="1990"/>
      <c r="N26" s="1987"/>
    </row>
    <row r="27" spans="1:16" s="612" customFormat="1" ht="26">
      <c r="A27" s="609" t="s">
        <v>507</v>
      </c>
      <c r="B27" s="610" t="s">
        <v>170</v>
      </c>
      <c r="C27" s="610" t="s">
        <v>567</v>
      </c>
      <c r="D27" s="610" t="s">
        <v>229</v>
      </c>
      <c r="E27" s="610" t="s">
        <v>806</v>
      </c>
      <c r="F27" s="611" t="s">
        <v>807</v>
      </c>
      <c r="G27" s="611" t="s">
        <v>808</v>
      </c>
      <c r="H27" s="611" t="s">
        <v>809</v>
      </c>
      <c r="I27" s="610" t="s">
        <v>567</v>
      </c>
      <c r="J27" s="610" t="s">
        <v>229</v>
      </c>
      <c r="K27" s="610" t="s">
        <v>806</v>
      </c>
      <c r="L27" s="611" t="s">
        <v>807</v>
      </c>
      <c r="M27" s="611" t="s">
        <v>808</v>
      </c>
      <c r="N27" s="611" t="s">
        <v>809</v>
      </c>
    </row>
    <row r="28" spans="1:16" s="614" customFormat="1">
      <c r="A28" s="603"/>
      <c r="B28" s="608" t="s">
        <v>513</v>
      </c>
      <c r="C28" s="608" t="s">
        <v>514</v>
      </c>
      <c r="D28" s="608" t="s">
        <v>515</v>
      </c>
      <c r="E28" s="610" t="s">
        <v>516</v>
      </c>
      <c r="F28" s="608" t="s">
        <v>517</v>
      </c>
      <c r="G28" s="608" t="s">
        <v>518</v>
      </c>
      <c r="H28" s="610" t="s">
        <v>519</v>
      </c>
      <c r="I28" s="608" t="s">
        <v>520</v>
      </c>
      <c r="J28" s="608" t="s">
        <v>521</v>
      </c>
      <c r="K28" s="610" t="s">
        <v>522</v>
      </c>
      <c r="L28" s="608" t="s">
        <v>523</v>
      </c>
      <c r="M28" s="610" t="s">
        <v>552</v>
      </c>
      <c r="N28" s="610" t="s">
        <v>771</v>
      </c>
      <c r="O28" s="600"/>
    </row>
    <row r="29" spans="1:16" s="614" customFormat="1">
      <c r="A29" s="603"/>
      <c r="B29" s="615" t="s">
        <v>1892</v>
      </c>
      <c r="C29" s="939"/>
      <c r="D29" s="604"/>
      <c r="E29" s="604"/>
      <c r="G29" s="616"/>
      <c r="H29" s="616"/>
      <c r="I29" s="604"/>
      <c r="J29" s="604"/>
      <c r="K29" s="604"/>
      <c r="L29" s="616"/>
    </row>
    <row r="30" spans="1:16" s="614" customFormat="1" ht="65">
      <c r="A30" s="603"/>
      <c r="B30" s="608"/>
      <c r="C30" s="618" t="s">
        <v>975</v>
      </c>
      <c r="D30" s="618" t="s">
        <v>974</v>
      </c>
      <c r="E30" s="619" t="s">
        <v>976</v>
      </c>
      <c r="F30" s="896" t="s">
        <v>977</v>
      </c>
      <c r="G30" s="620" t="s">
        <v>525</v>
      </c>
      <c r="H30" s="620" t="s">
        <v>525</v>
      </c>
      <c r="I30" s="618" t="s">
        <v>975</v>
      </c>
      <c r="J30" s="618" t="s">
        <v>974</v>
      </c>
      <c r="K30" s="619" t="s">
        <v>976</v>
      </c>
      <c r="L30" s="896" t="s">
        <v>977</v>
      </c>
      <c r="M30" s="620" t="s">
        <v>525</v>
      </c>
      <c r="N30" s="620" t="s">
        <v>525</v>
      </c>
    </row>
    <row r="31" spans="1:16">
      <c r="A31" s="603">
        <v>15</v>
      </c>
      <c r="B31" s="621" t="s">
        <v>527</v>
      </c>
      <c r="C31" s="622">
        <f>+'5 - Cost Support 1'!I217</f>
        <v>1153616498</v>
      </c>
      <c r="D31" s="622">
        <v>421664575.08000004</v>
      </c>
      <c r="E31" s="622">
        <f>'5 - Cost Support 1'!I221</f>
        <v>71482893</v>
      </c>
      <c r="F31" s="622">
        <f>'5 - Cost Support 1'!I218</f>
        <v>16120897</v>
      </c>
      <c r="G31" s="622">
        <v>61423513</v>
      </c>
      <c r="H31" s="622">
        <v>26610118</v>
      </c>
      <c r="I31" s="622">
        <v>629751.31999999995</v>
      </c>
      <c r="J31" s="622"/>
      <c r="K31" s="622">
        <v>0</v>
      </c>
      <c r="L31" s="622">
        <v>0</v>
      </c>
      <c r="M31" s="622">
        <v>0</v>
      </c>
      <c r="N31" s="622">
        <v>0</v>
      </c>
      <c r="P31" s="600"/>
    </row>
    <row r="32" spans="1:16">
      <c r="A32" s="603">
        <v>16</v>
      </c>
      <c r="B32" s="621" t="s">
        <v>528</v>
      </c>
      <c r="C32" s="622">
        <v>1165120608.5665946</v>
      </c>
      <c r="D32" s="622">
        <v>425716233.16418207</v>
      </c>
      <c r="E32" s="622">
        <v>72776291.691373989</v>
      </c>
      <c r="F32" s="622">
        <v>17735250.210085798</v>
      </c>
      <c r="G32" s="622">
        <v>61423513</v>
      </c>
      <c r="H32" s="622">
        <v>26610118</v>
      </c>
      <c r="I32" s="622">
        <v>624590.21</v>
      </c>
      <c r="J32" s="622"/>
      <c r="K32" s="622">
        <v>0</v>
      </c>
      <c r="L32" s="622">
        <v>0</v>
      </c>
      <c r="M32" s="622">
        <v>0</v>
      </c>
      <c r="N32" s="622">
        <v>0</v>
      </c>
      <c r="P32" s="600"/>
    </row>
    <row r="33" spans="1:16">
      <c r="A33" s="603">
        <v>17</v>
      </c>
      <c r="B33" s="600" t="s">
        <v>529</v>
      </c>
      <c r="C33" s="622">
        <v>1176667487.518605</v>
      </c>
      <c r="D33" s="622">
        <v>429774830.27038205</v>
      </c>
      <c r="E33" s="622">
        <v>74081571.621693969</v>
      </c>
      <c r="F33" s="622">
        <v>19364022.9119827</v>
      </c>
      <c r="G33" s="622">
        <v>61423513</v>
      </c>
      <c r="H33" s="622">
        <v>26610118</v>
      </c>
      <c r="I33" s="622">
        <v>644452.19000000006</v>
      </c>
      <c r="J33" s="622"/>
      <c r="K33" s="622">
        <v>0</v>
      </c>
      <c r="L33" s="622">
        <v>0</v>
      </c>
      <c r="M33" s="622">
        <v>0</v>
      </c>
      <c r="N33" s="622">
        <v>0</v>
      </c>
      <c r="P33" s="600"/>
    </row>
    <row r="34" spans="1:16">
      <c r="A34" s="603">
        <v>18</v>
      </c>
      <c r="B34" s="600" t="s">
        <v>530</v>
      </c>
      <c r="C34" s="622">
        <v>1188260591.4762108</v>
      </c>
      <c r="D34" s="622">
        <v>433841633.07824904</v>
      </c>
      <c r="E34" s="622">
        <v>75401007.770657986</v>
      </c>
      <c r="F34" s="622">
        <v>21122044.3897475</v>
      </c>
      <c r="G34" s="622">
        <v>61423513</v>
      </c>
      <c r="H34" s="622">
        <v>26610118</v>
      </c>
      <c r="I34" s="622">
        <v>657450.83000000007</v>
      </c>
      <c r="J34" s="622"/>
      <c r="K34" s="622">
        <v>0</v>
      </c>
      <c r="L34" s="622">
        <v>0</v>
      </c>
      <c r="M34" s="622">
        <v>0</v>
      </c>
      <c r="N34" s="622">
        <v>0</v>
      </c>
      <c r="P34" s="600"/>
    </row>
    <row r="35" spans="1:16">
      <c r="A35" s="603">
        <v>19</v>
      </c>
      <c r="B35" s="600" t="s">
        <v>172</v>
      </c>
      <c r="C35" s="622">
        <v>1199901727.9457245</v>
      </c>
      <c r="D35" s="622">
        <v>437923512.46692502</v>
      </c>
      <c r="E35" s="622">
        <v>76731138.597530991</v>
      </c>
      <c r="F35" s="622">
        <v>22941399.168551698</v>
      </c>
      <c r="G35" s="622">
        <v>61423513</v>
      </c>
      <c r="H35" s="622">
        <v>26610118</v>
      </c>
      <c r="I35" s="622">
        <v>657450.83000000007</v>
      </c>
      <c r="J35" s="622"/>
      <c r="K35" s="622">
        <v>0</v>
      </c>
      <c r="L35" s="622">
        <v>0</v>
      </c>
      <c r="M35" s="622">
        <v>0</v>
      </c>
      <c r="N35" s="622">
        <v>0</v>
      </c>
      <c r="P35" s="600"/>
    </row>
    <row r="36" spans="1:16" ht="13.5" customHeight="1">
      <c r="A36" s="603">
        <v>20</v>
      </c>
      <c r="B36" s="600" t="s">
        <v>173</v>
      </c>
      <c r="C36" s="622">
        <v>1211596636.1685827</v>
      </c>
      <c r="D36" s="622">
        <v>442013941.04232508</v>
      </c>
      <c r="E36" s="622">
        <v>78069674.82056798</v>
      </c>
      <c r="F36" s="622">
        <v>24768523.482650399</v>
      </c>
      <c r="G36" s="622">
        <v>61423513</v>
      </c>
      <c r="H36" s="622">
        <v>26610118</v>
      </c>
      <c r="I36" s="622">
        <v>657450.83000000007</v>
      </c>
      <c r="J36" s="622"/>
      <c r="K36" s="622">
        <v>0</v>
      </c>
      <c r="L36" s="622">
        <v>0</v>
      </c>
      <c r="M36" s="622">
        <v>0</v>
      </c>
      <c r="N36" s="622">
        <v>0</v>
      </c>
      <c r="P36" s="600"/>
    </row>
    <row r="37" spans="1:16">
      <c r="A37" s="603">
        <v>21</v>
      </c>
      <c r="B37" s="600" t="s">
        <v>174</v>
      </c>
      <c r="C37" s="622">
        <v>1223340867.408139</v>
      </c>
      <c r="D37" s="622">
        <v>446120517.03342104</v>
      </c>
      <c r="E37" s="622">
        <v>79421293.911115974</v>
      </c>
      <c r="F37" s="622">
        <v>26670399.577217601</v>
      </c>
      <c r="G37" s="622">
        <v>61423513</v>
      </c>
      <c r="H37" s="622">
        <v>26610118</v>
      </c>
      <c r="I37" s="622">
        <v>657450.83000000007</v>
      </c>
      <c r="J37" s="622"/>
      <c r="K37" s="622">
        <v>0</v>
      </c>
      <c r="L37" s="622">
        <v>0</v>
      </c>
      <c r="M37" s="622">
        <v>0</v>
      </c>
      <c r="N37" s="622">
        <v>0</v>
      </c>
      <c r="P37" s="600"/>
    </row>
    <row r="38" spans="1:16">
      <c r="A38" s="603">
        <v>22</v>
      </c>
      <c r="B38" s="600" t="s">
        <v>531</v>
      </c>
      <c r="C38" s="622">
        <v>1235146772.5395329</v>
      </c>
      <c r="D38" s="622">
        <v>450233046.44858104</v>
      </c>
      <c r="E38" s="622">
        <v>80793227.13039799</v>
      </c>
      <c r="F38" s="622">
        <v>28613875.727010299</v>
      </c>
      <c r="G38" s="622">
        <v>61423513</v>
      </c>
      <c r="H38" s="622">
        <v>26610118</v>
      </c>
      <c r="I38" s="622">
        <v>657450.83000000007</v>
      </c>
      <c r="J38" s="622"/>
      <c r="K38" s="622">
        <v>0</v>
      </c>
      <c r="L38" s="622">
        <v>0</v>
      </c>
      <c r="M38" s="622">
        <v>0</v>
      </c>
      <c r="N38" s="622">
        <v>0</v>
      </c>
      <c r="P38" s="600"/>
    </row>
    <row r="39" spans="1:16">
      <c r="A39" s="603">
        <v>23</v>
      </c>
      <c r="B39" s="600" t="s">
        <v>532</v>
      </c>
      <c r="C39" s="622">
        <v>1246994417.5839736</v>
      </c>
      <c r="D39" s="622">
        <v>454351048.46667701</v>
      </c>
      <c r="E39" s="622">
        <v>82179689.264740974</v>
      </c>
      <c r="F39" s="622">
        <v>30576434.630110502</v>
      </c>
      <c r="G39" s="622">
        <v>61423513</v>
      </c>
      <c r="H39" s="622">
        <v>26610118</v>
      </c>
      <c r="I39" s="622">
        <v>657450.83000000007</v>
      </c>
      <c r="J39" s="622"/>
      <c r="K39" s="622">
        <v>0</v>
      </c>
      <c r="L39" s="622">
        <v>0</v>
      </c>
      <c r="M39" s="622">
        <v>0</v>
      </c>
      <c r="N39" s="622">
        <v>0</v>
      </c>
      <c r="P39" s="600"/>
    </row>
    <row r="40" spans="1:16">
      <c r="A40" s="603">
        <v>24</v>
      </c>
      <c r="B40" s="600" t="s">
        <v>533</v>
      </c>
      <c r="C40" s="622">
        <v>1258885670.1083043</v>
      </c>
      <c r="D40" s="622">
        <v>458476478.583009</v>
      </c>
      <c r="E40" s="622">
        <v>83579457.069890991</v>
      </c>
      <c r="F40" s="622">
        <v>32546981.239593398</v>
      </c>
      <c r="G40" s="622">
        <v>61423513</v>
      </c>
      <c r="H40" s="622">
        <v>26610118</v>
      </c>
      <c r="I40" s="622">
        <v>657450.83000000007</v>
      </c>
      <c r="J40" s="622"/>
      <c r="K40" s="622">
        <v>0</v>
      </c>
      <c r="L40" s="622">
        <v>0</v>
      </c>
      <c r="M40" s="622">
        <v>0</v>
      </c>
      <c r="N40" s="622">
        <v>0</v>
      </c>
      <c r="P40" s="600"/>
    </row>
    <row r="41" spans="1:16">
      <c r="A41" s="603">
        <v>25</v>
      </c>
      <c r="B41" s="600" t="s">
        <v>534</v>
      </c>
      <c r="C41" s="622">
        <v>1270832464.139533</v>
      </c>
      <c r="D41" s="622">
        <v>462612282.19413602</v>
      </c>
      <c r="E41" s="622">
        <v>85004505.110947981</v>
      </c>
      <c r="F41" s="622">
        <v>34536376.263899304</v>
      </c>
      <c r="G41" s="622">
        <v>61423513</v>
      </c>
      <c r="H41" s="622">
        <v>26610118</v>
      </c>
      <c r="I41" s="622">
        <v>657450.83000000007</v>
      </c>
      <c r="J41" s="622"/>
      <c r="K41" s="622">
        <v>0</v>
      </c>
      <c r="L41" s="622">
        <v>0</v>
      </c>
      <c r="M41" s="622">
        <v>0</v>
      </c>
      <c r="N41" s="622">
        <v>0</v>
      </c>
      <c r="P41" s="600"/>
    </row>
    <row r="42" spans="1:16">
      <c r="A42" s="603">
        <v>26</v>
      </c>
      <c r="B42" s="600" t="s">
        <v>535</v>
      </c>
      <c r="C42" s="622">
        <v>1282814628.9117994</v>
      </c>
      <c r="D42" s="622">
        <v>466756220.54397297</v>
      </c>
      <c r="E42" s="622">
        <v>86439814.097837999</v>
      </c>
      <c r="F42" s="622">
        <v>36538117.549483091</v>
      </c>
      <c r="G42" s="622">
        <v>61423513</v>
      </c>
      <c r="H42" s="622">
        <v>26610118</v>
      </c>
      <c r="I42" s="622">
        <v>657450.83000000007</v>
      </c>
      <c r="J42" s="622"/>
      <c r="K42" s="622">
        <v>0</v>
      </c>
      <c r="L42" s="622">
        <v>0</v>
      </c>
      <c r="M42" s="622">
        <v>0</v>
      </c>
      <c r="N42" s="622">
        <v>0</v>
      </c>
      <c r="P42" s="600"/>
    </row>
    <row r="43" spans="1:16">
      <c r="A43" s="603">
        <v>27</v>
      </c>
      <c r="B43" s="600" t="s">
        <v>536</v>
      </c>
      <c r="C43" s="622">
        <v>1294990862.2364416</v>
      </c>
      <c r="D43" s="622">
        <v>470927030.90208101</v>
      </c>
      <c r="E43" s="622">
        <v>87922393.815357</v>
      </c>
      <c r="F43" s="622">
        <v>38570881.99402979</v>
      </c>
      <c r="G43" s="622">
        <v>61423513</v>
      </c>
      <c r="H43" s="622">
        <v>26610118</v>
      </c>
      <c r="I43" s="622">
        <v>657450.83000000007</v>
      </c>
      <c r="J43" s="622"/>
      <c r="K43" s="622">
        <v>0</v>
      </c>
      <c r="L43" s="622">
        <v>0</v>
      </c>
      <c r="M43" s="622">
        <v>0</v>
      </c>
      <c r="N43" s="622">
        <v>0</v>
      </c>
      <c r="P43" s="600"/>
    </row>
    <row r="44" spans="1:16" ht="13.5" thickBot="1">
      <c r="A44" s="603">
        <v>28</v>
      </c>
      <c r="B44" s="602" t="s">
        <v>537</v>
      </c>
      <c r="C44" s="624">
        <f t="shared" ref="C44:L44" si="6">SUM(C31:C43)/13</f>
        <v>1223705325.5848804</v>
      </c>
      <c r="D44" s="624">
        <f t="shared" si="6"/>
        <v>446185488.40568775</v>
      </c>
      <c r="E44" s="624">
        <f t="shared" si="6"/>
        <v>79529458.300162598</v>
      </c>
      <c r="F44" s="624">
        <f t="shared" si="6"/>
        <v>26931169.549566314</v>
      </c>
      <c r="G44" s="624">
        <f t="shared" si="6"/>
        <v>61423513</v>
      </c>
      <c r="H44" s="624">
        <f t="shared" si="6"/>
        <v>26610118</v>
      </c>
      <c r="I44" s="624">
        <f t="shared" si="6"/>
        <v>651792.46307692304</v>
      </c>
      <c r="J44" s="624">
        <f t="shared" si="6"/>
        <v>0</v>
      </c>
      <c r="K44" s="624">
        <f t="shared" si="6"/>
        <v>0</v>
      </c>
      <c r="L44" s="624">
        <f t="shared" si="6"/>
        <v>0</v>
      </c>
      <c r="M44" s="624">
        <f t="shared" ref="M44:N44" si="7">SUM(M31:M43)/13</f>
        <v>0</v>
      </c>
      <c r="N44" s="624">
        <f t="shared" si="7"/>
        <v>0</v>
      </c>
    </row>
    <row r="45" spans="1:16" ht="14" thickTop="1" thickBot="1"/>
    <row r="46" spans="1:16" s="871" customFormat="1" ht="15" thickBot="1">
      <c r="A46" s="872"/>
      <c r="C46" s="1985" t="s">
        <v>866</v>
      </c>
      <c r="D46" s="1986"/>
      <c r="E46" s="1986"/>
      <c r="F46" s="1986"/>
      <c r="G46" s="1986"/>
      <c r="H46" s="1987"/>
    </row>
    <row r="47" spans="1:16" ht="26">
      <c r="A47" s="873" t="s">
        <v>507</v>
      </c>
      <c r="B47" s="610" t="s">
        <v>170</v>
      </c>
      <c r="C47" s="610" t="s">
        <v>567</v>
      </c>
      <c r="D47" s="610" t="s">
        <v>229</v>
      </c>
      <c r="E47" s="610" t="s">
        <v>151</v>
      </c>
      <c r="F47" s="610" t="s">
        <v>375</v>
      </c>
      <c r="G47" s="875" t="s">
        <v>810</v>
      </c>
      <c r="H47" s="875" t="s">
        <v>811</v>
      </c>
    </row>
    <row r="48" spans="1:16">
      <c r="A48" s="870"/>
      <c r="B48" s="608" t="s">
        <v>513</v>
      </c>
      <c r="C48" s="608" t="s">
        <v>514</v>
      </c>
      <c r="D48" s="608" t="s">
        <v>515</v>
      </c>
      <c r="E48" s="610" t="s">
        <v>516</v>
      </c>
      <c r="F48" s="608" t="s">
        <v>517</v>
      </c>
      <c r="G48" s="608" t="s">
        <v>518</v>
      </c>
      <c r="H48" s="610" t="s">
        <v>519</v>
      </c>
    </row>
    <row r="49" spans="1:8">
      <c r="A49" s="870"/>
      <c r="B49" s="874" t="s">
        <v>1892</v>
      </c>
      <c r="C49" s="604">
        <v>9</v>
      </c>
      <c r="D49" s="604">
        <v>30</v>
      </c>
      <c r="E49" s="604">
        <v>31</v>
      </c>
      <c r="F49" s="604">
        <v>32</v>
      </c>
      <c r="G49" s="604">
        <v>12</v>
      </c>
      <c r="H49" s="604">
        <v>11</v>
      </c>
    </row>
    <row r="50" spans="1:8">
      <c r="A50" s="870"/>
      <c r="B50" s="608"/>
      <c r="C50" s="618" t="s">
        <v>978</v>
      </c>
      <c r="D50" s="618" t="s">
        <v>979</v>
      </c>
      <c r="E50" s="618" t="s">
        <v>980</v>
      </c>
      <c r="F50" s="618" t="s">
        <v>981</v>
      </c>
      <c r="G50" s="618" t="s">
        <v>983</v>
      </c>
      <c r="H50" s="618" t="s">
        <v>982</v>
      </c>
    </row>
    <row r="51" spans="1:8">
      <c r="A51" s="870">
        <v>29</v>
      </c>
      <c r="B51" s="621" t="s">
        <v>527</v>
      </c>
      <c r="C51" s="622">
        <f t="shared" ref="C51:C63" si="8">+C31-I31</f>
        <v>1152986746.6800001</v>
      </c>
      <c r="D51" s="622">
        <f t="shared" ref="D51:D63" si="9">+D31-J31</f>
        <v>421664575.08000004</v>
      </c>
      <c r="E51" s="622">
        <f t="shared" ref="E51:E63" si="10">+E31-K31</f>
        <v>71482893</v>
      </c>
      <c r="F51" s="622">
        <f t="shared" ref="F51:F63" si="11">+F31-L31</f>
        <v>16120897</v>
      </c>
      <c r="G51" s="622">
        <f t="shared" ref="G51:H62" si="12">+G31-M31</f>
        <v>61423513</v>
      </c>
      <c r="H51" s="622">
        <f t="shared" si="12"/>
        <v>26610118</v>
      </c>
    </row>
    <row r="52" spans="1:8">
      <c r="A52" s="870">
        <v>30</v>
      </c>
      <c r="B52" s="621" t="s">
        <v>528</v>
      </c>
      <c r="C52" s="622">
        <f t="shared" si="8"/>
        <v>1164496018.3565946</v>
      </c>
      <c r="D52" s="622">
        <f t="shared" si="9"/>
        <v>425716233.16418207</v>
      </c>
      <c r="E52" s="622">
        <f t="shared" si="10"/>
        <v>72776291.691373989</v>
      </c>
      <c r="F52" s="622">
        <f t="shared" si="11"/>
        <v>17735250.210085798</v>
      </c>
      <c r="G52" s="622">
        <f t="shared" si="12"/>
        <v>61423513</v>
      </c>
      <c r="H52" s="622">
        <f t="shared" si="12"/>
        <v>26610118</v>
      </c>
    </row>
    <row r="53" spans="1:8">
      <c r="A53" s="870">
        <v>31</v>
      </c>
      <c r="B53" s="600" t="s">
        <v>529</v>
      </c>
      <c r="C53" s="622">
        <f t="shared" si="8"/>
        <v>1176023035.3286049</v>
      </c>
      <c r="D53" s="622">
        <f t="shared" si="9"/>
        <v>429774830.27038205</v>
      </c>
      <c r="E53" s="622">
        <f t="shared" si="10"/>
        <v>74081571.621693969</v>
      </c>
      <c r="F53" s="622">
        <f t="shared" si="11"/>
        <v>19364022.9119827</v>
      </c>
      <c r="G53" s="622">
        <f t="shared" si="12"/>
        <v>61423513</v>
      </c>
      <c r="H53" s="622">
        <f t="shared" si="12"/>
        <v>26610118</v>
      </c>
    </row>
    <row r="54" spans="1:8">
      <c r="A54" s="870">
        <v>32</v>
      </c>
      <c r="B54" s="600" t="s">
        <v>530</v>
      </c>
      <c r="C54" s="622">
        <f t="shared" si="8"/>
        <v>1187603140.6462109</v>
      </c>
      <c r="D54" s="622">
        <f t="shared" si="9"/>
        <v>433841633.07824904</v>
      </c>
      <c r="E54" s="622">
        <f t="shared" si="10"/>
        <v>75401007.770657986</v>
      </c>
      <c r="F54" s="622">
        <f t="shared" si="11"/>
        <v>21122044.3897475</v>
      </c>
      <c r="G54" s="622">
        <f t="shared" si="12"/>
        <v>61423513</v>
      </c>
      <c r="H54" s="622">
        <f t="shared" si="12"/>
        <v>26610118</v>
      </c>
    </row>
    <row r="55" spans="1:8">
      <c r="A55" s="870">
        <v>33</v>
      </c>
      <c r="B55" s="600" t="s">
        <v>172</v>
      </c>
      <c r="C55" s="622">
        <f t="shared" si="8"/>
        <v>1199244277.1157246</v>
      </c>
      <c r="D55" s="622">
        <f t="shared" si="9"/>
        <v>437923512.46692502</v>
      </c>
      <c r="E55" s="622">
        <f t="shared" si="10"/>
        <v>76731138.597530991</v>
      </c>
      <c r="F55" s="622">
        <f t="shared" si="11"/>
        <v>22941399.168551698</v>
      </c>
      <c r="G55" s="622">
        <f t="shared" si="12"/>
        <v>61423513</v>
      </c>
      <c r="H55" s="622">
        <f t="shared" si="12"/>
        <v>26610118</v>
      </c>
    </row>
    <row r="56" spans="1:8">
      <c r="A56" s="870">
        <v>34</v>
      </c>
      <c r="B56" s="600" t="s">
        <v>173</v>
      </c>
      <c r="C56" s="622">
        <f t="shared" si="8"/>
        <v>1210939185.3385828</v>
      </c>
      <c r="D56" s="622">
        <f t="shared" si="9"/>
        <v>442013941.04232508</v>
      </c>
      <c r="E56" s="622">
        <f t="shared" si="10"/>
        <v>78069674.82056798</v>
      </c>
      <c r="F56" s="622">
        <f t="shared" si="11"/>
        <v>24768523.482650399</v>
      </c>
      <c r="G56" s="622">
        <f t="shared" si="12"/>
        <v>61423513</v>
      </c>
      <c r="H56" s="622">
        <f t="shared" si="12"/>
        <v>26610118</v>
      </c>
    </row>
    <row r="57" spans="1:8">
      <c r="A57" s="870">
        <v>35</v>
      </c>
      <c r="B57" s="600" t="s">
        <v>174</v>
      </c>
      <c r="C57" s="622">
        <f t="shared" si="8"/>
        <v>1222683416.5781391</v>
      </c>
      <c r="D57" s="622">
        <f t="shared" si="9"/>
        <v>446120517.03342104</v>
      </c>
      <c r="E57" s="622">
        <f t="shared" si="10"/>
        <v>79421293.911115974</v>
      </c>
      <c r="F57" s="622">
        <f t="shared" si="11"/>
        <v>26670399.577217601</v>
      </c>
      <c r="G57" s="622">
        <f t="shared" si="12"/>
        <v>61423513</v>
      </c>
      <c r="H57" s="622">
        <f t="shared" si="12"/>
        <v>26610118</v>
      </c>
    </row>
    <row r="58" spans="1:8">
      <c r="A58" s="870">
        <v>36</v>
      </c>
      <c r="B58" s="600" t="s">
        <v>531</v>
      </c>
      <c r="C58" s="622">
        <f t="shared" si="8"/>
        <v>1234489321.709533</v>
      </c>
      <c r="D58" s="622">
        <f t="shared" si="9"/>
        <v>450233046.44858104</v>
      </c>
      <c r="E58" s="622">
        <f>+E38-K38</f>
        <v>80793227.13039799</v>
      </c>
      <c r="F58" s="622">
        <f t="shared" si="11"/>
        <v>28613875.727010299</v>
      </c>
      <c r="G58" s="622">
        <f t="shared" si="12"/>
        <v>61423513</v>
      </c>
      <c r="H58" s="622">
        <f t="shared" si="12"/>
        <v>26610118</v>
      </c>
    </row>
    <row r="59" spans="1:8">
      <c r="A59" s="870">
        <v>37</v>
      </c>
      <c r="B59" s="600" t="s">
        <v>532</v>
      </c>
      <c r="C59" s="622">
        <f t="shared" si="8"/>
        <v>1246336966.7539737</v>
      </c>
      <c r="D59" s="622">
        <f t="shared" si="9"/>
        <v>454351048.46667701</v>
      </c>
      <c r="E59" s="622">
        <f>+E39-K39</f>
        <v>82179689.264740974</v>
      </c>
      <c r="F59" s="622">
        <f t="shared" si="11"/>
        <v>30576434.630110502</v>
      </c>
      <c r="G59" s="622">
        <f t="shared" si="12"/>
        <v>61423513</v>
      </c>
      <c r="H59" s="622">
        <f t="shared" si="12"/>
        <v>26610118</v>
      </c>
    </row>
    <row r="60" spans="1:8">
      <c r="A60" s="870">
        <v>38</v>
      </c>
      <c r="B60" s="600" t="s">
        <v>533</v>
      </c>
      <c r="C60" s="622">
        <f t="shared" si="8"/>
        <v>1258228219.2783043</v>
      </c>
      <c r="D60" s="622">
        <f t="shared" si="9"/>
        <v>458476478.583009</v>
      </c>
      <c r="E60" s="622">
        <f>+E40-K40</f>
        <v>83579457.069890991</v>
      </c>
      <c r="F60" s="622">
        <f t="shared" si="11"/>
        <v>32546981.239593398</v>
      </c>
      <c r="G60" s="622">
        <f t="shared" si="12"/>
        <v>61423513</v>
      </c>
      <c r="H60" s="622">
        <f t="shared" si="12"/>
        <v>26610118</v>
      </c>
    </row>
    <row r="61" spans="1:8">
      <c r="A61" s="870">
        <v>39</v>
      </c>
      <c r="B61" s="600" t="s">
        <v>534</v>
      </c>
      <c r="C61" s="622">
        <f t="shared" si="8"/>
        <v>1270175013.3095331</v>
      </c>
      <c r="D61" s="622">
        <f t="shared" si="9"/>
        <v>462612282.19413602</v>
      </c>
      <c r="E61" s="622">
        <f t="shared" si="10"/>
        <v>85004505.110947981</v>
      </c>
      <c r="F61" s="622">
        <f t="shared" si="11"/>
        <v>34536376.263899304</v>
      </c>
      <c r="G61" s="622">
        <f t="shared" si="12"/>
        <v>61423513</v>
      </c>
      <c r="H61" s="622">
        <f t="shared" si="12"/>
        <v>26610118</v>
      </c>
    </row>
    <row r="62" spans="1:8">
      <c r="A62" s="870">
        <v>40</v>
      </c>
      <c r="B62" s="600" t="s">
        <v>535</v>
      </c>
      <c r="C62" s="622">
        <f t="shared" si="8"/>
        <v>1282157178.0817995</v>
      </c>
      <c r="D62" s="622">
        <f t="shared" si="9"/>
        <v>466756220.54397297</v>
      </c>
      <c r="E62" s="622">
        <f t="shared" si="10"/>
        <v>86439814.097837999</v>
      </c>
      <c r="F62" s="622">
        <f t="shared" si="11"/>
        <v>36538117.549483091</v>
      </c>
      <c r="G62" s="622">
        <f t="shared" si="12"/>
        <v>61423513</v>
      </c>
      <c r="H62" s="622">
        <f t="shared" si="12"/>
        <v>26610118</v>
      </c>
    </row>
    <row r="63" spans="1:8">
      <c r="A63" s="870">
        <v>41</v>
      </c>
      <c r="B63" s="600" t="s">
        <v>536</v>
      </c>
      <c r="C63" s="622">
        <f t="shared" si="8"/>
        <v>1294333411.4064417</v>
      </c>
      <c r="D63" s="622">
        <f t="shared" si="9"/>
        <v>470927030.90208101</v>
      </c>
      <c r="E63" s="622">
        <f t="shared" si="10"/>
        <v>87922393.815357</v>
      </c>
      <c r="F63" s="622">
        <f t="shared" si="11"/>
        <v>38570881.99402979</v>
      </c>
      <c r="G63" s="622">
        <f t="shared" ref="G63" si="13">+G43-M43</f>
        <v>61423513</v>
      </c>
      <c r="H63" s="622">
        <f t="shared" ref="H63" si="14">+H43-N43</f>
        <v>26610118</v>
      </c>
    </row>
    <row r="64" spans="1:8" ht="13.5" thickBot="1">
      <c r="A64" s="870">
        <v>42</v>
      </c>
      <c r="B64" s="602" t="s">
        <v>537</v>
      </c>
      <c r="C64" s="624">
        <f t="shared" ref="C64:F64" si="15">SUM(C51:C63)/13</f>
        <v>1223053533.121803</v>
      </c>
      <c r="D64" s="624">
        <f t="shared" si="15"/>
        <v>446185488.40568775</v>
      </c>
      <c r="E64" s="624">
        <f t="shared" si="15"/>
        <v>79529458.300162598</v>
      </c>
      <c r="F64" s="624">
        <f t="shared" si="15"/>
        <v>26931169.549566314</v>
      </c>
      <c r="G64" s="624">
        <f t="shared" ref="G64:H64" si="16">SUM(G51:G63)/13</f>
        <v>61423513</v>
      </c>
      <c r="H64" s="624">
        <f t="shared" si="16"/>
        <v>26610118</v>
      </c>
    </row>
    <row r="65" spans="1:2" ht="13.5" thickTop="1"/>
    <row r="68" spans="1:2">
      <c r="A68" s="603" t="s">
        <v>670</v>
      </c>
    </row>
    <row r="69" spans="1:2">
      <c r="A69" s="603" t="s">
        <v>9</v>
      </c>
      <c r="B69" s="1109" t="s">
        <v>1200</v>
      </c>
    </row>
    <row r="70" spans="1:2">
      <c r="A70" s="603"/>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7"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zoomScale="90" zoomScaleNormal="90" workbookViewId="0">
      <selection activeCell="G87" sqref="G87"/>
    </sheetView>
  </sheetViews>
  <sheetFormatPr defaultColWidth="9.1796875" defaultRowHeight="15.5"/>
  <cols>
    <col min="1" max="1" width="6.1796875" style="650" customWidth="1"/>
    <col min="2" max="2" width="79.7265625" style="650" customWidth="1"/>
    <col min="3" max="6" width="15" style="650" customWidth="1"/>
    <col min="7" max="7" width="14.1796875" style="650" bestFit="1" customWidth="1"/>
    <col min="8" max="8" width="9.1796875" style="650"/>
    <col min="9" max="9" width="17.7265625" style="650" bestFit="1" customWidth="1"/>
    <col min="10" max="10" width="16" style="650" bestFit="1" customWidth="1"/>
    <col min="11" max="11" width="9.1796875" style="650"/>
    <col min="12" max="12" width="11.453125" style="650" bestFit="1" customWidth="1"/>
    <col min="13" max="13" width="17.54296875" style="650" customWidth="1"/>
    <col min="14" max="16384" width="9.1796875" style="650"/>
  </cols>
  <sheetData>
    <row r="1" spans="1:13" ht="18">
      <c r="A1" s="1873" t="str">
        <f>+'ATT H-3D'!$A$4</f>
        <v>Delmarva Power &amp; Light Company</v>
      </c>
      <c r="B1" s="1873"/>
      <c r="C1" s="1873"/>
      <c r="D1" s="1873"/>
      <c r="E1" s="1873"/>
      <c r="F1" s="1873"/>
      <c r="I1" s="947"/>
    </row>
    <row r="2" spans="1:13" ht="20">
      <c r="A2" s="651"/>
      <c r="B2" s="652"/>
      <c r="C2" s="653"/>
      <c r="D2" s="649"/>
      <c r="E2" s="649"/>
      <c r="F2" s="649"/>
    </row>
    <row r="3" spans="1:13">
      <c r="A3" s="1991" t="s">
        <v>564</v>
      </c>
      <c r="B3" s="1991"/>
      <c r="C3" s="1991"/>
      <c r="D3" s="1991"/>
      <c r="E3" s="1991"/>
      <c r="F3" s="649"/>
    </row>
    <row r="4" spans="1:13">
      <c r="B4" s="647" t="s">
        <v>513</v>
      </c>
      <c r="C4" s="647" t="s">
        <v>514</v>
      </c>
      <c r="D4" s="647" t="s">
        <v>515</v>
      </c>
      <c r="E4" s="647" t="s">
        <v>516</v>
      </c>
      <c r="F4" s="647" t="s">
        <v>558</v>
      </c>
      <c r="G4" s="647" t="s">
        <v>559</v>
      </c>
      <c r="H4" s="943"/>
      <c r="I4" s="647"/>
      <c r="J4" s="647"/>
      <c r="K4" s="647"/>
      <c r="L4" s="647"/>
      <c r="M4" s="647"/>
    </row>
    <row r="5" spans="1:13">
      <c r="B5" s="654" t="s">
        <v>560</v>
      </c>
    </row>
    <row r="6" spans="1:13">
      <c r="B6" s="621" t="s">
        <v>561</v>
      </c>
      <c r="C6" s="655" t="s">
        <v>44</v>
      </c>
      <c r="D6" s="655" t="s">
        <v>775</v>
      </c>
      <c r="E6" s="656"/>
      <c r="F6" s="656"/>
      <c r="G6" s="657" t="s">
        <v>44</v>
      </c>
    </row>
    <row r="7" spans="1:13">
      <c r="A7" s="657">
        <v>1</v>
      </c>
      <c r="B7" s="658" t="s">
        <v>774</v>
      </c>
      <c r="C7" s="928">
        <v>0</v>
      </c>
      <c r="D7" s="975">
        <v>1</v>
      </c>
      <c r="E7" s="863"/>
      <c r="F7" s="863"/>
      <c r="G7" s="659">
        <f>+C7*D7</f>
        <v>0</v>
      </c>
      <c r="H7" s="657"/>
    </row>
    <row r="8" spans="1:13">
      <c r="A8" s="657">
        <v>2</v>
      </c>
      <c r="B8" s="658" t="s">
        <v>572</v>
      </c>
      <c r="C8" s="1525">
        <v>-18888.113177999992</v>
      </c>
      <c r="D8" s="975">
        <f>+'ATT H-3D'!H16</f>
        <v>0.13016492184368511</v>
      </c>
      <c r="E8" s="863"/>
      <c r="F8" s="863"/>
      <c r="G8" s="659">
        <f>+C8*D8</f>
        <v>-2458.5697755890478</v>
      </c>
      <c r="H8" s="657"/>
    </row>
    <row r="9" spans="1:13">
      <c r="A9" s="657">
        <v>3</v>
      </c>
      <c r="B9" s="658"/>
      <c r="C9" s="663"/>
      <c r="D9" s="863"/>
      <c r="E9" s="863"/>
      <c r="F9" s="863"/>
      <c r="G9" s="659">
        <f t="shared" ref="G9" si="0">+C9*D9</f>
        <v>0</v>
      </c>
      <c r="H9" s="657"/>
    </row>
    <row r="10" spans="1:13">
      <c r="A10" s="657">
        <v>4</v>
      </c>
      <c r="B10" s="621" t="s">
        <v>44</v>
      </c>
      <c r="C10" s="659">
        <f>SUM(C7:C9)</f>
        <v>-18888.113177999992</v>
      </c>
      <c r="D10" s="659"/>
      <c r="E10" s="659"/>
      <c r="F10" s="659"/>
      <c r="G10" s="659">
        <f>SUM(G7:G9)</f>
        <v>-2458.5697755890478</v>
      </c>
      <c r="H10" s="657"/>
      <c r="L10" s="1116"/>
    </row>
    <row r="11" spans="1:13">
      <c r="A11" s="657">
        <v>5</v>
      </c>
      <c r="B11" s="882"/>
      <c r="C11" s="882"/>
      <c r="D11" s="882"/>
      <c r="E11" s="882"/>
      <c r="F11" s="882"/>
      <c r="G11" s="882"/>
      <c r="H11" s="657"/>
      <c r="L11" s="1116"/>
    </row>
    <row r="12" spans="1:13">
      <c r="A12" s="657">
        <v>6</v>
      </c>
      <c r="B12" s="654" t="s">
        <v>813</v>
      </c>
      <c r="C12" s="882"/>
      <c r="D12" s="882"/>
      <c r="E12" s="882"/>
      <c r="F12" s="882"/>
      <c r="G12" s="882"/>
      <c r="H12" s="657"/>
      <c r="I12"/>
    </row>
    <row r="13" spans="1:13">
      <c r="A13" s="657">
        <v>7</v>
      </c>
      <c r="B13" s="621" t="s">
        <v>561</v>
      </c>
      <c r="C13" s="655" t="s">
        <v>44</v>
      </c>
      <c r="D13" s="655" t="s">
        <v>775</v>
      </c>
      <c r="E13" s="883"/>
      <c r="F13" s="883"/>
      <c r="G13" s="657" t="s">
        <v>44</v>
      </c>
      <c r="H13" s="657"/>
      <c r="I13"/>
    </row>
    <row r="14" spans="1:13">
      <c r="A14" s="657">
        <v>8</v>
      </c>
      <c r="B14" s="658" t="s">
        <v>814</v>
      </c>
      <c r="C14" s="1525">
        <f>+C86</f>
        <v>46449.733435675502</v>
      </c>
      <c r="D14" s="975">
        <f>+'ATT H-3D'!H16</f>
        <v>0.13016492184368511</v>
      </c>
      <c r="E14" s="885"/>
      <c r="F14" s="885"/>
      <c r="G14" s="886">
        <f>+C14*D14</f>
        <v>6046.125922314709</v>
      </c>
      <c r="H14" s="657"/>
      <c r="I14"/>
    </row>
    <row r="15" spans="1:13">
      <c r="A15" s="657">
        <v>9</v>
      </c>
      <c r="B15" s="658" t="s">
        <v>815</v>
      </c>
      <c r="C15" s="1525">
        <f>+D86</f>
        <v>186893.74550960038</v>
      </c>
      <c r="D15" s="975">
        <f>+'ATT H-3D'!H16</f>
        <v>0.13016492184368511</v>
      </c>
      <c r="E15" s="885"/>
      <c r="F15" s="885"/>
      <c r="G15" s="886">
        <f>+C15*D15</f>
        <v>24327.00977733071</v>
      </c>
      <c r="H15" s="657"/>
      <c r="I15"/>
    </row>
    <row r="16" spans="1:13">
      <c r="A16" s="657">
        <v>10</v>
      </c>
      <c r="B16" s="658"/>
      <c r="C16" s="884"/>
      <c r="D16" s="885"/>
      <c r="E16" s="885"/>
      <c r="F16" s="885"/>
      <c r="G16" s="886">
        <f t="shared" ref="G16" si="1">+C16*D16</f>
        <v>0</v>
      </c>
      <c r="H16" s="657"/>
      <c r="I16"/>
    </row>
    <row r="17" spans="1:9">
      <c r="A17" s="657">
        <v>11</v>
      </c>
      <c r="B17" s="621" t="s">
        <v>44</v>
      </c>
      <c r="C17" s="659">
        <f>SUM(C14:C16)</f>
        <v>233343.47894527589</v>
      </c>
      <c r="D17" s="886"/>
      <c r="E17" s="886"/>
      <c r="F17" s="886"/>
      <c r="G17" s="886">
        <f>SUM(G14:G16)</f>
        <v>30373.13569964542</v>
      </c>
      <c r="H17" s="657"/>
      <c r="I17"/>
    </row>
    <row r="18" spans="1:9">
      <c r="A18" s="644"/>
      <c r="B18" s="621"/>
      <c r="C18" s="659"/>
      <c r="D18" s="659"/>
      <c r="E18" s="659"/>
      <c r="F18" s="659"/>
      <c r="G18" s="659"/>
      <c r="H18" s="657"/>
      <c r="I18"/>
    </row>
    <row r="19" spans="1:9">
      <c r="A19" s="645"/>
      <c r="B19" s="654" t="s">
        <v>869</v>
      </c>
      <c r="C19" s="887" t="s">
        <v>230</v>
      </c>
      <c r="D19" s="887" t="s">
        <v>805</v>
      </c>
      <c r="H19" s="657"/>
    </row>
    <row r="20" spans="1:9">
      <c r="B20" s="654" t="s">
        <v>556</v>
      </c>
      <c r="C20" s="621"/>
      <c r="D20" s="621"/>
      <c r="E20" s="621"/>
      <c r="F20" s="621"/>
      <c r="G20" s="657" t="s">
        <v>44</v>
      </c>
    </row>
    <row r="21" spans="1:9">
      <c r="A21" s="657">
        <v>12</v>
      </c>
      <c r="B21" s="621" t="s">
        <v>527</v>
      </c>
      <c r="C21" s="1525">
        <f>1039237*$C$14/$C$17</f>
        <v>206872.2119198883</v>
      </c>
      <c r="D21" s="1525">
        <f>1039237*$C$15/$C$17</f>
        <v>832364.78808011173</v>
      </c>
      <c r="E21" s="660"/>
      <c r="F21" s="660"/>
      <c r="G21" s="659">
        <f t="shared" ref="G21:G33" si="2">SUM(C21:F21)</f>
        <v>1039237</v>
      </c>
      <c r="H21" s="657"/>
      <c r="I21" s="308"/>
    </row>
    <row r="22" spans="1:9">
      <c r="A22" s="657">
        <v>13</v>
      </c>
      <c r="B22" s="621" t="s">
        <v>528</v>
      </c>
      <c r="C22" s="1525">
        <f t="shared" ref="C22:C33" si="3">1039237*$C$14/$C$17</f>
        <v>206872.2119198883</v>
      </c>
      <c r="D22" s="1525">
        <f t="shared" ref="D22:D33" si="4">1039237*$C$15/$C$17</f>
        <v>832364.78808011173</v>
      </c>
      <c r="E22" s="660"/>
      <c r="F22" s="660"/>
      <c r="G22" s="659">
        <f t="shared" si="2"/>
        <v>1039237</v>
      </c>
      <c r="H22" s="657"/>
      <c r="I22" s="308"/>
    </row>
    <row r="23" spans="1:9">
      <c r="A23" s="657">
        <v>14</v>
      </c>
      <c r="B23" s="621" t="s">
        <v>529</v>
      </c>
      <c r="C23" s="1525">
        <f t="shared" si="3"/>
        <v>206872.2119198883</v>
      </c>
      <c r="D23" s="1525">
        <f t="shared" si="4"/>
        <v>832364.78808011173</v>
      </c>
      <c r="E23" s="660"/>
      <c r="F23" s="660"/>
      <c r="G23" s="659">
        <f t="shared" si="2"/>
        <v>1039237</v>
      </c>
      <c r="H23" s="657"/>
      <c r="I23" s="308"/>
    </row>
    <row r="24" spans="1:9">
      <c r="A24" s="657">
        <v>15</v>
      </c>
      <c r="B24" s="621" t="s">
        <v>530</v>
      </c>
      <c r="C24" s="1525">
        <f t="shared" si="3"/>
        <v>206872.2119198883</v>
      </c>
      <c r="D24" s="1525">
        <f t="shared" si="4"/>
        <v>832364.78808011173</v>
      </c>
      <c r="E24" s="660"/>
      <c r="F24" s="660"/>
      <c r="G24" s="659">
        <f t="shared" si="2"/>
        <v>1039237</v>
      </c>
      <c r="H24" s="657"/>
      <c r="I24" s="308"/>
    </row>
    <row r="25" spans="1:9">
      <c r="A25" s="657">
        <v>16</v>
      </c>
      <c r="B25" s="621" t="s">
        <v>172</v>
      </c>
      <c r="C25" s="1525">
        <f t="shared" si="3"/>
        <v>206872.2119198883</v>
      </c>
      <c r="D25" s="1525">
        <f t="shared" si="4"/>
        <v>832364.78808011173</v>
      </c>
      <c r="E25" s="660"/>
      <c r="F25" s="660"/>
      <c r="G25" s="659">
        <f t="shared" si="2"/>
        <v>1039237</v>
      </c>
      <c r="H25" s="657"/>
      <c r="I25" s="308"/>
    </row>
    <row r="26" spans="1:9">
      <c r="A26" s="657">
        <v>17</v>
      </c>
      <c r="B26" s="621" t="s">
        <v>173</v>
      </c>
      <c r="C26" s="1525">
        <f t="shared" si="3"/>
        <v>206872.2119198883</v>
      </c>
      <c r="D26" s="1525">
        <f t="shared" si="4"/>
        <v>832364.78808011173</v>
      </c>
      <c r="E26" s="660"/>
      <c r="F26" s="660"/>
      <c r="G26" s="659">
        <f t="shared" si="2"/>
        <v>1039237</v>
      </c>
      <c r="H26" s="657"/>
      <c r="I26" s="308"/>
    </row>
    <row r="27" spans="1:9">
      <c r="A27" s="657">
        <v>18</v>
      </c>
      <c r="B27" s="621" t="s">
        <v>174</v>
      </c>
      <c r="C27" s="1525">
        <f t="shared" si="3"/>
        <v>206872.2119198883</v>
      </c>
      <c r="D27" s="1525">
        <f t="shared" si="4"/>
        <v>832364.78808011173</v>
      </c>
      <c r="E27" s="660"/>
      <c r="F27" s="660"/>
      <c r="G27" s="659">
        <f t="shared" si="2"/>
        <v>1039237</v>
      </c>
      <c r="H27" s="657"/>
      <c r="I27" s="308"/>
    </row>
    <row r="28" spans="1:9">
      <c r="A28" s="657">
        <v>19</v>
      </c>
      <c r="B28" s="621" t="s">
        <v>531</v>
      </c>
      <c r="C28" s="1525">
        <f t="shared" si="3"/>
        <v>206872.2119198883</v>
      </c>
      <c r="D28" s="1525">
        <f t="shared" si="4"/>
        <v>832364.78808011173</v>
      </c>
      <c r="E28" s="660"/>
      <c r="F28" s="660"/>
      <c r="G28" s="659">
        <f t="shared" si="2"/>
        <v>1039237</v>
      </c>
      <c r="H28" s="657"/>
      <c r="I28" s="308"/>
    </row>
    <row r="29" spans="1:9">
      <c r="A29" s="657">
        <v>20</v>
      </c>
      <c r="B29" s="621" t="s">
        <v>532</v>
      </c>
      <c r="C29" s="1525">
        <f t="shared" si="3"/>
        <v>206872.2119198883</v>
      </c>
      <c r="D29" s="1525">
        <f t="shared" si="4"/>
        <v>832364.78808011173</v>
      </c>
      <c r="E29" s="660"/>
      <c r="F29" s="660"/>
      <c r="G29" s="659">
        <f t="shared" si="2"/>
        <v>1039237</v>
      </c>
      <c r="H29" s="657"/>
      <c r="I29" s="308"/>
    </row>
    <row r="30" spans="1:9">
      <c r="A30" s="657">
        <v>21</v>
      </c>
      <c r="B30" s="621" t="s">
        <v>533</v>
      </c>
      <c r="C30" s="1525">
        <f t="shared" si="3"/>
        <v>206872.2119198883</v>
      </c>
      <c r="D30" s="1525">
        <f t="shared" si="4"/>
        <v>832364.78808011173</v>
      </c>
      <c r="E30" s="660"/>
      <c r="F30" s="660"/>
      <c r="G30" s="659">
        <f t="shared" si="2"/>
        <v>1039237</v>
      </c>
      <c r="H30" s="657"/>
      <c r="I30" s="308"/>
    </row>
    <row r="31" spans="1:9">
      <c r="A31" s="657">
        <v>22</v>
      </c>
      <c r="B31" s="621" t="s">
        <v>534</v>
      </c>
      <c r="C31" s="1525">
        <f t="shared" si="3"/>
        <v>206872.2119198883</v>
      </c>
      <c r="D31" s="1525">
        <f t="shared" si="4"/>
        <v>832364.78808011173</v>
      </c>
      <c r="E31" s="660"/>
      <c r="F31" s="660"/>
      <c r="G31" s="659">
        <f t="shared" si="2"/>
        <v>1039237</v>
      </c>
      <c r="H31" s="657"/>
      <c r="I31" s="308"/>
    </row>
    <row r="32" spans="1:9">
      <c r="A32" s="657">
        <v>23</v>
      </c>
      <c r="B32" s="621" t="s">
        <v>535</v>
      </c>
      <c r="C32" s="1525">
        <f t="shared" si="3"/>
        <v>206872.2119198883</v>
      </c>
      <c r="D32" s="1525">
        <f t="shared" si="4"/>
        <v>832364.78808011173</v>
      </c>
      <c r="E32" s="660"/>
      <c r="F32" s="660"/>
      <c r="G32" s="659">
        <f t="shared" si="2"/>
        <v>1039237</v>
      </c>
      <c r="H32" s="657"/>
      <c r="I32" s="308"/>
    </row>
    <row r="33" spans="1:9">
      <c r="A33" s="657">
        <v>24</v>
      </c>
      <c r="B33" s="621" t="s">
        <v>536</v>
      </c>
      <c r="C33" s="1525">
        <f t="shared" si="3"/>
        <v>206872.2119198883</v>
      </c>
      <c r="D33" s="1525">
        <f t="shared" si="4"/>
        <v>832364.78808011173</v>
      </c>
      <c r="E33" s="660"/>
      <c r="F33" s="660"/>
      <c r="G33" s="659">
        <f t="shared" si="2"/>
        <v>1039237</v>
      </c>
      <c r="H33" s="657"/>
      <c r="I33" s="308"/>
    </row>
    <row r="34" spans="1:9">
      <c r="A34" s="657">
        <v>25</v>
      </c>
      <c r="B34" s="621" t="s">
        <v>555</v>
      </c>
      <c r="C34" s="661">
        <f>AVERAGE(C21:C33)</f>
        <v>206872.21191988836</v>
      </c>
      <c r="D34" s="661">
        <f>AVERAGE(D21:D33)</f>
        <v>832364.78808011173</v>
      </c>
      <c r="E34" s="661"/>
      <c r="F34" s="661"/>
      <c r="G34" s="661">
        <f>AVERAGE(G21:G33)</f>
        <v>1039237</v>
      </c>
      <c r="H34" s="657"/>
      <c r="I34" s="308"/>
    </row>
    <row r="35" spans="1:9">
      <c r="A35" s="657"/>
      <c r="B35" s="621"/>
      <c r="C35" s="661"/>
      <c r="D35" s="661"/>
      <c r="E35" s="661"/>
      <c r="I35" s="308"/>
    </row>
    <row r="36" spans="1:9">
      <c r="I36" s="308"/>
    </row>
    <row r="37" spans="1:9">
      <c r="B37" s="654" t="s">
        <v>72</v>
      </c>
      <c r="C37" s="887" t="s">
        <v>230</v>
      </c>
      <c r="D37" s="887" t="s">
        <v>805</v>
      </c>
      <c r="E37" s="621"/>
      <c r="F37" s="621"/>
      <c r="G37" s="657" t="s">
        <v>44</v>
      </c>
      <c r="I37" s="308"/>
    </row>
    <row r="38" spans="1:9">
      <c r="A38" s="657">
        <v>26</v>
      </c>
      <c r="B38" s="621" t="s">
        <v>527</v>
      </c>
      <c r="C38" s="1525">
        <v>115563.7309435046</v>
      </c>
      <c r="D38" s="1526">
        <v>555654.00865219987</v>
      </c>
      <c r="E38" s="660"/>
      <c r="F38" s="660"/>
      <c r="G38" s="659">
        <f t="shared" ref="G38:G50" si="5">SUM(C38:F38)</f>
        <v>671217.73959570448</v>
      </c>
      <c r="H38" s="657"/>
      <c r="I38" s="308"/>
    </row>
    <row r="39" spans="1:9">
      <c r="A39" s="657">
        <v>27</v>
      </c>
      <c r="B39" s="621" t="s">
        <v>528</v>
      </c>
      <c r="C39" s="1525">
        <v>119434.56490097757</v>
      </c>
      <c r="D39" s="1525">
        <v>571228.53310199978</v>
      </c>
      <c r="E39" s="660"/>
      <c r="F39" s="660"/>
      <c r="G39" s="659">
        <f t="shared" si="5"/>
        <v>690663.09800297732</v>
      </c>
      <c r="H39" s="657"/>
      <c r="I39" s="308"/>
    </row>
    <row r="40" spans="1:9">
      <c r="A40" s="657">
        <v>28</v>
      </c>
      <c r="B40" s="621" t="s">
        <v>529</v>
      </c>
      <c r="C40" s="1525">
        <v>123305.37394445053</v>
      </c>
      <c r="D40" s="1525">
        <v>586803.00774379983</v>
      </c>
      <c r="E40" s="660"/>
      <c r="F40" s="660"/>
      <c r="G40" s="659">
        <f t="shared" si="5"/>
        <v>710108.38168825035</v>
      </c>
      <c r="H40" s="657"/>
      <c r="I40" s="308"/>
    </row>
    <row r="41" spans="1:9">
      <c r="A41" s="657">
        <v>29</v>
      </c>
      <c r="B41" s="621" t="s">
        <v>530</v>
      </c>
      <c r="C41" s="1525">
        <v>127176.1829879235</v>
      </c>
      <c r="D41" s="1525">
        <v>602377.48238559987</v>
      </c>
      <c r="E41" s="660"/>
      <c r="F41" s="660"/>
      <c r="G41" s="659">
        <f t="shared" si="5"/>
        <v>729553.66537352337</v>
      </c>
      <c r="H41" s="657"/>
      <c r="I41" s="308"/>
    </row>
    <row r="42" spans="1:9">
      <c r="A42" s="657">
        <v>30</v>
      </c>
      <c r="B42" s="621" t="s">
        <v>172</v>
      </c>
      <c r="C42" s="1525">
        <v>131046.99203139647</v>
      </c>
      <c r="D42" s="1525">
        <v>617951.95702739991</v>
      </c>
      <c r="E42" s="660"/>
      <c r="F42" s="660"/>
      <c r="G42" s="659">
        <f t="shared" si="5"/>
        <v>748998.9490587964</v>
      </c>
      <c r="H42" s="657"/>
      <c r="I42" s="308"/>
    </row>
    <row r="43" spans="1:9">
      <c r="A43" s="657">
        <v>31</v>
      </c>
      <c r="B43" s="621" t="s">
        <v>173</v>
      </c>
      <c r="C43" s="1525">
        <v>134917.80107486944</v>
      </c>
      <c r="D43" s="1525">
        <v>633526.43166919996</v>
      </c>
      <c r="E43" s="660"/>
      <c r="F43" s="660"/>
      <c r="G43" s="659">
        <f t="shared" si="5"/>
        <v>768444.23274406942</v>
      </c>
      <c r="H43" s="657"/>
      <c r="I43" s="308"/>
    </row>
    <row r="44" spans="1:9">
      <c r="A44" s="657">
        <v>32</v>
      </c>
      <c r="B44" s="621" t="s">
        <v>174</v>
      </c>
      <c r="C44" s="1525">
        <v>138788.61011834239</v>
      </c>
      <c r="D44" s="1525">
        <v>649100.906311</v>
      </c>
      <c r="E44" s="660"/>
      <c r="F44" s="660"/>
      <c r="G44" s="659">
        <f t="shared" si="5"/>
        <v>787889.51642934233</v>
      </c>
      <c r="H44" s="657"/>
      <c r="I44" s="308"/>
    </row>
    <row r="45" spans="1:9">
      <c r="A45" s="657">
        <v>33</v>
      </c>
      <c r="B45" s="621" t="s">
        <v>531</v>
      </c>
      <c r="C45" s="1525">
        <v>142659.41916181534</v>
      </c>
      <c r="D45" s="1525">
        <v>664675.38095280004</v>
      </c>
      <c r="E45" s="660"/>
      <c r="F45" s="660"/>
      <c r="G45" s="659">
        <f t="shared" si="5"/>
        <v>807334.80011461535</v>
      </c>
      <c r="H45" s="657"/>
      <c r="I45" s="308"/>
    </row>
    <row r="46" spans="1:9">
      <c r="A46" s="657">
        <v>34</v>
      </c>
      <c r="B46" s="621" t="s">
        <v>532</v>
      </c>
      <c r="C46" s="1525">
        <v>146530.22820528829</v>
      </c>
      <c r="D46" s="1525">
        <v>680249.85559460009</v>
      </c>
      <c r="E46" s="660"/>
      <c r="F46" s="660"/>
      <c r="G46" s="659">
        <f t="shared" si="5"/>
        <v>826780.08379988838</v>
      </c>
      <c r="H46" s="657"/>
      <c r="I46" s="308"/>
    </row>
    <row r="47" spans="1:9">
      <c r="A47" s="657">
        <v>35</v>
      </c>
      <c r="B47" s="621" t="s">
        <v>533</v>
      </c>
      <c r="C47" s="1525">
        <v>150401.03724876125</v>
      </c>
      <c r="D47" s="1525">
        <v>695824.33023640013</v>
      </c>
      <c r="E47" s="660"/>
      <c r="F47" s="660"/>
      <c r="G47" s="659">
        <f t="shared" si="5"/>
        <v>846225.36748516141</v>
      </c>
      <c r="H47" s="657"/>
      <c r="I47" s="308"/>
    </row>
    <row r="48" spans="1:9">
      <c r="A48" s="657">
        <v>36</v>
      </c>
      <c r="B48" s="621" t="s">
        <v>534</v>
      </c>
      <c r="C48" s="1525">
        <v>154271.8462922342</v>
      </c>
      <c r="D48" s="1525">
        <v>711398.80487820017</v>
      </c>
      <c r="E48" s="660"/>
      <c r="F48" s="660"/>
      <c r="G48" s="659">
        <f t="shared" si="5"/>
        <v>865670.65117043443</v>
      </c>
      <c r="H48" s="657"/>
      <c r="I48" s="308"/>
    </row>
    <row r="49" spans="1:9">
      <c r="A49" s="657">
        <v>37</v>
      </c>
      <c r="B49" s="621" t="s">
        <v>535</v>
      </c>
      <c r="C49" s="1525">
        <v>158142.65533570715</v>
      </c>
      <c r="D49" s="1525">
        <v>726973.27952000021</v>
      </c>
      <c r="E49" s="660"/>
      <c r="F49" s="660"/>
      <c r="G49" s="659">
        <f t="shared" si="5"/>
        <v>885115.93485570734</v>
      </c>
      <c r="H49" s="657"/>
      <c r="I49" s="308"/>
    </row>
    <row r="50" spans="1:9">
      <c r="A50" s="657">
        <v>38</v>
      </c>
      <c r="B50" s="621" t="s">
        <v>536</v>
      </c>
      <c r="C50" s="1525">
        <v>162013.46437918011</v>
      </c>
      <c r="D50" s="1526">
        <v>742547.75416180026</v>
      </c>
      <c r="E50" s="660"/>
      <c r="F50" s="660"/>
      <c r="G50" s="659">
        <f t="shared" si="5"/>
        <v>904561.21854098036</v>
      </c>
      <c r="H50" s="657"/>
      <c r="I50" s="308"/>
    </row>
    <row r="51" spans="1:9">
      <c r="A51" s="657">
        <v>39</v>
      </c>
      <c r="B51" s="621" t="s">
        <v>555</v>
      </c>
      <c r="C51" s="661">
        <f>AVERAGE(C38:C50)</f>
        <v>138788.60820188082</v>
      </c>
      <c r="D51" s="661">
        <f>AVERAGE(D38:D50)</f>
        <v>649100.9024796153</v>
      </c>
      <c r="E51" s="661"/>
      <c r="F51" s="661"/>
      <c r="G51" s="661">
        <f>AVERAGE(G38:G50)</f>
        <v>787889.51068149612</v>
      </c>
      <c r="I51" s="308"/>
    </row>
    <row r="52" spans="1:9" ht="18">
      <c r="B52" s="1992" t="s">
        <v>259</v>
      </c>
      <c r="C52" s="1992"/>
      <c r="D52" s="1992"/>
      <c r="E52" s="1992"/>
      <c r="F52" s="1992"/>
    </row>
    <row r="53" spans="1:9" ht="20">
      <c r="A53" s="651"/>
      <c r="B53" s="652"/>
      <c r="C53" s="653"/>
      <c r="D53" s="649"/>
      <c r="E53" s="649"/>
      <c r="F53" s="649"/>
    </row>
    <row r="54" spans="1:9">
      <c r="A54" s="1991" t="s">
        <v>564</v>
      </c>
      <c r="B54" s="1991"/>
      <c r="C54" s="1991"/>
      <c r="D54" s="1991"/>
      <c r="E54" s="1991"/>
      <c r="F54" s="649"/>
    </row>
    <row r="55" spans="1:9">
      <c r="B55" s="647" t="s">
        <v>513</v>
      </c>
      <c r="C55" s="647" t="s">
        <v>514</v>
      </c>
      <c r="D55" s="647" t="s">
        <v>515</v>
      </c>
      <c r="E55" s="647" t="s">
        <v>516</v>
      </c>
      <c r="F55" s="647" t="s">
        <v>558</v>
      </c>
      <c r="G55" s="647" t="s">
        <v>559</v>
      </c>
    </row>
    <row r="56" spans="1:9">
      <c r="A56" s="649"/>
      <c r="B56" s="654" t="s">
        <v>562</v>
      </c>
      <c r="C56" s="887" t="s">
        <v>230</v>
      </c>
      <c r="D56" s="887" t="s">
        <v>805</v>
      </c>
      <c r="E56" s="621"/>
      <c r="F56" s="621"/>
      <c r="G56" s="657" t="s">
        <v>44</v>
      </c>
    </row>
    <row r="57" spans="1:9">
      <c r="A57" s="657">
        <v>40</v>
      </c>
      <c r="B57" s="621" t="s">
        <v>527</v>
      </c>
      <c r="C57" s="661">
        <f>C21-C38</f>
        <v>91308.480976383697</v>
      </c>
      <c r="D57" s="661">
        <f>D21-D38</f>
        <v>276710.77942791185</v>
      </c>
      <c r="E57" s="661">
        <f t="shared" ref="C57:F69" si="6">E21-E38</f>
        <v>0</v>
      </c>
      <c r="F57" s="661">
        <f t="shared" si="6"/>
        <v>0</v>
      </c>
      <c r="G57" s="659">
        <f t="shared" ref="G57:G69" si="7">SUM(C57:F57)</f>
        <v>368019.26040429552</v>
      </c>
      <c r="H57" s="657"/>
    </row>
    <row r="58" spans="1:9">
      <c r="A58" s="657">
        <v>41</v>
      </c>
      <c r="B58" s="621" t="s">
        <v>528</v>
      </c>
      <c r="C58" s="661">
        <f t="shared" si="6"/>
        <v>87437.647018910735</v>
      </c>
      <c r="D58" s="661">
        <f t="shared" si="6"/>
        <v>261136.25497811195</v>
      </c>
      <c r="E58" s="661">
        <f t="shared" si="6"/>
        <v>0</v>
      </c>
      <c r="F58" s="661">
        <f t="shared" si="6"/>
        <v>0</v>
      </c>
      <c r="G58" s="659">
        <f t="shared" si="7"/>
        <v>348573.90199702268</v>
      </c>
      <c r="H58" s="657"/>
    </row>
    <row r="59" spans="1:9">
      <c r="A59" s="657">
        <v>42</v>
      </c>
      <c r="B59" s="621" t="s">
        <v>529</v>
      </c>
      <c r="C59" s="661">
        <f t="shared" si="6"/>
        <v>83566.837975437767</v>
      </c>
      <c r="D59" s="661">
        <f t="shared" si="6"/>
        <v>245561.7803363119</v>
      </c>
      <c r="E59" s="661">
        <f t="shared" si="6"/>
        <v>0</v>
      </c>
      <c r="F59" s="661">
        <f t="shared" si="6"/>
        <v>0</v>
      </c>
      <c r="G59" s="659">
        <f t="shared" si="7"/>
        <v>329128.61831174965</v>
      </c>
      <c r="H59" s="657"/>
    </row>
    <row r="60" spans="1:9">
      <c r="A60" s="657">
        <v>43</v>
      </c>
      <c r="B60" s="621" t="s">
        <v>530</v>
      </c>
      <c r="C60" s="661">
        <f t="shared" si="6"/>
        <v>79696.0289319648</v>
      </c>
      <c r="D60" s="661">
        <f t="shared" si="6"/>
        <v>229987.30569451186</v>
      </c>
      <c r="E60" s="661">
        <f t="shared" si="6"/>
        <v>0</v>
      </c>
      <c r="F60" s="661">
        <f t="shared" si="6"/>
        <v>0</v>
      </c>
      <c r="G60" s="659">
        <f t="shared" si="7"/>
        <v>309683.33462647663</v>
      </c>
      <c r="H60" s="657"/>
    </row>
    <row r="61" spans="1:9">
      <c r="A61" s="657">
        <v>44</v>
      </c>
      <c r="B61" s="621" t="s">
        <v>172</v>
      </c>
      <c r="C61" s="661">
        <f t="shared" si="6"/>
        <v>75825.219888491833</v>
      </c>
      <c r="D61" s="661">
        <f t="shared" si="6"/>
        <v>214412.83105271182</v>
      </c>
      <c r="E61" s="661">
        <f t="shared" si="6"/>
        <v>0</v>
      </c>
      <c r="F61" s="661">
        <f t="shared" si="6"/>
        <v>0</v>
      </c>
      <c r="G61" s="659">
        <f t="shared" si="7"/>
        <v>290238.05094120366</v>
      </c>
      <c r="H61" s="657"/>
    </row>
    <row r="62" spans="1:9">
      <c r="A62" s="657">
        <v>45</v>
      </c>
      <c r="B62" s="621" t="s">
        <v>173</v>
      </c>
      <c r="C62" s="661">
        <f t="shared" si="6"/>
        <v>71954.410845018865</v>
      </c>
      <c r="D62" s="661">
        <f t="shared" si="6"/>
        <v>198838.35641091177</v>
      </c>
      <c r="E62" s="661">
        <f t="shared" si="6"/>
        <v>0</v>
      </c>
      <c r="F62" s="661">
        <f t="shared" si="6"/>
        <v>0</v>
      </c>
      <c r="G62" s="659">
        <f t="shared" si="7"/>
        <v>270792.76725593064</v>
      </c>
      <c r="H62" s="657"/>
    </row>
    <row r="63" spans="1:9">
      <c r="A63" s="657">
        <v>46</v>
      </c>
      <c r="B63" s="621" t="s">
        <v>174</v>
      </c>
      <c r="C63" s="661">
        <f t="shared" si="6"/>
        <v>68083.601801545912</v>
      </c>
      <c r="D63" s="661">
        <f t="shared" si="6"/>
        <v>183263.88176911173</v>
      </c>
      <c r="E63" s="661">
        <f t="shared" si="6"/>
        <v>0</v>
      </c>
      <c r="F63" s="661">
        <f t="shared" si="6"/>
        <v>0</v>
      </c>
      <c r="G63" s="659">
        <f t="shared" si="7"/>
        <v>251347.48357065764</v>
      </c>
      <c r="H63" s="657"/>
    </row>
    <row r="64" spans="1:9">
      <c r="A64" s="657">
        <v>47</v>
      </c>
      <c r="B64" s="621" t="s">
        <v>531</v>
      </c>
      <c r="C64" s="661">
        <f t="shared" si="6"/>
        <v>64212.792758072959</v>
      </c>
      <c r="D64" s="661">
        <f t="shared" si="6"/>
        <v>167689.40712731169</v>
      </c>
      <c r="E64" s="661">
        <f t="shared" si="6"/>
        <v>0</v>
      </c>
      <c r="F64" s="661">
        <f t="shared" si="6"/>
        <v>0</v>
      </c>
      <c r="G64" s="659">
        <f t="shared" si="7"/>
        <v>231902.19988538465</v>
      </c>
      <c r="H64" s="657"/>
    </row>
    <row r="65" spans="1:8">
      <c r="A65" s="657">
        <v>48</v>
      </c>
      <c r="B65" s="621" t="s">
        <v>532</v>
      </c>
      <c r="C65" s="661">
        <f t="shared" si="6"/>
        <v>60341.983714600006</v>
      </c>
      <c r="D65" s="661">
        <f t="shared" si="6"/>
        <v>152114.93248551164</v>
      </c>
      <c r="E65" s="661">
        <f t="shared" si="6"/>
        <v>0</v>
      </c>
      <c r="F65" s="661">
        <f t="shared" si="6"/>
        <v>0</v>
      </c>
      <c r="G65" s="659">
        <f t="shared" si="7"/>
        <v>212456.91620011165</v>
      </c>
      <c r="H65" s="657"/>
    </row>
    <row r="66" spans="1:8">
      <c r="A66" s="657">
        <v>49</v>
      </c>
      <c r="B66" s="621" t="s">
        <v>533</v>
      </c>
      <c r="C66" s="661">
        <f t="shared" si="6"/>
        <v>56471.174671127053</v>
      </c>
      <c r="D66" s="661">
        <f t="shared" si="6"/>
        <v>136540.4578437116</v>
      </c>
      <c r="E66" s="661">
        <f t="shared" si="6"/>
        <v>0</v>
      </c>
      <c r="F66" s="661">
        <f t="shared" si="6"/>
        <v>0</v>
      </c>
      <c r="G66" s="659">
        <f t="shared" si="7"/>
        <v>193011.63251483865</v>
      </c>
      <c r="H66" s="657"/>
    </row>
    <row r="67" spans="1:8">
      <c r="A67" s="657">
        <v>50</v>
      </c>
      <c r="B67" s="621" t="s">
        <v>534</v>
      </c>
      <c r="C67" s="661">
        <f t="shared" si="6"/>
        <v>52600.365627654101</v>
      </c>
      <c r="D67" s="661">
        <f t="shared" si="6"/>
        <v>120965.98320191156</v>
      </c>
      <c r="E67" s="661">
        <f t="shared" si="6"/>
        <v>0</v>
      </c>
      <c r="F67" s="661">
        <f t="shared" si="6"/>
        <v>0</v>
      </c>
      <c r="G67" s="659">
        <f t="shared" si="7"/>
        <v>173566.34882956566</v>
      </c>
      <c r="H67" s="657"/>
    </row>
    <row r="68" spans="1:8">
      <c r="A68" s="657">
        <v>51</v>
      </c>
      <c r="B68" s="621" t="s">
        <v>535</v>
      </c>
      <c r="C68" s="661">
        <f t="shared" si="6"/>
        <v>48729.556584181148</v>
      </c>
      <c r="D68" s="661">
        <f t="shared" si="6"/>
        <v>105391.50856011151</v>
      </c>
      <c r="E68" s="661">
        <f t="shared" si="6"/>
        <v>0</v>
      </c>
      <c r="F68" s="661">
        <f t="shared" si="6"/>
        <v>0</v>
      </c>
      <c r="G68" s="659">
        <f t="shared" si="7"/>
        <v>154121.06514429266</v>
      </c>
      <c r="H68" s="657"/>
    </row>
    <row r="69" spans="1:8">
      <c r="A69" s="657">
        <v>52</v>
      </c>
      <c r="B69" s="621" t="s">
        <v>536</v>
      </c>
      <c r="C69" s="661">
        <f t="shared" si="6"/>
        <v>44858.747540708195</v>
      </c>
      <c r="D69" s="661">
        <f t="shared" si="6"/>
        <v>89817.03391831147</v>
      </c>
      <c r="E69" s="661">
        <f t="shared" si="6"/>
        <v>0</v>
      </c>
      <c r="F69" s="661">
        <f t="shared" si="6"/>
        <v>0</v>
      </c>
      <c r="G69" s="659">
        <f t="shared" si="7"/>
        <v>134675.78145901966</v>
      </c>
      <c r="H69" s="657"/>
    </row>
    <row r="70" spans="1:8">
      <c r="A70" s="657">
        <v>53</v>
      </c>
      <c r="B70" s="621" t="s">
        <v>555</v>
      </c>
      <c r="C70" s="661">
        <f>AVERAGE(C57:C69)</f>
        <v>68083.603718007478</v>
      </c>
      <c r="D70" s="661">
        <f t="shared" ref="D70:F70" si="8">AVERAGE(D57:D69)</f>
        <v>183263.88560049635</v>
      </c>
      <c r="E70" s="661">
        <f t="shared" si="8"/>
        <v>0</v>
      </c>
      <c r="F70" s="661">
        <f t="shared" si="8"/>
        <v>0</v>
      </c>
      <c r="G70" s="661">
        <f>AVERAGE(G57:G69)</f>
        <v>251347.48931850379</v>
      </c>
      <c r="H70" s="657"/>
    </row>
    <row r="71" spans="1:8">
      <c r="A71" s="649"/>
    </row>
    <row r="72" spans="1:8">
      <c r="A72" s="649"/>
    </row>
    <row r="73" spans="1:8">
      <c r="A73" s="649"/>
      <c r="B73" s="654" t="s">
        <v>563</v>
      </c>
      <c r="C73" s="887" t="s">
        <v>230</v>
      </c>
      <c r="D73" s="887" t="s">
        <v>805</v>
      </c>
      <c r="G73" s="657" t="s">
        <v>44</v>
      </c>
    </row>
    <row r="74" spans="1:8">
      <c r="A74" s="657">
        <v>54</v>
      </c>
      <c r="B74" s="621" t="s">
        <v>528</v>
      </c>
      <c r="C74" s="661">
        <f>C39-C38</f>
        <v>3870.8339574729616</v>
      </c>
      <c r="D74" s="661">
        <f>D39-D38</f>
        <v>15574.524449799908</v>
      </c>
      <c r="G74" s="659">
        <f t="shared" ref="G74:G86" si="9">SUM(C74:F74)</f>
        <v>19445.35840727287</v>
      </c>
      <c r="H74" s="657"/>
    </row>
    <row r="75" spans="1:8">
      <c r="A75" s="657">
        <v>55</v>
      </c>
      <c r="B75" s="621" t="s">
        <v>529</v>
      </c>
      <c r="C75" s="661">
        <f>C40-C39</f>
        <v>3870.8090434729675</v>
      </c>
      <c r="D75" s="661">
        <f>D40-D39</f>
        <v>15574.474641800043</v>
      </c>
      <c r="G75" s="659">
        <f t="shared" si="9"/>
        <v>19445.283685273011</v>
      </c>
      <c r="H75" s="657"/>
    </row>
    <row r="76" spans="1:8">
      <c r="A76" s="657">
        <v>56</v>
      </c>
      <c r="B76" s="621" t="s">
        <v>530</v>
      </c>
      <c r="C76" s="661">
        <f t="shared" ref="C76:D85" si="10">C41-C40</f>
        <v>3870.8090434729675</v>
      </c>
      <c r="D76" s="661">
        <f t="shared" si="10"/>
        <v>15574.474641800043</v>
      </c>
      <c r="G76" s="659">
        <f t="shared" si="9"/>
        <v>19445.283685273011</v>
      </c>
      <c r="H76" s="657"/>
    </row>
    <row r="77" spans="1:8">
      <c r="A77" s="657">
        <v>57</v>
      </c>
      <c r="B77" s="621" t="s">
        <v>172</v>
      </c>
      <c r="C77" s="661">
        <f t="shared" si="10"/>
        <v>3870.8090434729675</v>
      </c>
      <c r="D77" s="661">
        <f t="shared" si="10"/>
        <v>15574.474641800043</v>
      </c>
      <c r="G77" s="659">
        <f t="shared" si="9"/>
        <v>19445.283685273011</v>
      </c>
      <c r="H77" s="657"/>
    </row>
    <row r="78" spans="1:8">
      <c r="A78" s="657">
        <v>58</v>
      </c>
      <c r="B78" s="621" t="s">
        <v>173</v>
      </c>
      <c r="C78" s="661">
        <f t="shared" si="10"/>
        <v>3870.8090434729675</v>
      </c>
      <c r="D78" s="661">
        <f t="shared" si="10"/>
        <v>15574.474641800043</v>
      </c>
      <c r="G78" s="659">
        <f t="shared" si="9"/>
        <v>19445.283685273011</v>
      </c>
      <c r="H78" s="657"/>
    </row>
    <row r="79" spans="1:8">
      <c r="A79" s="657">
        <v>59</v>
      </c>
      <c r="B79" s="621" t="s">
        <v>174</v>
      </c>
      <c r="C79" s="661">
        <f>C44-C43</f>
        <v>3870.8090434729529</v>
      </c>
      <c r="D79" s="661">
        <f t="shared" si="10"/>
        <v>15574.474641800043</v>
      </c>
      <c r="G79" s="659">
        <f t="shared" si="9"/>
        <v>19445.283685272996</v>
      </c>
      <c r="H79" s="657"/>
    </row>
    <row r="80" spans="1:8">
      <c r="A80" s="657">
        <v>60</v>
      </c>
      <c r="B80" s="621" t="s">
        <v>531</v>
      </c>
      <c r="C80" s="661">
        <f t="shared" si="10"/>
        <v>3870.8090434729529</v>
      </c>
      <c r="D80" s="661">
        <f t="shared" si="10"/>
        <v>15574.474641800043</v>
      </c>
      <c r="G80" s="659">
        <f t="shared" si="9"/>
        <v>19445.283685272996</v>
      </c>
      <c r="H80" s="657"/>
    </row>
    <row r="81" spans="1:8">
      <c r="A81" s="657">
        <v>61</v>
      </c>
      <c r="B81" s="621" t="s">
        <v>532</v>
      </c>
      <c r="C81" s="661">
        <f t="shared" si="10"/>
        <v>3870.8090434729529</v>
      </c>
      <c r="D81" s="661">
        <f t="shared" si="10"/>
        <v>15574.474641800043</v>
      </c>
      <c r="G81" s="659">
        <f t="shared" si="9"/>
        <v>19445.283685272996</v>
      </c>
      <c r="H81" s="657"/>
    </row>
    <row r="82" spans="1:8">
      <c r="A82" s="657">
        <v>62</v>
      </c>
      <c r="B82" s="621" t="s">
        <v>533</v>
      </c>
      <c r="C82" s="661">
        <f t="shared" si="10"/>
        <v>3870.8090434729529</v>
      </c>
      <c r="D82" s="661">
        <f t="shared" si="10"/>
        <v>15574.474641800043</v>
      </c>
      <c r="G82" s="659">
        <f t="shared" si="9"/>
        <v>19445.283685272996</v>
      </c>
      <c r="H82" s="657"/>
    </row>
    <row r="83" spans="1:8">
      <c r="A83" s="657">
        <v>63</v>
      </c>
      <c r="B83" s="621" t="s">
        <v>534</v>
      </c>
      <c r="C83" s="661">
        <f t="shared" si="10"/>
        <v>3870.8090434729529</v>
      </c>
      <c r="D83" s="661">
        <f t="shared" si="10"/>
        <v>15574.474641800043</v>
      </c>
      <c r="G83" s="659">
        <f t="shared" si="9"/>
        <v>19445.283685272996</v>
      </c>
      <c r="H83" s="657"/>
    </row>
    <row r="84" spans="1:8">
      <c r="A84" s="657">
        <v>64</v>
      </c>
      <c r="B84" s="621" t="s">
        <v>535</v>
      </c>
      <c r="C84" s="661">
        <f t="shared" si="10"/>
        <v>3870.8090434729529</v>
      </c>
      <c r="D84" s="661">
        <f t="shared" si="10"/>
        <v>15574.474641800043</v>
      </c>
      <c r="G84" s="659">
        <f t="shared" si="9"/>
        <v>19445.283685272996</v>
      </c>
      <c r="H84" s="657"/>
    </row>
    <row r="85" spans="1:8">
      <c r="A85" s="657">
        <v>65</v>
      </c>
      <c r="B85" s="621" t="s">
        <v>536</v>
      </c>
      <c r="C85" s="661">
        <f t="shared" si="10"/>
        <v>3870.8090434729529</v>
      </c>
      <c r="D85" s="661">
        <f t="shared" si="10"/>
        <v>15574.474641800043</v>
      </c>
      <c r="G85" s="659">
        <f t="shared" si="9"/>
        <v>19445.283685272996</v>
      </c>
      <c r="H85" s="657"/>
    </row>
    <row r="86" spans="1:8">
      <c r="A86" s="657">
        <v>66</v>
      </c>
      <c r="B86" s="621" t="s">
        <v>44</v>
      </c>
      <c r="C86" s="661">
        <f>SUM(C74:C85)</f>
        <v>46449.733435675502</v>
      </c>
      <c r="D86" s="661">
        <f>SUM(D74:D85)</f>
        <v>186893.74550960038</v>
      </c>
      <c r="G86" s="659">
        <f t="shared" si="9"/>
        <v>233343.47894527589</v>
      </c>
    </row>
    <row r="87" spans="1:8">
      <c r="G87" s="661"/>
    </row>
    <row r="89" spans="1:8">
      <c r="B89" s="654" t="s">
        <v>818</v>
      </c>
      <c r="C89" s="621"/>
    </row>
    <row r="90" spans="1:8">
      <c r="A90" s="657">
        <v>67</v>
      </c>
      <c r="B90" s="621" t="s">
        <v>527</v>
      </c>
      <c r="C90" s="1525">
        <v>1039236.745132</v>
      </c>
    </row>
    <row r="91" spans="1:8">
      <c r="A91" s="657">
        <v>68</v>
      </c>
      <c r="B91" s="621" t="s">
        <v>528</v>
      </c>
      <c r="C91" s="1525">
        <v>1039236.7451319998</v>
      </c>
    </row>
    <row r="92" spans="1:8">
      <c r="A92" s="657">
        <v>69</v>
      </c>
      <c r="B92" s="621" t="s">
        <v>529</v>
      </c>
      <c r="C92" s="1525">
        <v>1039236.7451319998</v>
      </c>
    </row>
    <row r="93" spans="1:8">
      <c r="A93" s="657">
        <v>70</v>
      </c>
      <c r="B93" s="621" t="s">
        <v>530</v>
      </c>
      <c r="C93" s="1525">
        <v>1039236.7451319998</v>
      </c>
    </row>
    <row r="94" spans="1:8">
      <c r="A94" s="657">
        <v>71</v>
      </c>
      <c r="B94" s="621" t="s">
        <v>172</v>
      </c>
      <c r="C94" s="1525">
        <v>1039236.7451319998</v>
      </c>
    </row>
    <row r="95" spans="1:8">
      <c r="A95" s="657">
        <v>72</v>
      </c>
      <c r="B95" s="621" t="s">
        <v>173</v>
      </c>
      <c r="C95" s="1525">
        <v>1039236.7451319998</v>
      </c>
    </row>
    <row r="96" spans="1:8">
      <c r="A96" s="657">
        <v>73</v>
      </c>
      <c r="B96" s="621" t="s">
        <v>174</v>
      </c>
      <c r="C96" s="1525">
        <v>1039236.7451319998</v>
      </c>
    </row>
    <row r="97" spans="1:3">
      <c r="A97" s="657">
        <v>74</v>
      </c>
      <c r="B97" s="621" t="s">
        <v>531</v>
      </c>
      <c r="C97" s="1525">
        <v>1039236.7451319998</v>
      </c>
    </row>
    <row r="98" spans="1:3">
      <c r="A98" s="657">
        <v>75</v>
      </c>
      <c r="B98" s="621" t="s">
        <v>532</v>
      </c>
      <c r="C98" s="1525">
        <v>1039236.7451319998</v>
      </c>
    </row>
    <row r="99" spans="1:3">
      <c r="A99" s="657">
        <v>76</v>
      </c>
      <c r="B99" s="621" t="s">
        <v>533</v>
      </c>
      <c r="C99" s="1525">
        <v>1039236.7451319998</v>
      </c>
    </row>
    <row r="100" spans="1:3">
      <c r="A100" s="657">
        <v>77</v>
      </c>
      <c r="B100" s="621" t="s">
        <v>534</v>
      </c>
      <c r="C100" s="1525">
        <v>1039236.7451319998</v>
      </c>
    </row>
    <row r="101" spans="1:3">
      <c r="A101" s="657">
        <v>78</v>
      </c>
      <c r="B101" s="621" t="s">
        <v>535</v>
      </c>
      <c r="C101" s="1525">
        <v>1039236.7451319998</v>
      </c>
    </row>
    <row r="102" spans="1:3">
      <c r="A102" s="657">
        <v>79</v>
      </c>
      <c r="B102" s="621" t="s">
        <v>536</v>
      </c>
      <c r="C102" s="1525">
        <v>1039236.7451319998</v>
      </c>
    </row>
    <row r="103" spans="1:3">
      <c r="A103" s="657">
        <v>80</v>
      </c>
      <c r="B103" s="621" t="s">
        <v>555</v>
      </c>
      <c r="C103" s="661">
        <f>AVERAGE(C90:C102)</f>
        <v>1039236.7451319997</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3:E3"/>
    <mergeCell ref="B52:F52"/>
    <mergeCell ref="A54:E54"/>
    <mergeCell ref="A1:F1"/>
  </mergeCells>
  <pageMargins left="0.7" right="0.7" top="0.75" bottom="0.75" header="0.3" footer="0.3"/>
  <pageSetup scale="44" orientation="portrait" r:id="rId2"/>
  <rowBreaks count="1" manualBreakCount="1">
    <brk id="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zoomScaleNormal="100" workbookViewId="0">
      <selection activeCell="G87" sqref="G87"/>
    </sheetView>
  </sheetViews>
  <sheetFormatPr defaultColWidth="11.453125" defaultRowHeight="14"/>
  <cols>
    <col min="1" max="1" width="5.26953125" style="1043" customWidth="1"/>
    <col min="2" max="2" width="46.54296875" style="1043" customWidth="1"/>
    <col min="3" max="3" width="2.1796875" style="1043" customWidth="1"/>
    <col min="4" max="4" width="6.81640625" style="1043" bestFit="1" customWidth="1"/>
    <col min="5" max="5" width="21.81640625" style="1043" bestFit="1" customWidth="1"/>
    <col min="6" max="6" width="18" style="1043" bestFit="1" customWidth="1"/>
    <col min="7" max="7" width="19" style="1043" bestFit="1" customWidth="1"/>
    <col min="8" max="8" width="15.7265625" style="1043" customWidth="1"/>
    <col min="9" max="16384" width="11.453125" style="1043"/>
  </cols>
  <sheetData>
    <row r="1" spans="1:8" ht="18">
      <c r="A1" s="1045"/>
      <c r="B1" s="1873" t="str">
        <f>+'ATT H-3D'!$A$4</f>
        <v>Delmarva Power &amp; Light Company</v>
      </c>
      <c r="C1" s="1873"/>
      <c r="D1" s="1873"/>
      <c r="E1" s="1873"/>
      <c r="F1" s="1873"/>
      <c r="G1" s="1873"/>
      <c r="H1" s="1045"/>
    </row>
    <row r="2" spans="1:8">
      <c r="A2" s="1045"/>
      <c r="B2" s="1993" t="s">
        <v>1105</v>
      </c>
      <c r="C2" s="1993"/>
      <c r="D2" s="1993"/>
      <c r="E2" s="1993"/>
      <c r="F2" s="1045"/>
      <c r="G2" s="1045"/>
      <c r="H2" s="1045"/>
    </row>
    <row r="3" spans="1:8">
      <c r="A3" s="1045"/>
      <c r="B3" s="1045"/>
      <c r="C3" s="1045"/>
      <c r="D3" s="1045"/>
      <c r="E3" s="1045"/>
      <c r="F3" s="1045"/>
      <c r="G3" s="1045"/>
      <c r="H3" s="1045"/>
    </row>
    <row r="4" spans="1:8">
      <c r="A4" s="1045"/>
      <c r="B4" s="1065"/>
      <c r="C4" s="1065"/>
      <c r="D4" s="1065"/>
      <c r="E4" s="1065"/>
      <c r="F4" s="1045"/>
      <c r="G4" s="1045"/>
      <c r="H4" s="1045"/>
    </row>
    <row r="5" spans="1:8">
      <c r="A5" s="1045"/>
      <c r="B5" s="1065"/>
      <c r="C5" s="1045"/>
      <c r="D5" s="1045"/>
      <c r="E5" s="1045"/>
      <c r="F5" s="1045"/>
      <c r="G5" s="1045"/>
      <c r="H5" s="1045"/>
    </row>
    <row r="6" spans="1:8">
      <c r="A6" s="1045"/>
      <c r="B6" s="1045"/>
      <c r="C6" s="1045"/>
      <c r="D6" s="1045"/>
      <c r="E6" s="1066" t="s">
        <v>513</v>
      </c>
      <c r="F6" s="1066" t="s">
        <v>514</v>
      </c>
      <c r="G6" s="1066" t="s">
        <v>515</v>
      </c>
      <c r="H6" s="1045"/>
    </row>
    <row r="7" spans="1:8">
      <c r="A7" s="1045"/>
      <c r="B7" s="1045"/>
      <c r="C7" s="1045"/>
      <c r="D7" s="1045"/>
      <c r="E7" s="1067" t="s">
        <v>1106</v>
      </c>
      <c r="F7" s="1045"/>
      <c r="G7" s="1045"/>
      <c r="H7" s="1045"/>
    </row>
    <row r="8" spans="1:8">
      <c r="A8" s="1045"/>
      <c r="B8" s="1045"/>
      <c r="C8" s="1045"/>
      <c r="D8" s="1045"/>
      <c r="E8" s="1068"/>
      <c r="F8" s="1069"/>
      <c r="G8" s="1069"/>
      <c r="H8" s="1045"/>
    </row>
    <row r="9" spans="1:8">
      <c r="A9" s="1045"/>
      <c r="B9" s="1070"/>
      <c r="C9" s="1071"/>
      <c r="D9" s="1072"/>
      <c r="E9" s="1073" t="s">
        <v>44</v>
      </c>
      <c r="F9" s="1073" t="s">
        <v>1107</v>
      </c>
      <c r="G9" s="1073" t="s">
        <v>1108</v>
      </c>
      <c r="H9" s="1045"/>
    </row>
    <row r="10" spans="1:8">
      <c r="A10" s="1074">
        <v>1</v>
      </c>
      <c r="B10" s="1075" t="s">
        <v>1109</v>
      </c>
      <c r="C10" s="1045"/>
      <c r="D10" s="1076">
        <v>560</v>
      </c>
      <c r="E10" s="1064">
        <v>4976195</v>
      </c>
      <c r="F10" s="1089"/>
      <c r="G10" s="1078">
        <f>E10-F10</f>
        <v>4976195</v>
      </c>
      <c r="H10" s="1045"/>
    </row>
    <row r="11" spans="1:8">
      <c r="A11" s="1074">
        <f>A10+1</f>
        <v>2</v>
      </c>
      <c r="B11" s="1075" t="s">
        <v>1110</v>
      </c>
      <c r="C11" s="1045"/>
      <c r="D11" s="1076">
        <v>561.1</v>
      </c>
      <c r="E11" s="1044">
        <v>373</v>
      </c>
      <c r="F11" s="1089"/>
      <c r="G11" s="1078">
        <f t="shared" ref="G11:G34" si="0">E11-F11</f>
        <v>373</v>
      </c>
      <c r="H11" s="1045"/>
    </row>
    <row r="12" spans="1:8">
      <c r="A12" s="1074">
        <f t="shared" ref="A12:A35" si="1">A11+1</f>
        <v>3</v>
      </c>
      <c r="B12" s="1075" t="s">
        <v>1111</v>
      </c>
      <c r="C12" s="1045"/>
      <c r="D12" s="1076">
        <v>561.20000000000005</v>
      </c>
      <c r="E12" s="1044">
        <v>985061</v>
      </c>
      <c r="F12" s="1091"/>
      <c r="G12" s="1078">
        <f t="shared" si="0"/>
        <v>985061</v>
      </c>
      <c r="H12" s="1045"/>
    </row>
    <row r="13" spans="1:8">
      <c r="A13" s="1074">
        <f t="shared" si="1"/>
        <v>4</v>
      </c>
      <c r="B13" s="1075" t="s">
        <v>1112</v>
      </c>
      <c r="C13" s="1045"/>
      <c r="D13" s="1076">
        <v>561.29999999999995</v>
      </c>
      <c r="E13" s="1044">
        <v>188</v>
      </c>
      <c r="F13" s="1091"/>
      <c r="G13" s="1078">
        <f t="shared" si="0"/>
        <v>188</v>
      </c>
      <c r="H13" s="1045"/>
    </row>
    <row r="14" spans="1:8">
      <c r="A14" s="1074">
        <f t="shared" si="1"/>
        <v>5</v>
      </c>
      <c r="B14" s="1075" t="s">
        <v>1113</v>
      </c>
      <c r="C14" s="1045"/>
      <c r="D14" s="1076">
        <v>561.4</v>
      </c>
      <c r="E14" s="1044">
        <v>-3172</v>
      </c>
      <c r="F14" s="1091"/>
      <c r="G14" s="1078">
        <f t="shared" si="0"/>
        <v>-3172</v>
      </c>
      <c r="H14" s="1045"/>
    </row>
    <row r="15" spans="1:8">
      <c r="A15" s="1074">
        <f t="shared" si="1"/>
        <v>6</v>
      </c>
      <c r="B15" s="1075" t="s">
        <v>1114</v>
      </c>
      <c r="C15" s="1045"/>
      <c r="D15" s="1076">
        <v>561.5</v>
      </c>
      <c r="E15" s="1044">
        <v>18598</v>
      </c>
      <c r="F15" s="1091"/>
      <c r="G15" s="1078">
        <f t="shared" si="0"/>
        <v>18598</v>
      </c>
      <c r="H15" s="1045"/>
    </row>
    <row r="16" spans="1:8">
      <c r="A16" s="1074">
        <f t="shared" si="1"/>
        <v>7</v>
      </c>
      <c r="B16" s="1075" t="s">
        <v>1115</v>
      </c>
      <c r="C16" s="1045"/>
      <c r="D16" s="1076">
        <v>561.6</v>
      </c>
      <c r="E16" s="1044">
        <v>0</v>
      </c>
      <c r="F16" s="1091"/>
      <c r="G16" s="1078">
        <f t="shared" si="0"/>
        <v>0</v>
      </c>
      <c r="H16" s="1045"/>
    </row>
    <row r="17" spans="1:8">
      <c r="A17" s="1074">
        <f t="shared" si="1"/>
        <v>8</v>
      </c>
      <c r="B17" s="1075" t="s">
        <v>1116</v>
      </c>
      <c r="C17" s="1045"/>
      <c r="D17" s="1080">
        <v>561.70000000000005</v>
      </c>
      <c r="E17" s="1044">
        <v>0</v>
      </c>
      <c r="F17" s="1091"/>
      <c r="G17" s="1078">
        <f t="shared" si="0"/>
        <v>0</v>
      </c>
      <c r="H17" s="1045"/>
    </row>
    <row r="18" spans="1:8">
      <c r="A18" s="1074">
        <f t="shared" si="1"/>
        <v>9</v>
      </c>
      <c r="B18" s="1075" t="s">
        <v>1117</v>
      </c>
      <c r="C18" s="1045"/>
      <c r="D18" s="1076">
        <v>561.79999999999995</v>
      </c>
      <c r="E18" s="1044">
        <v>-2070</v>
      </c>
      <c r="F18" s="1091"/>
      <c r="G18" s="1078">
        <f t="shared" si="0"/>
        <v>-2070</v>
      </c>
      <c r="H18" s="1045"/>
    </row>
    <row r="19" spans="1:8">
      <c r="A19" s="1074">
        <f t="shared" si="1"/>
        <v>10</v>
      </c>
      <c r="B19" s="1075" t="s">
        <v>1118</v>
      </c>
      <c r="C19" s="1045"/>
      <c r="D19" s="1076">
        <v>562</v>
      </c>
      <c r="E19" s="1044">
        <v>0</v>
      </c>
      <c r="F19" s="1091"/>
      <c r="G19" s="1078">
        <f t="shared" si="0"/>
        <v>0</v>
      </c>
      <c r="H19" s="1045"/>
    </row>
    <row r="20" spans="1:8">
      <c r="A20" s="1074">
        <f t="shared" si="1"/>
        <v>11</v>
      </c>
      <c r="B20" s="1075" t="s">
        <v>1119</v>
      </c>
      <c r="C20" s="1045"/>
      <c r="D20" s="1076">
        <v>563</v>
      </c>
      <c r="E20" s="1044">
        <v>0</v>
      </c>
      <c r="F20" s="1091"/>
      <c r="G20" s="1078">
        <f t="shared" si="0"/>
        <v>0</v>
      </c>
      <c r="H20" s="1045"/>
    </row>
    <row r="21" spans="1:8">
      <c r="A21" s="1074">
        <f t="shared" si="1"/>
        <v>12</v>
      </c>
      <c r="B21" s="1075" t="s">
        <v>1120</v>
      </c>
      <c r="C21" s="1045"/>
      <c r="D21" s="1076">
        <v>564</v>
      </c>
      <c r="E21" s="1044">
        <v>0</v>
      </c>
      <c r="F21" s="1091"/>
      <c r="G21" s="1078">
        <f t="shared" si="0"/>
        <v>0</v>
      </c>
      <c r="H21" s="1045"/>
    </row>
    <row r="22" spans="1:8">
      <c r="A22" s="1074">
        <f t="shared" si="1"/>
        <v>13</v>
      </c>
      <c r="B22" s="1075" t="s">
        <v>1121</v>
      </c>
      <c r="C22" s="1045"/>
      <c r="D22" s="1076">
        <v>565</v>
      </c>
      <c r="E22" s="1044">
        <v>0</v>
      </c>
      <c r="F22" s="1091"/>
      <c r="G22" s="1078">
        <f t="shared" si="0"/>
        <v>0</v>
      </c>
      <c r="H22" s="1045"/>
    </row>
    <row r="23" spans="1:8">
      <c r="A23" s="1074">
        <f t="shared" si="1"/>
        <v>14</v>
      </c>
      <c r="B23" s="1075" t="s">
        <v>1122</v>
      </c>
      <c r="C23" s="1045"/>
      <c r="D23" s="1076">
        <v>566</v>
      </c>
      <c r="E23" s="1044">
        <v>3381656</v>
      </c>
      <c r="F23" s="1091"/>
      <c r="G23" s="1078">
        <f>E23-F23</f>
        <v>3381656</v>
      </c>
      <c r="H23" s="1045"/>
    </row>
    <row r="24" spans="1:8">
      <c r="A24" s="1074">
        <f t="shared" si="1"/>
        <v>15</v>
      </c>
      <c r="B24" s="1075" t="s">
        <v>1034</v>
      </c>
      <c r="C24" s="1045"/>
      <c r="D24" s="1076">
        <v>567</v>
      </c>
      <c r="E24" s="1044">
        <v>0</v>
      </c>
      <c r="F24" s="1091"/>
      <c r="G24" s="1078">
        <f t="shared" si="0"/>
        <v>0</v>
      </c>
      <c r="H24" s="1045"/>
    </row>
    <row r="25" spans="1:8">
      <c r="A25" s="1074">
        <f t="shared" si="1"/>
        <v>16</v>
      </c>
      <c r="B25" s="1075" t="s">
        <v>1123</v>
      </c>
      <c r="C25" s="1045"/>
      <c r="D25" s="1076">
        <v>568</v>
      </c>
      <c r="E25" s="1044">
        <v>13070</v>
      </c>
      <c r="F25" s="1091"/>
      <c r="G25" s="1078">
        <f t="shared" si="0"/>
        <v>13070</v>
      </c>
      <c r="H25" s="1045"/>
    </row>
    <row r="26" spans="1:8">
      <c r="A26" s="1074">
        <f t="shared" si="1"/>
        <v>17</v>
      </c>
      <c r="B26" s="1075" t="s">
        <v>1124</v>
      </c>
      <c r="C26" s="1045"/>
      <c r="D26" s="1076">
        <v>569</v>
      </c>
      <c r="E26" s="1044">
        <v>1092116</v>
      </c>
      <c r="F26" s="1091"/>
      <c r="G26" s="1078">
        <f t="shared" si="0"/>
        <v>1092116</v>
      </c>
      <c r="H26" s="1045"/>
    </row>
    <row r="27" spans="1:8">
      <c r="A27" s="1074">
        <f t="shared" si="1"/>
        <v>18</v>
      </c>
      <c r="B27" s="1075" t="s">
        <v>1125</v>
      </c>
      <c r="C27" s="1045"/>
      <c r="D27" s="1076">
        <v>569.1</v>
      </c>
      <c r="E27" s="1044">
        <v>0</v>
      </c>
      <c r="F27" s="1091"/>
      <c r="G27" s="1078">
        <f t="shared" si="0"/>
        <v>0</v>
      </c>
      <c r="H27" s="1045"/>
    </row>
    <row r="28" spans="1:8">
      <c r="A28" s="1074">
        <f t="shared" si="1"/>
        <v>19</v>
      </c>
      <c r="B28" s="1075" t="s">
        <v>1126</v>
      </c>
      <c r="C28" s="1045"/>
      <c r="D28" s="1076">
        <v>569.20000000000005</v>
      </c>
      <c r="E28" s="1044">
        <v>0</v>
      </c>
      <c r="F28" s="1091"/>
      <c r="G28" s="1078">
        <f t="shared" si="0"/>
        <v>0</v>
      </c>
      <c r="H28" s="1045"/>
    </row>
    <row r="29" spans="1:8">
      <c r="A29" s="1074">
        <f t="shared" si="1"/>
        <v>20</v>
      </c>
      <c r="B29" s="1075" t="s">
        <v>1127</v>
      </c>
      <c r="C29" s="1045"/>
      <c r="D29" s="1076">
        <v>569.29999999999995</v>
      </c>
      <c r="E29" s="1044">
        <v>0</v>
      </c>
      <c r="F29" s="1091"/>
      <c r="G29" s="1078">
        <f t="shared" si="0"/>
        <v>0</v>
      </c>
      <c r="H29" s="1045"/>
    </row>
    <row r="30" spans="1:8">
      <c r="A30" s="1074">
        <f t="shared" si="1"/>
        <v>21</v>
      </c>
      <c r="B30" s="1075" t="s">
        <v>1128</v>
      </c>
      <c r="C30" s="1045"/>
      <c r="D30" s="1076">
        <v>569.4</v>
      </c>
      <c r="E30" s="1044">
        <v>0</v>
      </c>
      <c r="F30" s="1091"/>
      <c r="G30" s="1078">
        <f t="shared" si="0"/>
        <v>0</v>
      </c>
      <c r="H30" s="1045"/>
    </row>
    <row r="31" spans="1:8">
      <c r="A31" s="1074">
        <f t="shared" si="1"/>
        <v>22</v>
      </c>
      <c r="B31" s="1075" t="s">
        <v>1129</v>
      </c>
      <c r="C31" s="1045"/>
      <c r="D31" s="1076">
        <v>570</v>
      </c>
      <c r="E31" s="1044">
        <v>8323338</v>
      </c>
      <c r="F31" s="1091"/>
      <c r="G31" s="1078">
        <f t="shared" si="0"/>
        <v>8323338</v>
      </c>
      <c r="H31" s="1045"/>
    </row>
    <row r="32" spans="1:8">
      <c r="A32" s="1074">
        <f t="shared" si="1"/>
        <v>23</v>
      </c>
      <c r="B32" s="1075" t="s">
        <v>1130</v>
      </c>
      <c r="C32" s="1045"/>
      <c r="D32" s="1076">
        <v>571</v>
      </c>
      <c r="E32" s="1044">
        <v>4351661</v>
      </c>
      <c r="F32" s="1091"/>
      <c r="G32" s="1078">
        <f t="shared" si="0"/>
        <v>4351661</v>
      </c>
      <c r="H32" s="1045"/>
    </row>
    <row r="33" spans="1:8">
      <c r="A33" s="1074">
        <f t="shared" si="1"/>
        <v>24</v>
      </c>
      <c r="B33" s="1075" t="s">
        <v>1131</v>
      </c>
      <c r="C33" s="1045"/>
      <c r="D33" s="1076">
        <v>572</v>
      </c>
      <c r="E33" s="1044">
        <v>49153</v>
      </c>
      <c r="F33" s="1091"/>
      <c r="G33" s="1078">
        <f t="shared" si="0"/>
        <v>49153</v>
      </c>
      <c r="H33" s="1045"/>
    </row>
    <row r="34" spans="1:8">
      <c r="A34" s="1074">
        <f t="shared" si="1"/>
        <v>25</v>
      </c>
      <c r="B34" s="1081" t="s">
        <v>1132</v>
      </c>
      <c r="C34" s="1045"/>
      <c r="D34" s="1076">
        <v>573</v>
      </c>
      <c r="E34" s="1044">
        <v>440855</v>
      </c>
      <c r="F34" s="1089"/>
      <c r="G34" s="1078">
        <f t="shared" si="0"/>
        <v>440855</v>
      </c>
      <c r="H34" s="1079"/>
    </row>
    <row r="35" spans="1:8">
      <c r="A35" s="1074">
        <f t="shared" si="1"/>
        <v>26</v>
      </c>
      <c r="B35" s="1065" t="s">
        <v>1295</v>
      </c>
      <c r="C35" s="1045"/>
      <c r="D35" s="1074"/>
      <c r="E35" s="1082">
        <f>SUM(E10:E34)</f>
        <v>23627022</v>
      </c>
      <c r="F35" s="1082">
        <f>SUM(F10:F34)</f>
        <v>0</v>
      </c>
      <c r="G35" s="1082">
        <f>SUM(G10:G34)</f>
        <v>23627022</v>
      </c>
      <c r="H35" s="1045"/>
    </row>
    <row r="36" spans="1:8">
      <c r="A36" s="1074"/>
      <c r="B36" s="1045"/>
      <c r="C36" s="1045"/>
      <c r="D36" s="1045"/>
      <c r="E36" s="1045"/>
      <c r="F36" s="1045"/>
      <c r="G36" s="1045"/>
      <c r="H36" s="1045"/>
    </row>
    <row r="37" spans="1:8">
      <c r="A37" s="1045"/>
      <c r="B37" s="1045"/>
      <c r="C37" s="1045"/>
      <c r="D37" s="1045"/>
      <c r="E37" s="1083"/>
      <c r="F37" s="1084"/>
      <c r="G37" s="1084"/>
      <c r="H37" s="1045"/>
    </row>
    <row r="38" spans="1:8">
      <c r="A38" s="1074">
        <f>A35+1</f>
        <v>27</v>
      </c>
      <c r="B38" s="1083" t="s">
        <v>1133</v>
      </c>
      <c r="C38" s="1045"/>
      <c r="D38" s="1045"/>
      <c r="E38" s="1045"/>
      <c r="F38" s="1083" t="s">
        <v>44</v>
      </c>
      <c r="G38" s="1079">
        <f>+G35</f>
        <v>23627022</v>
      </c>
      <c r="H38" s="1045"/>
    </row>
    <row r="39" spans="1:8">
      <c r="A39" s="1074"/>
      <c r="B39" s="1045"/>
      <c r="C39" s="1045"/>
      <c r="D39" s="1045"/>
      <c r="E39" s="1045"/>
      <c r="F39" s="1045"/>
      <c r="G39" s="1085"/>
      <c r="H39" s="1086"/>
    </row>
    <row r="40" spans="1:8">
      <c r="A40" s="1045"/>
      <c r="B40" s="1045"/>
      <c r="C40" s="1045"/>
      <c r="D40" s="1045"/>
      <c r="E40" s="1045"/>
      <c r="F40" s="1045"/>
      <c r="G40" s="1045"/>
      <c r="H40" s="1045"/>
    </row>
    <row r="41" spans="1:8">
      <c r="A41" s="1045"/>
      <c r="B41" s="1045"/>
      <c r="C41" s="1045"/>
      <c r="D41" s="1045"/>
      <c r="E41" s="1045"/>
      <c r="F41" s="1045"/>
      <c r="G41" s="1120"/>
      <c r="H41" s="1045"/>
    </row>
  </sheetData>
  <mergeCells count="2">
    <mergeCell ref="B2:E2"/>
    <mergeCell ref="B1:G1"/>
  </mergeCells>
  <pageMargins left="0.25" right="0.25" top="0.75" bottom="0.75" header="0.3" footer="0.3"/>
  <pageSetup scale="9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G87" sqref="G87"/>
    </sheetView>
  </sheetViews>
  <sheetFormatPr defaultColWidth="11.453125" defaultRowHeight="14"/>
  <cols>
    <col min="1" max="1" width="5.26953125" style="1043" customWidth="1"/>
    <col min="2" max="2" width="46.54296875" style="1043" customWidth="1"/>
    <col min="3" max="3" width="2.1796875" style="1043" customWidth="1"/>
    <col min="4" max="4" width="9.7265625" style="1043" customWidth="1"/>
    <col min="5" max="5" width="21.81640625" style="1043" bestFit="1" customWidth="1"/>
    <col min="6" max="6" width="2.81640625" style="1043" customWidth="1"/>
    <col min="7" max="7" width="19" style="1043" bestFit="1" customWidth="1"/>
    <col min="8" max="8" width="22.54296875" style="1043" bestFit="1" customWidth="1"/>
    <col min="9" max="9" width="18" style="1043" bestFit="1" customWidth="1"/>
    <col min="10" max="10" width="19" style="1043" bestFit="1" customWidth="1"/>
    <col min="11" max="11" width="5.54296875" style="1043" customWidth="1"/>
    <col min="12" max="16384" width="11.453125" style="1043"/>
  </cols>
  <sheetData>
    <row r="1" spans="1:12" ht="18">
      <c r="A1" s="1045"/>
      <c r="B1" s="1873" t="str">
        <f>+'ATT H-3D'!$A$4</f>
        <v>Delmarva Power &amp; Light Company</v>
      </c>
      <c r="C1" s="1873"/>
      <c r="D1" s="1873"/>
      <c r="E1" s="1873"/>
      <c r="F1" s="1873"/>
      <c r="G1" s="1873"/>
      <c r="H1" s="1045"/>
      <c r="I1" s="1045"/>
      <c r="J1" s="1045"/>
      <c r="K1" s="1045"/>
      <c r="L1" s="1045"/>
    </row>
    <row r="2" spans="1:12">
      <c r="A2" s="1045"/>
      <c r="B2" s="1993" t="s">
        <v>1134</v>
      </c>
      <c r="C2" s="1993"/>
      <c r="D2" s="1993"/>
      <c r="E2" s="1993"/>
      <c r="F2" s="1993"/>
      <c r="G2" s="1993"/>
      <c r="H2" s="1045"/>
      <c r="I2" s="1045"/>
      <c r="J2" s="1045"/>
      <c r="K2" s="1045"/>
      <c r="L2" s="1045"/>
    </row>
    <row r="3" spans="1:12">
      <c r="A3" s="1045"/>
      <c r="B3" s="1045"/>
      <c r="C3" s="1045"/>
      <c r="D3" s="1045"/>
      <c r="E3" s="1045"/>
      <c r="F3" s="1045"/>
      <c r="G3" s="1045"/>
      <c r="H3" s="1045"/>
      <c r="I3" s="1045"/>
      <c r="J3" s="1045"/>
      <c r="K3" s="1045"/>
      <c r="L3" s="1045"/>
    </row>
    <row r="4" spans="1:12">
      <c r="A4" s="1045"/>
      <c r="B4" s="1065"/>
      <c r="C4" s="1065"/>
      <c r="D4" s="1065"/>
      <c r="E4" s="1065"/>
      <c r="F4" s="1065"/>
      <c r="G4" s="1065"/>
      <c r="H4" s="1045"/>
      <c r="I4" s="1045"/>
      <c r="J4" s="1045"/>
      <c r="K4" s="1045"/>
      <c r="L4" s="1045"/>
    </row>
    <row r="5" spans="1:12">
      <c r="A5" s="1045"/>
      <c r="B5" s="1065"/>
      <c r="C5" s="1045"/>
      <c r="D5" s="1045"/>
      <c r="E5" s="1045"/>
      <c r="F5" s="1045"/>
      <c r="G5" s="1045"/>
      <c r="H5" s="1045"/>
      <c r="I5" s="1045"/>
      <c r="J5" s="1045"/>
      <c r="K5" s="1045"/>
      <c r="L5" s="1045"/>
    </row>
    <row r="6" spans="1:12">
      <c r="A6" s="1045"/>
      <c r="B6" s="1045"/>
      <c r="C6" s="1045"/>
      <c r="D6" s="1045"/>
      <c r="E6" s="1066" t="s">
        <v>513</v>
      </c>
      <c r="F6" s="1045"/>
      <c r="G6" s="1066" t="s">
        <v>514</v>
      </c>
      <c r="H6" s="1066" t="s">
        <v>515</v>
      </c>
      <c r="I6" s="1087" t="s">
        <v>516</v>
      </c>
      <c r="J6" s="1066" t="s">
        <v>517</v>
      </c>
      <c r="K6" s="1045"/>
      <c r="L6" s="1045"/>
    </row>
    <row r="7" spans="1:12">
      <c r="A7" s="1045"/>
      <c r="B7" s="1045"/>
      <c r="C7" s="1045"/>
      <c r="D7" s="1045"/>
      <c r="E7" s="1067" t="s">
        <v>1135</v>
      </c>
      <c r="F7" s="1045"/>
      <c r="G7" s="1045"/>
      <c r="H7" s="1045"/>
      <c r="I7" s="1045"/>
      <c r="J7" s="1045"/>
      <c r="K7" s="1045"/>
      <c r="L7" s="1045"/>
    </row>
    <row r="8" spans="1:12">
      <c r="A8" s="1045"/>
      <c r="B8" s="1045"/>
      <c r="C8" s="1045"/>
      <c r="D8" s="1045"/>
      <c r="E8" s="1068"/>
      <c r="F8" s="1069"/>
      <c r="G8" s="1069"/>
      <c r="H8" s="1069"/>
      <c r="I8" s="1069"/>
      <c r="J8" s="1069"/>
      <c r="K8" s="1045"/>
      <c r="L8" s="1045"/>
    </row>
    <row r="9" spans="1:12">
      <c r="A9" s="1045"/>
      <c r="B9" s="1070"/>
      <c r="C9" s="1071"/>
      <c r="D9" s="1072"/>
      <c r="E9" s="1073" t="s">
        <v>44</v>
      </c>
      <c r="F9" s="1073"/>
      <c r="G9" s="1073" t="s">
        <v>1136</v>
      </c>
      <c r="H9" s="1073" t="s">
        <v>1137</v>
      </c>
      <c r="I9" s="1073" t="s">
        <v>1107</v>
      </c>
      <c r="J9" s="1073" t="s">
        <v>1108</v>
      </c>
      <c r="K9" s="1045"/>
      <c r="L9" s="1045"/>
    </row>
    <row r="10" spans="1:12">
      <c r="A10" s="1074">
        <v>1</v>
      </c>
      <c r="B10" s="1075" t="s">
        <v>1138</v>
      </c>
      <c r="C10" s="1045"/>
      <c r="D10" s="1076">
        <v>920</v>
      </c>
      <c r="E10" s="1064">
        <f>SUM(G10:J10)</f>
        <v>4026349</v>
      </c>
      <c r="F10" s="1088"/>
      <c r="G10" s="1064">
        <v>4026349</v>
      </c>
      <c r="H10" s="1077"/>
      <c r="I10" s="1089"/>
      <c r="J10" s="1078">
        <v>0</v>
      </c>
      <c r="K10" s="1045"/>
      <c r="L10" s="1045"/>
    </row>
    <row r="11" spans="1:12">
      <c r="A11" s="1074">
        <f>A10+1</f>
        <v>2</v>
      </c>
      <c r="B11" s="1075" t="s">
        <v>1139</v>
      </c>
      <c r="C11" s="1045"/>
      <c r="D11" s="1076">
        <v>921</v>
      </c>
      <c r="E11" s="1064">
        <f t="shared" ref="E11:E21" si="0">SUM(G11:J11)</f>
        <v>5169761</v>
      </c>
      <c r="F11" s="1090"/>
      <c r="G11" s="1044">
        <v>5169761</v>
      </c>
      <c r="H11" s="1079"/>
      <c r="I11" s="1091"/>
      <c r="J11" s="1092">
        <v>0</v>
      </c>
      <c r="K11" s="1045"/>
      <c r="L11" s="1045"/>
    </row>
    <row r="12" spans="1:12">
      <c r="A12" s="1074">
        <f t="shared" ref="A12:A24" si="1">A11+1</f>
        <v>3</v>
      </c>
      <c r="B12" s="1075" t="s">
        <v>1140</v>
      </c>
      <c r="C12" s="1045"/>
      <c r="D12" s="1076">
        <v>922</v>
      </c>
      <c r="E12" s="1064">
        <f t="shared" si="0"/>
        <v>0</v>
      </c>
      <c r="F12" s="1090"/>
      <c r="G12" s="1044">
        <v>0</v>
      </c>
      <c r="H12" s="1079"/>
      <c r="I12" s="1091"/>
      <c r="J12" s="1092">
        <v>0</v>
      </c>
      <c r="K12" s="1045"/>
      <c r="L12" s="1045"/>
    </row>
    <row r="13" spans="1:12">
      <c r="A13" s="1074">
        <f t="shared" si="1"/>
        <v>4</v>
      </c>
      <c r="B13" s="1075" t="s">
        <v>1141</v>
      </c>
      <c r="C13" s="1045"/>
      <c r="D13" s="1076">
        <v>923</v>
      </c>
      <c r="E13" s="1064">
        <f t="shared" si="0"/>
        <v>66439481</v>
      </c>
      <c r="F13" s="1090"/>
      <c r="G13" s="1044">
        <f>66439481-I13</f>
        <v>65931140.643635809</v>
      </c>
      <c r="H13" s="1095"/>
      <c r="I13" s="1091">
        <f>'5 - Cost Support 1'!H227+'5 - Cost Support 1'!J227+'5 - Cost Support 1'!K227+'5 - Cost Support 1'!I227</f>
        <v>508340.35636418965</v>
      </c>
      <c r="J13" s="1092">
        <v>0</v>
      </c>
      <c r="K13" s="1045"/>
      <c r="L13" s="1045"/>
    </row>
    <row r="14" spans="1:12">
      <c r="A14" s="1074">
        <f t="shared" si="1"/>
        <v>5</v>
      </c>
      <c r="B14" s="1075" t="s">
        <v>1035</v>
      </c>
      <c r="C14" s="1045"/>
      <c r="D14" s="1076">
        <v>924</v>
      </c>
      <c r="E14" s="1064">
        <f t="shared" si="0"/>
        <v>673516</v>
      </c>
      <c r="F14" s="1090"/>
      <c r="G14" s="1044"/>
      <c r="H14" s="1091">
        <v>673516</v>
      </c>
      <c r="I14" s="1091"/>
      <c r="J14" s="1092">
        <v>0</v>
      </c>
      <c r="K14" s="1045"/>
      <c r="L14" s="1045"/>
    </row>
    <row r="15" spans="1:12">
      <c r="A15" s="1074">
        <f t="shared" si="1"/>
        <v>6</v>
      </c>
      <c r="B15" s="1075" t="s">
        <v>1142</v>
      </c>
      <c r="C15" s="1045"/>
      <c r="D15" s="1076">
        <v>925</v>
      </c>
      <c r="E15" s="1064">
        <f t="shared" si="0"/>
        <v>1197356</v>
      </c>
      <c r="F15" s="1090"/>
      <c r="G15" s="1044">
        <v>1197356</v>
      </c>
      <c r="H15" s="1079"/>
      <c r="I15" s="1091"/>
      <c r="J15" s="1092">
        <v>0</v>
      </c>
      <c r="K15" s="1045"/>
      <c r="L15" s="1045"/>
    </row>
    <row r="16" spans="1:12">
      <c r="A16" s="1074">
        <f t="shared" si="1"/>
        <v>7</v>
      </c>
      <c r="B16" s="1075" t="s">
        <v>1143</v>
      </c>
      <c r="C16" s="1045"/>
      <c r="D16" s="1080">
        <v>926</v>
      </c>
      <c r="E16" s="1064">
        <f t="shared" si="0"/>
        <v>9307960</v>
      </c>
      <c r="F16" s="1090"/>
      <c r="G16" s="1044">
        <v>9307960</v>
      </c>
      <c r="H16" s="1079"/>
      <c r="I16" s="1091"/>
      <c r="J16" s="1092">
        <v>0</v>
      </c>
      <c r="K16" s="1045"/>
      <c r="L16" s="1045"/>
    </row>
    <row r="17" spans="1:12">
      <c r="A17" s="1074">
        <f t="shared" si="1"/>
        <v>8</v>
      </c>
      <c r="B17" s="1075" t="s">
        <v>1144</v>
      </c>
      <c r="C17" s="1045"/>
      <c r="D17" s="1076">
        <v>927</v>
      </c>
      <c r="E17" s="1064">
        <f t="shared" si="0"/>
        <v>0</v>
      </c>
      <c r="F17" s="1090"/>
      <c r="G17" s="1044">
        <v>0</v>
      </c>
      <c r="H17" s="1079"/>
      <c r="I17" s="1091"/>
      <c r="J17" s="1092">
        <v>0</v>
      </c>
      <c r="K17" s="1045"/>
      <c r="L17" s="1045"/>
    </row>
    <row r="18" spans="1:12">
      <c r="A18" s="1074">
        <f t="shared" si="1"/>
        <v>9</v>
      </c>
      <c r="B18" s="1075" t="s">
        <v>1145</v>
      </c>
      <c r="C18" s="1045"/>
      <c r="D18" s="1076">
        <v>928</v>
      </c>
      <c r="E18" s="1064">
        <f t="shared" si="0"/>
        <v>2200314</v>
      </c>
      <c r="F18" s="1090"/>
      <c r="G18" s="1044">
        <v>0</v>
      </c>
      <c r="H18" s="1079"/>
      <c r="I18" s="1091">
        <f>2200314-J18</f>
        <v>1948002</v>
      </c>
      <c r="J18" s="1044">
        <v>252312</v>
      </c>
      <c r="K18" s="1045"/>
      <c r="L18" s="1045"/>
    </row>
    <row r="19" spans="1:12">
      <c r="A19" s="1074">
        <f t="shared" si="1"/>
        <v>10</v>
      </c>
      <c r="B19" s="1075" t="s">
        <v>1146</v>
      </c>
      <c r="C19" s="1045"/>
      <c r="D19" s="1076">
        <v>929</v>
      </c>
      <c r="E19" s="1064">
        <f t="shared" si="0"/>
        <v>0</v>
      </c>
      <c r="F19" s="1090"/>
      <c r="G19" s="1044">
        <v>0</v>
      </c>
      <c r="H19" s="1079"/>
      <c r="I19" s="1091"/>
      <c r="J19" s="1092">
        <v>0</v>
      </c>
      <c r="K19" s="1045"/>
      <c r="L19" s="1045"/>
    </row>
    <row r="20" spans="1:12">
      <c r="A20" s="1074">
        <f t="shared" si="1"/>
        <v>11</v>
      </c>
      <c r="B20" s="1075" t="s">
        <v>1147</v>
      </c>
      <c r="C20" s="1045"/>
      <c r="D20" s="1076">
        <v>930.1</v>
      </c>
      <c r="E20" s="1064">
        <f t="shared" si="0"/>
        <v>478062</v>
      </c>
      <c r="F20" s="1090"/>
      <c r="G20" s="1044"/>
      <c r="H20" s="1079"/>
      <c r="I20" s="1091">
        <v>478062</v>
      </c>
      <c r="J20" s="1092">
        <v>0</v>
      </c>
      <c r="K20" s="1045"/>
      <c r="L20" s="1045"/>
    </row>
    <row r="21" spans="1:12">
      <c r="A21" s="1074">
        <f t="shared" si="1"/>
        <v>12</v>
      </c>
      <c r="B21" s="1075" t="s">
        <v>1148</v>
      </c>
      <c r="C21" s="1045"/>
      <c r="D21" s="1076">
        <v>930.2</v>
      </c>
      <c r="E21" s="1064">
        <f t="shared" si="0"/>
        <v>7056229</v>
      </c>
      <c r="F21" s="1090"/>
      <c r="G21" s="1044">
        <f>7056229-I21</f>
        <v>638848</v>
      </c>
      <c r="H21" s="1079"/>
      <c r="I21" s="1091">
        <f>'5 - Cost Support 1'!H44+6177959</f>
        <v>6417381</v>
      </c>
      <c r="J21" s="1092">
        <v>0</v>
      </c>
      <c r="K21" s="1045"/>
      <c r="L21" s="1045"/>
    </row>
    <row r="22" spans="1:12">
      <c r="A22" s="1074">
        <f t="shared" si="1"/>
        <v>13</v>
      </c>
      <c r="B22" s="1075" t="s">
        <v>1034</v>
      </c>
      <c r="C22" s="1045"/>
      <c r="D22" s="1076">
        <v>931</v>
      </c>
      <c r="E22" s="1064">
        <f t="shared" ref="E22:E23" si="2">SUM(G22:J22)</f>
        <v>0</v>
      </c>
      <c r="F22" s="1090"/>
      <c r="G22" s="1044">
        <v>0</v>
      </c>
      <c r="H22" s="1079"/>
      <c r="I22" s="1091"/>
      <c r="J22" s="1092">
        <v>0</v>
      </c>
      <c r="K22" s="1045"/>
      <c r="L22" s="1045"/>
    </row>
    <row r="23" spans="1:12">
      <c r="A23" s="1074">
        <f t="shared" si="1"/>
        <v>14</v>
      </c>
      <c r="B23" s="1081" t="s">
        <v>1149</v>
      </c>
      <c r="C23" s="1045"/>
      <c r="D23" s="1072">
        <v>935</v>
      </c>
      <c r="E23" s="1064">
        <f t="shared" si="2"/>
        <v>-7488</v>
      </c>
      <c r="F23" s="1090"/>
      <c r="G23" s="1064">
        <v>-7488</v>
      </c>
      <c r="H23" s="1077"/>
      <c r="I23" s="1089"/>
      <c r="J23" s="1093">
        <v>0</v>
      </c>
      <c r="K23" s="1079"/>
      <c r="L23" s="1045"/>
    </row>
    <row r="24" spans="1:12">
      <c r="A24" s="1074">
        <f t="shared" si="1"/>
        <v>15</v>
      </c>
      <c r="B24" s="1065" t="s">
        <v>1150</v>
      </c>
      <c r="C24" s="1045"/>
      <c r="D24" s="1074"/>
      <c r="E24" s="1082">
        <f>SUM(E10:E23)</f>
        <v>96541540</v>
      </c>
      <c r="F24" s="1094"/>
      <c r="G24" s="1082">
        <f>SUM(G10:G23)</f>
        <v>86263926.643635809</v>
      </c>
      <c r="H24" s="1082">
        <f t="shared" ref="H24:J24" si="3">SUM(H10:H23)</f>
        <v>673516</v>
      </c>
      <c r="I24" s="1082">
        <f t="shared" si="3"/>
        <v>9351785.3563641906</v>
      </c>
      <c r="J24" s="1082">
        <f t="shared" si="3"/>
        <v>252312</v>
      </c>
      <c r="K24" s="1045"/>
      <c r="L24" s="1045"/>
    </row>
    <row r="25" spans="1:12">
      <c r="A25" s="1074"/>
      <c r="B25" s="1045"/>
      <c r="C25" s="1045"/>
      <c r="D25" s="1045"/>
      <c r="E25" s="1045"/>
      <c r="F25" s="1045"/>
      <c r="G25" s="1045"/>
      <c r="H25" s="1045"/>
      <c r="I25" s="1045"/>
      <c r="J25" s="1045"/>
      <c r="K25" s="1045"/>
      <c r="L25" s="1045"/>
    </row>
    <row r="26" spans="1:12">
      <c r="A26" s="1074">
        <f>A24+1</f>
        <v>16</v>
      </c>
      <c r="B26" s="1045"/>
      <c r="C26" s="1045"/>
      <c r="D26" s="1045"/>
      <c r="E26" s="1083" t="s">
        <v>1056</v>
      </c>
      <c r="F26" s="1045"/>
      <c r="G26" s="1084">
        <f>+'ATT H-3D'!H16</f>
        <v>0.13016492184368511</v>
      </c>
      <c r="H26" s="1084">
        <f>+'ATT H-3D'!H40</f>
        <v>0.38932001424912871</v>
      </c>
      <c r="I26" s="1084">
        <v>0</v>
      </c>
      <c r="J26" s="1084">
        <v>1</v>
      </c>
      <c r="K26" s="1045"/>
      <c r="L26" s="1045"/>
    </row>
    <row r="27" spans="1:12" ht="15.5">
      <c r="A27" s="1074">
        <f t="shared" ref="A27:A28" si="4">A26+1</f>
        <v>17</v>
      </c>
      <c r="B27" s="1045"/>
      <c r="C27" s="1045"/>
      <c r="D27" s="1045"/>
      <c r="E27" s="1083" t="s">
        <v>1192</v>
      </c>
      <c r="F27" s="1045"/>
      <c r="G27" s="1079">
        <f>G24*G26</f>
        <v>11228537.26949824</v>
      </c>
      <c r="H27" s="1079">
        <f t="shared" ref="H27:J27" si="5">H24*H26</f>
        <v>262213.2587170162</v>
      </c>
      <c r="I27" s="1079">
        <f t="shared" si="5"/>
        <v>0</v>
      </c>
      <c r="J27" s="1079">
        <f t="shared" si="5"/>
        <v>252312</v>
      </c>
      <c r="K27" s="1045"/>
      <c r="L27" s="1045"/>
    </row>
    <row r="28" spans="1:12" ht="15.5">
      <c r="A28" s="1074">
        <f t="shared" si="4"/>
        <v>18</v>
      </c>
      <c r="B28" s="1045"/>
      <c r="C28" s="1045"/>
      <c r="D28" s="1045"/>
      <c r="E28" s="1045"/>
      <c r="F28" s="1045"/>
      <c r="G28" s="1045"/>
      <c r="H28" s="1045"/>
      <c r="I28" s="1083" t="s">
        <v>1193</v>
      </c>
      <c r="J28" s="1085">
        <f>SUM(G27:J27)</f>
        <v>11743062.528215256</v>
      </c>
      <c r="K28" s="1086"/>
      <c r="L28" s="1045"/>
    </row>
    <row r="29" spans="1:12">
      <c r="A29" s="1045"/>
      <c r="B29" s="1045"/>
      <c r="C29" s="1045"/>
      <c r="D29" s="1045"/>
      <c r="E29" s="1045"/>
      <c r="F29" s="1045"/>
      <c r="G29" s="1815"/>
      <c r="H29" s="1045"/>
      <c r="I29" s="1045"/>
      <c r="J29" s="1045"/>
      <c r="K29" s="1045"/>
      <c r="L29" s="1045"/>
    </row>
    <row r="30" spans="1:12" ht="15.5">
      <c r="A30" s="1045" t="s">
        <v>1194</v>
      </c>
      <c r="B30" s="1045"/>
      <c r="C30" s="1045"/>
      <c r="D30" s="1045"/>
      <c r="E30" s="1045"/>
      <c r="F30" s="1045"/>
      <c r="G30" s="1120"/>
      <c r="H30" s="1045"/>
      <c r="I30" s="1045"/>
      <c r="J30" s="1045"/>
      <c r="K30" s="1045"/>
      <c r="L30" s="1045"/>
    </row>
    <row r="31" spans="1:12" ht="15.5">
      <c r="A31" s="1045" t="s">
        <v>1195</v>
      </c>
      <c r="B31" s="1045"/>
      <c r="C31" s="1045"/>
      <c r="D31" s="1045"/>
      <c r="E31" s="1045"/>
      <c r="F31" s="1045"/>
      <c r="G31" s="1079"/>
      <c r="H31" s="1045"/>
      <c r="I31" s="1045"/>
      <c r="J31" s="1045"/>
      <c r="K31" s="1045"/>
      <c r="L31" s="1045"/>
    </row>
    <row r="32" spans="1:12">
      <c r="A32" s="1045"/>
      <c r="B32" s="1045"/>
      <c r="C32" s="1045"/>
      <c r="D32" s="1045"/>
      <c r="E32" s="1045"/>
      <c r="F32" s="1045"/>
      <c r="G32" s="1079"/>
      <c r="H32" s="1045"/>
      <c r="I32" s="1045"/>
      <c r="J32" s="1045"/>
      <c r="K32" s="1045"/>
      <c r="L32" s="1045"/>
    </row>
    <row r="33" spans="7:7">
      <c r="G33" s="1115"/>
    </row>
    <row r="34" spans="7:7">
      <c r="G34" s="1115"/>
    </row>
    <row r="35" spans="7:7">
      <c r="G35" s="1115"/>
    </row>
    <row r="36" spans="7:7">
      <c r="G36" s="1115"/>
    </row>
    <row r="37" spans="7:7">
      <c r="G37" s="1115"/>
    </row>
    <row r="38" spans="7:7">
      <c r="G38" s="1115"/>
    </row>
    <row r="39" spans="7:7">
      <c r="G39" s="1115"/>
    </row>
    <row r="40" spans="7:7">
      <c r="G40" s="1115"/>
    </row>
    <row r="41" spans="7:7">
      <c r="G41" s="1115"/>
    </row>
  </sheetData>
  <mergeCells count="2">
    <mergeCell ref="B1:G1"/>
    <mergeCell ref="B2:G2"/>
  </mergeCells>
  <pageMargins left="0.25" right="0.25" top="0.75" bottom="0.75" header="0.3" footer="0.3"/>
  <pageSetup scale="80" fitToHeight="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I100"/>
  <sheetViews>
    <sheetView zoomScaleNormal="100" workbookViewId="0">
      <selection activeCell="G87" sqref="G87"/>
    </sheetView>
  </sheetViews>
  <sheetFormatPr defaultColWidth="9.1796875" defaultRowHeight="14"/>
  <cols>
    <col min="1" max="1" width="25.1796875" style="1043" customWidth="1"/>
    <col min="2" max="2" width="61" style="1043" customWidth="1"/>
    <col min="3" max="3" width="18" style="1043" bestFit="1" customWidth="1"/>
    <col min="4" max="16384" width="9.1796875" style="1043"/>
  </cols>
  <sheetData>
    <row r="1" spans="1:6" ht="18">
      <c r="A1" s="1873" t="str">
        <f>+'ATT H-3D'!$A$4</f>
        <v>Delmarva Power &amp; Light Company</v>
      </c>
      <c r="B1" s="1873"/>
      <c r="C1" s="1873"/>
      <c r="D1" s="1873"/>
      <c r="E1" s="1873"/>
      <c r="F1" s="1873"/>
    </row>
    <row r="2" spans="1:6">
      <c r="A2" s="1994" t="s">
        <v>1151</v>
      </c>
      <c r="B2" s="1994"/>
      <c r="C2" s="1994"/>
    </row>
    <row r="3" spans="1:6">
      <c r="A3" s="1046"/>
      <c r="B3" s="1046"/>
      <c r="C3" s="1046"/>
    </row>
    <row r="4" spans="1:6">
      <c r="A4" s="1046"/>
      <c r="B4" s="1046"/>
      <c r="C4" s="1046"/>
    </row>
    <row r="5" spans="1:6">
      <c r="A5" s="1047" t="s">
        <v>175</v>
      </c>
      <c r="B5" s="1047" t="s">
        <v>176</v>
      </c>
      <c r="C5" s="1048" t="s">
        <v>1152</v>
      </c>
      <c r="D5" s="1049"/>
    </row>
    <row r="6" spans="1:6">
      <c r="A6" s="1046"/>
      <c r="B6" s="1050"/>
      <c r="C6" s="1051"/>
      <c r="D6" s="1049"/>
    </row>
    <row r="7" spans="1:6">
      <c r="A7" s="1046"/>
      <c r="B7" s="1050"/>
      <c r="C7" s="1051" t="s">
        <v>1153</v>
      </c>
      <c r="D7" s="1049"/>
    </row>
    <row r="8" spans="1:6">
      <c r="A8" s="1047" t="s">
        <v>1154</v>
      </c>
      <c r="B8" s="1047" t="s">
        <v>1155</v>
      </c>
      <c r="C8" s="1051" t="s">
        <v>1156</v>
      </c>
      <c r="D8" s="1049"/>
    </row>
    <row r="9" spans="1:6">
      <c r="A9" s="1047"/>
      <c r="B9" s="1052"/>
      <c r="C9" s="1053"/>
      <c r="D9" s="1049"/>
    </row>
    <row r="10" spans="1:6">
      <c r="A10" s="1047"/>
      <c r="B10" s="1052"/>
      <c r="C10" s="1053"/>
      <c r="D10" s="1049"/>
    </row>
    <row r="11" spans="1:6">
      <c r="A11" s="1054"/>
      <c r="B11" s="1046"/>
      <c r="C11" s="1055"/>
      <c r="D11" s="1049"/>
    </row>
    <row r="12" spans="1:6">
      <c r="A12" s="1054"/>
      <c r="B12" s="1056" t="s">
        <v>1157</v>
      </c>
      <c r="C12" s="1057"/>
      <c r="D12" s="1049"/>
    </row>
    <row r="13" spans="1:6">
      <c r="A13" s="1058">
        <v>350</v>
      </c>
      <c r="B13" s="1058" t="s">
        <v>1158</v>
      </c>
      <c r="C13" s="1051">
        <v>1.54E-2</v>
      </c>
      <c r="D13" s="1049"/>
    </row>
    <row r="14" spans="1:6">
      <c r="A14" s="1058">
        <v>352</v>
      </c>
      <c r="B14" s="1058" t="s">
        <v>1159</v>
      </c>
      <c r="C14" s="1051">
        <v>0.02</v>
      </c>
      <c r="D14" s="1049"/>
    </row>
    <row r="15" spans="1:6">
      <c r="A15" s="1058">
        <v>353</v>
      </c>
      <c r="B15" s="1058" t="s">
        <v>1160</v>
      </c>
      <c r="C15" s="1051">
        <v>2.1000000000000001E-2</v>
      </c>
      <c r="D15" s="1049"/>
    </row>
    <row r="16" spans="1:6">
      <c r="A16" s="1058">
        <v>354</v>
      </c>
      <c r="B16" s="1058" t="s">
        <v>1161</v>
      </c>
      <c r="C16" s="1051">
        <v>2.2700000000000001E-2</v>
      </c>
      <c r="D16" s="1049"/>
    </row>
    <row r="17" spans="1:4">
      <c r="A17" s="1058">
        <v>355</v>
      </c>
      <c r="B17" s="1058" t="s">
        <v>1162</v>
      </c>
      <c r="C17" s="1051">
        <v>3.6799999999999999E-2</v>
      </c>
      <c r="D17" s="1049"/>
    </row>
    <row r="18" spans="1:4">
      <c r="A18" s="1058">
        <v>356</v>
      </c>
      <c r="B18" s="1058" t="s">
        <v>1163</v>
      </c>
      <c r="C18" s="1051">
        <v>2.5999999999999999E-2</v>
      </c>
      <c r="D18" s="1049"/>
    </row>
    <row r="19" spans="1:4">
      <c r="A19" s="1058">
        <v>357</v>
      </c>
      <c r="B19" s="1058" t="s">
        <v>1164</v>
      </c>
      <c r="C19" s="1051">
        <v>2.5000000000000001E-2</v>
      </c>
      <c r="D19" s="1049"/>
    </row>
    <row r="20" spans="1:4">
      <c r="A20" s="1058">
        <v>358</v>
      </c>
      <c r="B20" s="1058" t="s">
        <v>1165</v>
      </c>
      <c r="C20" s="1051">
        <v>2.5000000000000001E-2</v>
      </c>
      <c r="D20" s="1049"/>
    </row>
    <row r="21" spans="1:4">
      <c r="A21" s="1058">
        <v>359</v>
      </c>
      <c r="B21" s="1058" t="s">
        <v>1166</v>
      </c>
      <c r="C21" s="1051">
        <v>0.02</v>
      </c>
      <c r="D21" s="1049"/>
    </row>
    <row r="22" spans="1:4">
      <c r="A22" s="1058"/>
      <c r="B22" s="1058"/>
      <c r="C22" s="1051"/>
      <c r="D22" s="1049"/>
    </row>
    <row r="23" spans="1:4">
      <c r="A23" s="1054"/>
      <c r="B23" s="1056" t="s">
        <v>1167</v>
      </c>
      <c r="C23" s="1057"/>
      <c r="D23" s="1049"/>
    </row>
    <row r="24" spans="1:4">
      <c r="A24" s="1058" t="s">
        <v>1600</v>
      </c>
      <c r="B24" s="1058" t="s">
        <v>1159</v>
      </c>
      <c r="C24" s="1051">
        <v>1.01E-2</v>
      </c>
      <c r="D24" s="1049"/>
    </row>
    <row r="25" spans="1:4">
      <c r="A25" s="1058" t="s">
        <v>1601</v>
      </c>
      <c r="B25" s="1058" t="s">
        <v>1159</v>
      </c>
      <c r="C25" s="1051">
        <v>3.4799999999999998E-2</v>
      </c>
      <c r="D25" s="1049"/>
    </row>
    <row r="26" spans="1:4">
      <c r="A26" s="1058" t="s">
        <v>1602</v>
      </c>
      <c r="B26" s="1058" t="s">
        <v>1159</v>
      </c>
      <c r="C26" s="1051">
        <v>5.3800000000000001E-2</v>
      </c>
      <c r="D26" s="1049"/>
    </row>
    <row r="27" spans="1:4">
      <c r="A27" s="1058" t="s">
        <v>1603</v>
      </c>
      <c r="B27" s="1058" t="s">
        <v>1159</v>
      </c>
      <c r="C27" s="1051">
        <v>5.6500000000000002E-2</v>
      </c>
      <c r="D27" s="1049"/>
    </row>
    <row r="28" spans="1:4">
      <c r="A28" s="1058" t="s">
        <v>1604</v>
      </c>
      <c r="B28" s="1058" t="s">
        <v>1159</v>
      </c>
      <c r="C28" s="1051">
        <v>0.21490000000000001</v>
      </c>
      <c r="D28" s="1049"/>
    </row>
    <row r="29" spans="1:4">
      <c r="A29" s="1058" t="s">
        <v>1605</v>
      </c>
      <c r="B29" s="1058" t="s">
        <v>1159</v>
      </c>
      <c r="C29" s="1051">
        <v>6.6799999999999998E-2</v>
      </c>
      <c r="D29" s="1049"/>
    </row>
    <row r="30" spans="1:4">
      <c r="A30" s="1058" t="s">
        <v>1606</v>
      </c>
      <c r="B30" s="1058" t="s">
        <v>1159</v>
      </c>
      <c r="C30" s="1051"/>
      <c r="D30" s="1049"/>
    </row>
    <row r="31" spans="1:4">
      <c r="A31" s="1058" t="s">
        <v>1607</v>
      </c>
      <c r="B31" s="1058" t="s">
        <v>1159</v>
      </c>
      <c r="C31" s="1051">
        <v>0.1</v>
      </c>
      <c r="D31" s="1049"/>
    </row>
    <row r="32" spans="1:4">
      <c r="A32" s="1058">
        <v>392</v>
      </c>
      <c r="B32" s="1058" t="s">
        <v>1903</v>
      </c>
      <c r="C32" s="1051"/>
      <c r="D32" s="1049"/>
    </row>
    <row r="33" spans="1:4">
      <c r="A33" s="1058" t="s">
        <v>1919</v>
      </c>
      <c r="B33" s="1058" t="s">
        <v>1903</v>
      </c>
      <c r="C33" s="1051">
        <v>8.4000000000000005E-2</v>
      </c>
      <c r="D33" s="1049"/>
    </row>
    <row r="34" spans="1:4">
      <c r="A34" s="1058" t="s">
        <v>1920</v>
      </c>
      <c r="B34" s="1058" t="s">
        <v>1903</v>
      </c>
      <c r="C34" s="1051">
        <v>6.3299999999999995E-2</v>
      </c>
      <c r="D34" s="1049"/>
    </row>
    <row r="35" spans="1:4">
      <c r="A35" s="1058" t="s">
        <v>1608</v>
      </c>
      <c r="B35" s="1058" t="s">
        <v>1168</v>
      </c>
      <c r="C35" s="1051">
        <v>0.19739999999999999</v>
      </c>
      <c r="D35" s="1049"/>
    </row>
    <row r="36" spans="1:4">
      <c r="A36" s="1058" t="s">
        <v>1611</v>
      </c>
      <c r="B36" s="1058" t="s">
        <v>1168</v>
      </c>
      <c r="C36" s="1051"/>
      <c r="D36" s="1049"/>
    </row>
    <row r="37" spans="1:4">
      <c r="A37" s="1058" t="s">
        <v>1609</v>
      </c>
      <c r="B37" s="1058" t="s">
        <v>1169</v>
      </c>
      <c r="C37" s="1051">
        <v>6.3200000000000006E-2</v>
      </c>
      <c r="D37" s="1049"/>
    </row>
    <row r="38" spans="1:4">
      <c r="A38" s="1058" t="s">
        <v>1612</v>
      </c>
      <c r="B38" s="1058" t="s">
        <v>1169</v>
      </c>
      <c r="C38" s="1051">
        <v>2.7830000000000001E-2</v>
      </c>
      <c r="D38" s="1049"/>
    </row>
    <row r="39" spans="1:4">
      <c r="A39" s="1058" t="s">
        <v>1610</v>
      </c>
      <c r="B39" s="1058" t="s">
        <v>1169</v>
      </c>
      <c r="C39" s="1051">
        <v>6.6699999999999995E-2</v>
      </c>
      <c r="D39" s="1049"/>
    </row>
    <row r="40" spans="1:4">
      <c r="A40" s="1058" t="s">
        <v>1619</v>
      </c>
      <c r="B40" s="1058" t="s">
        <v>1169</v>
      </c>
      <c r="C40" s="1051"/>
      <c r="D40" s="1049"/>
    </row>
    <row r="41" spans="1:4">
      <c r="A41" s="1058" t="s">
        <v>1613</v>
      </c>
      <c r="B41" s="1058" t="s">
        <v>1170</v>
      </c>
      <c r="C41" s="1051">
        <v>0.15459999999999999</v>
      </c>
      <c r="D41" s="1049"/>
    </row>
    <row r="42" spans="1:4">
      <c r="A42" s="1058" t="s">
        <v>1614</v>
      </c>
      <c r="B42" s="1058" t="s">
        <v>1170</v>
      </c>
      <c r="C42" s="1051"/>
      <c r="D42" s="1049"/>
    </row>
    <row r="43" spans="1:4">
      <c r="A43" s="1058">
        <v>396</v>
      </c>
      <c r="B43" s="1058" t="s">
        <v>1171</v>
      </c>
      <c r="C43" s="1051" t="s">
        <v>1564</v>
      </c>
      <c r="D43" s="1049"/>
    </row>
    <row r="44" spans="1:4">
      <c r="A44" s="1058" t="s">
        <v>1615</v>
      </c>
      <c r="B44" s="1058" t="s">
        <v>1172</v>
      </c>
      <c r="C44" s="1051">
        <v>4.1300000000000003E-2</v>
      </c>
      <c r="D44" s="1049"/>
    </row>
    <row r="45" spans="1:4">
      <c r="A45" s="1058" t="s">
        <v>1616</v>
      </c>
      <c r="B45" s="1058" t="s">
        <v>1172</v>
      </c>
      <c r="C45" s="1051">
        <v>6.9800000000000001E-2</v>
      </c>
      <c r="D45" s="1049"/>
    </row>
    <row r="46" spans="1:4">
      <c r="A46" s="1058" t="s">
        <v>1620</v>
      </c>
      <c r="B46" s="1058" t="s">
        <v>1172</v>
      </c>
      <c r="C46" s="1051">
        <v>6.8900000000000003E-2</v>
      </c>
      <c r="D46" s="1049"/>
    </row>
    <row r="47" spans="1:4">
      <c r="A47" s="1058" t="s">
        <v>1617</v>
      </c>
      <c r="B47" s="1058" t="s">
        <v>1172</v>
      </c>
      <c r="C47" s="1051">
        <v>3.09E-2</v>
      </c>
      <c r="D47" s="1049"/>
    </row>
    <row r="48" spans="1:4">
      <c r="A48" s="1058" t="s">
        <v>1618</v>
      </c>
      <c r="B48" s="1058" t="s">
        <v>1172</v>
      </c>
      <c r="C48" s="1051">
        <v>6.9000000000000006E-2</v>
      </c>
      <c r="D48" s="1049"/>
    </row>
    <row r="49" spans="1:9">
      <c r="A49" s="1058" t="s">
        <v>1621</v>
      </c>
      <c r="B49" s="1058" t="s">
        <v>1172</v>
      </c>
      <c r="C49" s="1051">
        <v>6.6699999999999995E-2</v>
      </c>
      <c r="D49" s="1049"/>
    </row>
    <row r="50" spans="1:9">
      <c r="A50" s="1058" t="s">
        <v>1622</v>
      </c>
      <c r="B50" s="1058" t="s">
        <v>1173</v>
      </c>
      <c r="C50" s="1051">
        <v>5.74E-2</v>
      </c>
      <c r="D50" s="1049"/>
    </row>
    <row r="51" spans="1:9">
      <c r="A51" s="1058" t="s">
        <v>1623</v>
      </c>
      <c r="B51" s="1058" t="s">
        <v>1173</v>
      </c>
      <c r="C51" s="1051">
        <v>6.6699999999999995E-2</v>
      </c>
      <c r="D51" s="1049"/>
    </row>
    <row r="52" spans="1:9">
      <c r="A52" s="1058"/>
      <c r="B52" s="1046"/>
      <c r="C52" s="1046"/>
      <c r="D52" s="1049"/>
    </row>
    <row r="53" spans="1:9">
      <c r="A53" s="1058"/>
      <c r="B53" s="1056" t="s">
        <v>1174</v>
      </c>
      <c r="C53" s="1057"/>
      <c r="D53" s="1049"/>
    </row>
    <row r="54" spans="1:9">
      <c r="A54" s="1058">
        <v>302</v>
      </c>
      <c r="B54" s="1058" t="s">
        <v>1175</v>
      </c>
      <c r="D54" s="1049"/>
    </row>
    <row r="55" spans="1:9">
      <c r="A55" s="1058">
        <v>303</v>
      </c>
      <c r="B55" s="1058" t="s">
        <v>1176</v>
      </c>
      <c r="D55" s="1049"/>
    </row>
    <row r="56" spans="1:9">
      <c r="A56" s="1119">
        <v>303.10000000000002</v>
      </c>
      <c r="B56" s="1119" t="s">
        <v>1202</v>
      </c>
      <c r="C56" s="1121">
        <f>1/2</f>
        <v>0.5</v>
      </c>
      <c r="D56" s="1049"/>
    </row>
    <row r="57" spans="1:9">
      <c r="A57" s="1119">
        <v>303.2</v>
      </c>
      <c r="B57" s="1119" t="s">
        <v>1177</v>
      </c>
      <c r="C57" s="1121">
        <v>0.33333333333333331</v>
      </c>
      <c r="D57" s="1049"/>
    </row>
    <row r="58" spans="1:9" ht="16.5" customHeight="1">
      <c r="A58" s="1119">
        <v>303.3</v>
      </c>
      <c r="B58" s="1119" t="s">
        <v>1178</v>
      </c>
      <c r="C58" s="1121">
        <v>0.25</v>
      </c>
      <c r="D58" s="1059"/>
      <c r="E58" s="1059"/>
      <c r="F58" s="1059"/>
      <c r="G58" s="1059"/>
      <c r="H58" s="1059"/>
      <c r="I58" s="1059"/>
    </row>
    <row r="59" spans="1:9">
      <c r="A59" s="1119">
        <v>303.39999999999998</v>
      </c>
      <c r="B59" s="1119" t="s">
        <v>1179</v>
      </c>
      <c r="C59" s="1121">
        <v>0.2</v>
      </c>
    </row>
    <row r="60" spans="1:9">
      <c r="A60" s="1119">
        <v>303.5</v>
      </c>
      <c r="B60" s="1119" t="s">
        <v>1180</v>
      </c>
      <c r="C60" s="1121">
        <v>0.14285714285714285</v>
      </c>
    </row>
    <row r="61" spans="1:9">
      <c r="A61" s="1119">
        <v>303.60000000000002</v>
      </c>
      <c r="B61" s="1119" t="s">
        <v>1181</v>
      </c>
      <c r="C61" s="1121">
        <v>0.1</v>
      </c>
      <c r="D61" s="1049"/>
    </row>
    <row r="62" spans="1:9">
      <c r="A62" s="1119">
        <v>303.7</v>
      </c>
      <c r="B62" s="1119" t="s">
        <v>1182</v>
      </c>
      <c r="C62" s="1121">
        <v>8.3333333333333329E-2</v>
      </c>
      <c r="D62" s="1049"/>
    </row>
    <row r="63" spans="1:9" ht="16.5" customHeight="1">
      <c r="A63" s="1119">
        <v>303.8</v>
      </c>
      <c r="B63" s="1119" t="s">
        <v>1183</v>
      </c>
      <c r="C63" s="1121">
        <v>6.6666666666666666E-2</v>
      </c>
      <c r="D63" s="1059"/>
      <c r="E63" s="1059"/>
      <c r="F63" s="1059"/>
      <c r="G63" s="1059"/>
      <c r="H63" s="1059"/>
      <c r="I63" s="1059"/>
    </row>
    <row r="64" spans="1:9">
      <c r="A64" s="1117"/>
      <c r="B64" s="1118"/>
    </row>
    <row r="65" spans="1:4" ht="16.5" customHeight="1">
      <c r="A65" s="1058"/>
      <c r="B65" s="1056" t="s">
        <v>1682</v>
      </c>
      <c r="C65" s="1046"/>
      <c r="D65" s="1049"/>
    </row>
    <row r="66" spans="1:4" ht="16.5" customHeight="1">
      <c r="A66" s="1058">
        <v>390.3</v>
      </c>
      <c r="B66" s="1058" t="s">
        <v>1159</v>
      </c>
      <c r="C66" s="1051">
        <v>8.0000000000000002E-3</v>
      </c>
      <c r="D66" s="1049"/>
    </row>
    <row r="67" spans="1:4" ht="16.5" customHeight="1">
      <c r="A67" s="1058" t="s">
        <v>1624</v>
      </c>
      <c r="B67" s="1058" t="s">
        <v>1159</v>
      </c>
      <c r="C67" s="1051">
        <v>7.3000000000000001E-3</v>
      </c>
      <c r="D67" s="1049"/>
    </row>
    <row r="68" spans="1:4" ht="16.5" customHeight="1">
      <c r="A68" s="1058" t="s">
        <v>1625</v>
      </c>
      <c r="B68" s="1058" t="s">
        <v>1159</v>
      </c>
      <c r="C68" s="1051">
        <v>-8.9999999999999998E-4</v>
      </c>
      <c r="D68" s="1049"/>
    </row>
    <row r="69" spans="1:4" ht="16.5" customHeight="1">
      <c r="A69" s="1058">
        <v>391.1</v>
      </c>
      <c r="B69" s="1058" t="s">
        <v>1159</v>
      </c>
      <c r="C69" s="1051">
        <v>5.3800000000000001E-2</v>
      </c>
      <c r="D69" s="1049"/>
    </row>
    <row r="70" spans="1:4" ht="16.5" customHeight="1">
      <c r="A70" s="1058">
        <v>391.2</v>
      </c>
      <c r="B70" s="1058" t="s">
        <v>1159</v>
      </c>
      <c r="C70" s="1051"/>
      <c r="D70" s="1049"/>
    </row>
    <row r="71" spans="1:4" ht="16.5" customHeight="1">
      <c r="A71" s="1058">
        <v>391.3</v>
      </c>
      <c r="B71" s="1058" t="s">
        <v>1159</v>
      </c>
      <c r="C71" s="1051">
        <v>0.36449999999999999</v>
      </c>
      <c r="D71" s="1049"/>
    </row>
    <row r="72" spans="1:4" ht="16.5" customHeight="1">
      <c r="A72" s="1058">
        <v>392</v>
      </c>
      <c r="B72" s="1058" t="s">
        <v>1903</v>
      </c>
      <c r="C72" s="1051"/>
      <c r="D72" s="1049"/>
    </row>
    <row r="73" spans="1:4" ht="16.5" customHeight="1">
      <c r="A73" s="1058">
        <v>393</v>
      </c>
      <c r="B73" s="1058" t="s">
        <v>1168</v>
      </c>
      <c r="C73" s="1051">
        <v>6.2700000000000006E-2</v>
      </c>
      <c r="D73" s="1049"/>
    </row>
    <row r="74" spans="1:4" ht="16.5" customHeight="1">
      <c r="A74" s="1058">
        <v>394</v>
      </c>
      <c r="B74" s="1058" t="s">
        <v>1169</v>
      </c>
      <c r="C74" s="1051">
        <v>6.5600000000000006E-2</v>
      </c>
      <c r="D74" s="1049"/>
    </row>
    <row r="75" spans="1:4" ht="16.5" customHeight="1">
      <c r="A75" s="1058">
        <v>395</v>
      </c>
      <c r="B75" s="1058" t="s">
        <v>1170</v>
      </c>
      <c r="C75" s="1051"/>
      <c r="D75" s="1049"/>
    </row>
    <row r="76" spans="1:4" ht="16.5" customHeight="1">
      <c r="A76" s="1058">
        <v>396</v>
      </c>
      <c r="B76" s="1058" t="s">
        <v>1171</v>
      </c>
      <c r="C76" s="1051"/>
      <c r="D76" s="1049"/>
    </row>
    <row r="77" spans="1:4" ht="16.5" customHeight="1">
      <c r="A77" s="1058">
        <v>397.1</v>
      </c>
      <c r="B77" s="1058" t="s">
        <v>1172</v>
      </c>
      <c r="C77" s="1051">
        <v>4.7500000000000001E-2</v>
      </c>
      <c r="D77" s="1049"/>
    </row>
    <row r="78" spans="1:4" ht="16.5" customHeight="1">
      <c r="A78" s="1058" t="s">
        <v>1626</v>
      </c>
      <c r="B78" s="1058" t="s">
        <v>1172</v>
      </c>
      <c r="C78" s="1051">
        <v>6.6299999999999998E-2</v>
      </c>
      <c r="D78" s="1049"/>
    </row>
    <row r="79" spans="1:4" ht="16.5" customHeight="1">
      <c r="A79" s="1058">
        <v>397.3</v>
      </c>
      <c r="B79" s="1058" t="s">
        <v>1172</v>
      </c>
      <c r="C79" s="1051">
        <v>8.9999999999999998E-4</v>
      </c>
      <c r="D79" s="1049"/>
    </row>
    <row r="80" spans="1:4" ht="16.5" customHeight="1">
      <c r="A80" s="1058">
        <v>398</v>
      </c>
      <c r="B80" s="1058" t="s">
        <v>1173</v>
      </c>
      <c r="C80" s="1051">
        <v>5.5199999999999999E-2</v>
      </c>
      <c r="D80" s="1049"/>
    </row>
    <row r="81" spans="1:4" ht="16.5" customHeight="1">
      <c r="A81" s="1058" t="s">
        <v>1627</v>
      </c>
      <c r="B81" s="1058" t="s">
        <v>1173</v>
      </c>
      <c r="C81" s="1051">
        <v>5.74E-2</v>
      </c>
      <c r="D81" s="1049"/>
    </row>
    <row r="82" spans="1:4" ht="16.5" customHeight="1">
      <c r="A82" s="1058"/>
      <c r="B82" s="1046"/>
      <c r="C82" s="1051"/>
      <c r="D82" s="1049"/>
    </row>
    <row r="83" spans="1:4" ht="16.5" customHeight="1">
      <c r="A83" s="1058"/>
      <c r="B83" s="1056" t="s">
        <v>1683</v>
      </c>
      <c r="C83" s="1057"/>
      <c r="D83" s="1049"/>
    </row>
    <row r="84" spans="1:4" ht="16.5" customHeight="1">
      <c r="A84" s="1058">
        <v>302</v>
      </c>
      <c r="B84" s="1058" t="s">
        <v>1175</v>
      </c>
      <c r="D84" s="1049"/>
    </row>
    <row r="85" spans="1:4" ht="16.5" customHeight="1">
      <c r="A85" s="1058">
        <v>303</v>
      </c>
      <c r="B85" s="1058" t="s">
        <v>1176</v>
      </c>
      <c r="D85" s="1049"/>
    </row>
    <row r="86" spans="1:4" ht="16.5" customHeight="1">
      <c r="A86" s="1119">
        <v>303.10000000000002</v>
      </c>
      <c r="B86" s="1119" t="s">
        <v>1202</v>
      </c>
      <c r="C86" s="1121">
        <f>1/2</f>
        <v>0.5</v>
      </c>
      <c r="D86" s="1049"/>
    </row>
    <row r="87" spans="1:4" ht="16.5" customHeight="1">
      <c r="A87" s="1119">
        <v>303.2</v>
      </c>
      <c r="B87" s="1119" t="s">
        <v>1177</v>
      </c>
      <c r="C87" s="1121">
        <v>0.33333333333333331</v>
      </c>
      <c r="D87" s="1049"/>
    </row>
    <row r="88" spans="1:4" ht="16.5" customHeight="1">
      <c r="A88" s="1119">
        <v>303.3</v>
      </c>
      <c r="B88" s="1119" t="s">
        <v>1178</v>
      </c>
      <c r="C88" s="1121">
        <v>0.25</v>
      </c>
      <c r="D88" s="1049"/>
    </row>
    <row r="89" spans="1:4" ht="16.5" customHeight="1">
      <c r="A89" s="1119">
        <v>303.39999999999998</v>
      </c>
      <c r="B89" s="1119" t="s">
        <v>1179</v>
      </c>
      <c r="C89" s="1121">
        <v>0.2</v>
      </c>
      <c r="D89" s="1049"/>
    </row>
    <row r="90" spans="1:4" ht="16.5" customHeight="1">
      <c r="A90" s="1119">
        <v>303.5</v>
      </c>
      <c r="B90" s="1119" t="s">
        <v>1180</v>
      </c>
      <c r="C90" s="1121">
        <v>0.14285714285714285</v>
      </c>
      <c r="D90" s="1049"/>
    </row>
    <row r="91" spans="1:4" ht="16.5" customHeight="1">
      <c r="A91" s="1119">
        <v>303.60000000000002</v>
      </c>
      <c r="B91" s="1119" t="s">
        <v>1181</v>
      </c>
      <c r="C91" s="1121">
        <v>0.1</v>
      </c>
      <c r="D91" s="1049"/>
    </row>
    <row r="92" spans="1:4" ht="16.5" customHeight="1">
      <c r="A92" s="1119">
        <v>303.7</v>
      </c>
      <c r="B92" s="1119" t="s">
        <v>1182</v>
      </c>
      <c r="C92" s="1121">
        <v>8.3333333333333329E-2</v>
      </c>
      <c r="D92" s="1049"/>
    </row>
    <row r="93" spans="1:4" ht="16.5" customHeight="1">
      <c r="A93" s="1119">
        <v>303.8</v>
      </c>
      <c r="B93" s="1119" t="s">
        <v>1183</v>
      </c>
      <c r="C93" s="1121">
        <v>6.6666666666666666E-2</v>
      </c>
      <c r="D93" s="1049"/>
    </row>
    <row r="94" spans="1:4" ht="16.5" customHeight="1">
      <c r="A94" s="1058"/>
      <c r="B94" s="1046"/>
      <c r="C94" s="1051"/>
      <c r="D94" s="1049"/>
    </row>
    <row r="95" spans="1:4" ht="16.5" customHeight="1">
      <c r="A95" s="1058"/>
      <c r="B95" s="1046"/>
      <c r="C95" s="1051"/>
      <c r="D95" s="1049"/>
    </row>
    <row r="96" spans="1:4">
      <c r="A96" s="1117"/>
      <c r="B96" s="1117"/>
    </row>
    <row r="97" spans="1:3">
      <c r="A97" s="1117"/>
      <c r="B97" s="1117"/>
    </row>
    <row r="98" spans="1:3">
      <c r="A98" s="1083" t="s">
        <v>1203</v>
      </c>
      <c r="B98" s="1122" t="s">
        <v>1204</v>
      </c>
      <c r="C98" s="1123"/>
    </row>
    <row r="99" spans="1:3">
      <c r="A99" s="1117"/>
      <c r="B99" s="1117"/>
    </row>
    <row r="100" spans="1:3">
      <c r="A100" s="1117"/>
      <c r="B100" s="1117"/>
    </row>
  </sheetData>
  <mergeCells count="2">
    <mergeCell ref="A2:C2"/>
    <mergeCell ref="A1:F1"/>
  </mergeCells>
  <phoneticPr fontId="97" type="noConversion"/>
  <pageMargins left="0.25" right="0.25" top="0.75" bottom="0.75" header="0.3" footer="0.3"/>
  <pageSetup scale="71" fitToHeight="2" orientation="landscape" r:id="rId1"/>
  <rowBreaks count="1" manualBreakCount="1">
    <brk id="22"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930F-5A5E-4F59-89D8-4823C0CBBC75}">
  <sheetPr>
    <pageSetUpPr fitToPage="1"/>
  </sheetPr>
  <dimension ref="A1:R316"/>
  <sheetViews>
    <sheetView zoomScale="80" zoomScaleNormal="80" zoomScaleSheetLayoutView="55" workbookViewId="0">
      <selection activeCell="B24" sqref="B24:I26"/>
    </sheetView>
  </sheetViews>
  <sheetFormatPr defaultColWidth="9.1796875" defaultRowHeight="12.5"/>
  <cols>
    <col min="1" max="1" width="5.7265625" style="1271" customWidth="1"/>
    <col min="2" max="2" width="11.453125" style="1273" customWidth="1"/>
    <col min="3" max="3" width="75.1796875" style="1271" customWidth="1"/>
    <col min="4" max="4" width="0.54296875" style="1271" customWidth="1"/>
    <col min="5" max="5" width="29.1796875" style="1271" customWidth="1"/>
    <col min="6" max="6" width="26.453125" style="1271" customWidth="1"/>
    <col min="7" max="7" width="18.81640625" style="1271" customWidth="1"/>
    <col min="8" max="8" width="27.81640625" style="1271" customWidth="1"/>
    <col min="9" max="9" width="28.81640625" style="1271" customWidth="1"/>
    <col min="10" max="10" width="85.7265625" style="1271" customWidth="1"/>
    <col min="11" max="11" width="5.7265625" style="1271" customWidth="1"/>
    <col min="12" max="16384" width="9.1796875" style="1271"/>
  </cols>
  <sheetData>
    <row r="1" spans="1:18" ht="15.5">
      <c r="A1" s="1838" t="s">
        <v>1705</v>
      </c>
      <c r="B1" s="1838"/>
      <c r="C1" s="1838"/>
      <c r="D1" s="1838"/>
      <c r="E1" s="1838"/>
      <c r="F1" s="1838"/>
      <c r="G1" s="1838"/>
      <c r="H1" s="1838"/>
      <c r="I1" s="1838"/>
      <c r="J1" s="1838"/>
      <c r="K1" s="1838"/>
    </row>
    <row r="2" spans="1:18" ht="15.5">
      <c r="A2" s="1839" t="s">
        <v>905</v>
      </c>
      <c r="B2" s="1839"/>
      <c r="C2" s="1839"/>
      <c r="D2" s="1839"/>
      <c r="E2" s="1839"/>
      <c r="F2" s="1839"/>
      <c r="G2" s="1839"/>
      <c r="H2" s="1839"/>
      <c r="I2" s="1839"/>
      <c r="J2" s="1839"/>
      <c r="K2" s="1839"/>
    </row>
    <row r="3" spans="1:18" ht="15.5">
      <c r="A3" s="1838" t="s">
        <v>1337</v>
      </c>
      <c r="B3" s="1838"/>
      <c r="C3" s="1838"/>
      <c r="D3" s="1838"/>
      <c r="E3" s="1838"/>
      <c r="F3" s="1838"/>
      <c r="G3" s="1838"/>
      <c r="H3" s="1838"/>
      <c r="I3" s="1838"/>
      <c r="J3" s="1838"/>
      <c r="K3" s="1838"/>
    </row>
    <row r="4" spans="1:18" ht="13">
      <c r="B4" s="1272"/>
    </row>
    <row r="5" spans="1:18" ht="13">
      <c r="I5" s="1274"/>
    </row>
    <row r="6" spans="1:18" ht="13">
      <c r="B6" s="1840" t="s">
        <v>1924</v>
      </c>
      <c r="C6" s="1840"/>
      <c r="D6" s="1840"/>
      <c r="E6" s="1840"/>
      <c r="F6" s="1840"/>
      <c r="G6" s="1840"/>
      <c r="H6" s="1840"/>
      <c r="I6" s="1840"/>
      <c r="J6" s="1840"/>
    </row>
    <row r="7" spans="1:18" ht="13">
      <c r="F7" s="1275" t="s">
        <v>1338</v>
      </c>
      <c r="G7" s="1276" t="s">
        <v>260</v>
      </c>
      <c r="H7" s="1276"/>
    </row>
    <row r="8" spans="1:18" ht="13">
      <c r="F8" s="1275" t="s">
        <v>1339</v>
      </c>
      <c r="G8" s="1276" t="s">
        <v>229</v>
      </c>
      <c r="H8" s="1276" t="s">
        <v>261</v>
      </c>
      <c r="I8" s="1276" t="s">
        <v>262</v>
      </c>
    </row>
    <row r="9" spans="1:18" ht="13">
      <c r="B9" s="1277" t="s">
        <v>581</v>
      </c>
      <c r="C9" s="1277" t="s">
        <v>935</v>
      </c>
      <c r="E9" s="1278" t="s">
        <v>44</v>
      </c>
      <c r="F9" s="1278" t="s">
        <v>1340</v>
      </c>
      <c r="G9" s="1279" t="s">
        <v>263</v>
      </c>
      <c r="H9" s="1279" t="s">
        <v>263</v>
      </c>
      <c r="I9" s="1279" t="s">
        <v>263</v>
      </c>
    </row>
    <row r="10" spans="1:18" ht="5.15" customHeight="1"/>
    <row r="11" spans="1:18">
      <c r="B11" s="1273">
        <v>1</v>
      </c>
      <c r="C11" s="1280" t="s">
        <v>265</v>
      </c>
      <c r="E11" s="1281">
        <f>F11+G11+H11+I11</f>
        <v>15049671.139249681</v>
      </c>
      <c r="F11" s="1281">
        <f>F76</f>
        <v>0</v>
      </c>
      <c r="G11" s="1281">
        <f>G76</f>
        <v>0</v>
      </c>
      <c r="H11" s="1281">
        <f>H76</f>
        <v>14459139.372665836</v>
      </c>
      <c r="I11" s="1281">
        <f>I76</f>
        <v>590531.76658384467</v>
      </c>
    </row>
    <row r="12" spans="1:18">
      <c r="B12" s="1273">
        <f>B11+1</f>
        <v>2</v>
      </c>
      <c r="C12" s="1280" t="s">
        <v>936</v>
      </c>
      <c r="E12" s="1281">
        <f>F12+G12+H12+I12</f>
        <v>0</v>
      </c>
      <c r="F12" s="1281">
        <v>0</v>
      </c>
      <c r="G12" s="1281">
        <v>0</v>
      </c>
      <c r="H12" s="1281">
        <v>0</v>
      </c>
      <c r="I12" s="1281">
        <v>0</v>
      </c>
      <c r="O12" s="1282"/>
      <c r="P12" s="1282"/>
      <c r="Q12" s="1282"/>
      <c r="R12" s="1282"/>
    </row>
    <row r="13" spans="1:18">
      <c r="B13" s="1273">
        <f>B12+1</f>
        <v>3</v>
      </c>
      <c r="C13" s="1280" t="s">
        <v>937</v>
      </c>
      <c r="E13" s="1281">
        <f>F13+G13+H13+I13</f>
        <v>-162007470.14139166</v>
      </c>
      <c r="F13" s="1281">
        <f>F147</f>
        <v>0</v>
      </c>
      <c r="G13" s="1281">
        <f>G147</f>
        <v>0</v>
      </c>
      <c r="H13" s="1281">
        <f>H147</f>
        <v>-162007470.14139166</v>
      </c>
      <c r="I13" s="1281">
        <f>I147</f>
        <v>0</v>
      </c>
      <c r="O13" s="1282"/>
      <c r="P13" s="1282"/>
      <c r="Q13" s="1282"/>
      <c r="R13" s="1282"/>
    </row>
    <row r="14" spans="1:18">
      <c r="B14" s="1273">
        <f>B13+1</f>
        <v>4</v>
      </c>
      <c r="C14" s="1280" t="s">
        <v>264</v>
      </c>
      <c r="E14" s="1281">
        <f>F14+G14+H14+I14</f>
        <v>-7155411.1509775445</v>
      </c>
      <c r="F14" s="1281">
        <f>F222</f>
        <v>0</v>
      </c>
      <c r="G14" s="1281">
        <f>G222</f>
        <v>-462758.34719700005</v>
      </c>
      <c r="H14" s="1281">
        <f>H222</f>
        <v>-1780547.0722709985</v>
      </c>
      <c r="I14" s="1281">
        <f>I222</f>
        <v>-4912105.7315095458</v>
      </c>
      <c r="O14" s="1282"/>
      <c r="P14" s="1282"/>
      <c r="Q14" s="1282"/>
      <c r="R14" s="1282"/>
    </row>
    <row r="15" spans="1:18">
      <c r="B15" s="1273">
        <f>B14+1</f>
        <v>5</v>
      </c>
      <c r="C15" s="1280" t="s">
        <v>278</v>
      </c>
      <c r="E15" s="1281">
        <f>F15+G15+H15+I15</f>
        <v>-480978.24483814614</v>
      </c>
      <c r="F15" s="1281">
        <f>F293</f>
        <v>0</v>
      </c>
      <c r="G15" s="1281">
        <f>G293</f>
        <v>0</v>
      </c>
      <c r="H15" s="1281">
        <f>H293</f>
        <v>-480978.24483814614</v>
      </c>
      <c r="I15" s="1281">
        <f>I293</f>
        <v>0</v>
      </c>
      <c r="O15" s="1282"/>
      <c r="P15" s="1282"/>
      <c r="Q15" s="1282"/>
      <c r="R15" s="1282"/>
    </row>
    <row r="16" spans="1:18" ht="5.15" customHeight="1">
      <c r="E16" s="1702"/>
      <c r="F16" s="1702"/>
      <c r="G16" s="1702"/>
      <c r="H16" s="1702"/>
      <c r="I16" s="1702"/>
    </row>
    <row r="17" spans="2:10" ht="13">
      <c r="B17" s="1273">
        <f>B16+6</f>
        <v>6</v>
      </c>
      <c r="C17" s="1283" t="s">
        <v>938</v>
      </c>
      <c r="E17" s="1281">
        <f>E11+E12+E13+E14+E15</f>
        <v>-154594188.39795768</v>
      </c>
      <c r="F17" s="1281">
        <f>F11+F12+F13+F14+F15</f>
        <v>0</v>
      </c>
      <c r="G17" s="1281">
        <f>G11+G12+G13+G14+G15</f>
        <v>-462758.34719700005</v>
      </c>
      <c r="H17" s="1281">
        <f>H11+H12+H13+H14+H15</f>
        <v>-149809856.08583498</v>
      </c>
      <c r="I17" s="1281">
        <f>I11+I12+I13+I14+I15</f>
        <v>-4321573.9649257008</v>
      </c>
      <c r="J17" s="1284"/>
    </row>
    <row r="18" spans="2:10">
      <c r="C18" s="1273"/>
      <c r="F18" s="1282"/>
      <c r="G18" s="1282"/>
      <c r="H18" s="1282"/>
      <c r="I18" s="1285"/>
    </row>
    <row r="19" spans="2:10">
      <c r="C19" s="1273"/>
      <c r="F19" s="1282"/>
      <c r="G19" s="1282"/>
      <c r="H19" s="1282"/>
      <c r="I19" s="1285"/>
    </row>
    <row r="20" spans="2:10" ht="13">
      <c r="B20" s="1286" t="s">
        <v>581</v>
      </c>
      <c r="C20" s="1286" t="s">
        <v>1341</v>
      </c>
      <c r="D20" s="350"/>
      <c r="E20" s="1278" t="s">
        <v>44</v>
      </c>
      <c r="F20" s="350"/>
      <c r="G20" s="350"/>
      <c r="H20" s="350"/>
      <c r="I20" s="1701"/>
    </row>
    <row r="21" spans="2:10">
      <c r="B21" s="350"/>
      <c r="C21" s="350"/>
      <c r="D21" s="350"/>
      <c r="E21" s="350"/>
      <c r="F21" s="350"/>
      <c r="G21" s="350"/>
      <c r="H21" s="350"/>
      <c r="I21" s="1701"/>
    </row>
    <row r="22" spans="2:10">
      <c r="B22" s="1287">
        <f>B17+1</f>
        <v>7</v>
      </c>
      <c r="C22" s="1271" t="s">
        <v>1342</v>
      </c>
      <c r="E22" s="1281">
        <v>-1468465</v>
      </c>
      <c r="I22" s="1289"/>
    </row>
    <row r="23" spans="2:10">
      <c r="B23" s="1271"/>
    </row>
    <row r="24" spans="2:10" ht="12.75" customHeight="1">
      <c r="B24" s="1841" t="s">
        <v>1875</v>
      </c>
      <c r="C24" s="1841"/>
      <c r="D24" s="1841"/>
      <c r="E24" s="1841"/>
      <c r="F24" s="1841"/>
      <c r="G24" s="1841"/>
      <c r="H24" s="1841"/>
      <c r="I24" s="1841"/>
    </row>
    <row r="25" spans="2:10">
      <c r="B25" s="1841"/>
      <c r="C25" s="1841"/>
      <c r="D25" s="1841"/>
      <c r="E25" s="1841"/>
      <c r="F25" s="1841"/>
      <c r="G25" s="1841"/>
      <c r="H25" s="1841"/>
      <c r="I25" s="1841"/>
    </row>
    <row r="26" spans="2:10">
      <c r="B26" s="1841"/>
      <c r="C26" s="1841"/>
      <c r="D26" s="1841"/>
      <c r="E26" s="1841"/>
      <c r="F26" s="1841"/>
      <c r="G26" s="1841"/>
      <c r="H26" s="1841"/>
      <c r="I26" s="1841"/>
    </row>
    <row r="27" spans="2:10">
      <c r="B27" s="350"/>
      <c r="C27" s="350"/>
      <c r="D27" s="350"/>
      <c r="E27" s="350"/>
      <c r="F27" s="350"/>
      <c r="G27" s="350"/>
      <c r="H27" s="350"/>
      <c r="I27" s="1701"/>
    </row>
    <row r="29" spans="2:10" ht="15" customHeight="1">
      <c r="B29" s="1841" t="s">
        <v>1343</v>
      </c>
      <c r="C29" s="1841"/>
      <c r="D29" s="1841"/>
      <c r="E29" s="1841"/>
      <c r="F29" s="1841"/>
      <c r="G29" s="1841"/>
      <c r="H29" s="1841"/>
      <c r="I29" s="1841"/>
      <c r="J29" s="1290"/>
    </row>
    <row r="30" spans="2:10">
      <c r="B30" s="1841"/>
      <c r="C30" s="1841"/>
      <c r="D30" s="1841"/>
      <c r="E30" s="1841"/>
      <c r="F30" s="1841"/>
      <c r="G30" s="1841"/>
      <c r="H30" s="1841"/>
      <c r="I30" s="1841"/>
      <c r="J30" s="1290"/>
    </row>
    <row r="31" spans="2:10" ht="13">
      <c r="I31" s="1274"/>
    </row>
    <row r="32" spans="2:10" ht="13">
      <c r="B32" s="1275" t="s">
        <v>175</v>
      </c>
      <c r="C32" s="1275"/>
      <c r="D32" s="1275"/>
      <c r="E32" s="1275" t="s">
        <v>176</v>
      </c>
      <c r="F32" s="1275" t="s">
        <v>1152</v>
      </c>
      <c r="G32" s="1275" t="s">
        <v>1304</v>
      </c>
      <c r="H32" s="1275" t="s">
        <v>1305</v>
      </c>
      <c r="I32" s="1275" t="s">
        <v>1306</v>
      </c>
      <c r="J32" s="1275" t="s">
        <v>1307</v>
      </c>
    </row>
    <row r="33" spans="2:10" ht="13">
      <c r="B33" s="1283"/>
      <c r="C33" s="350"/>
      <c r="D33" s="350"/>
      <c r="E33" s="1275"/>
      <c r="F33" s="1275" t="s">
        <v>1338</v>
      </c>
      <c r="G33" s="1275" t="s">
        <v>260</v>
      </c>
      <c r="H33" s="1275"/>
      <c r="I33" s="1275"/>
      <c r="J33" s="350"/>
    </row>
    <row r="34" spans="2:10" ht="13">
      <c r="B34" s="1291"/>
      <c r="C34" s="350"/>
      <c r="D34" s="350"/>
      <c r="E34" s="1275"/>
      <c r="F34" s="1275" t="s">
        <v>1339</v>
      </c>
      <c r="G34" s="1275" t="s">
        <v>229</v>
      </c>
      <c r="H34" s="1275" t="s">
        <v>261</v>
      </c>
      <c r="I34" s="1275" t="s">
        <v>262</v>
      </c>
      <c r="J34" s="350"/>
    </row>
    <row r="35" spans="2:10" ht="13">
      <c r="B35" s="1283" t="s">
        <v>939</v>
      </c>
      <c r="C35" s="350"/>
      <c r="D35" s="350"/>
      <c r="E35" s="1275" t="s">
        <v>44</v>
      </c>
      <c r="F35" s="1278" t="s">
        <v>1340</v>
      </c>
      <c r="G35" s="1275" t="s">
        <v>263</v>
      </c>
      <c r="H35" s="1275" t="s">
        <v>263</v>
      </c>
      <c r="I35" s="1275" t="s">
        <v>263</v>
      </c>
      <c r="J35" s="1275" t="s">
        <v>267</v>
      </c>
    </row>
    <row r="36" spans="2:10" ht="25">
      <c r="B36" s="1420" t="s">
        <v>1522</v>
      </c>
      <c r="C36" s="1421"/>
      <c r="D36" s="1422"/>
      <c r="E36" s="1423">
        <f t="shared" ref="E36:E62" si="0">SUM(F36:I36)</f>
        <v>1298893.723151</v>
      </c>
      <c r="F36" s="1423">
        <v>181845.12124114</v>
      </c>
      <c r="G36" s="1423">
        <v>0</v>
      </c>
      <c r="H36" s="1423">
        <v>0</v>
      </c>
      <c r="I36" s="1423">
        <v>1117048.60190986</v>
      </c>
      <c r="J36" s="1346" t="s">
        <v>1547</v>
      </c>
    </row>
    <row r="37" spans="2:10" ht="25">
      <c r="B37" s="1420" t="s">
        <v>1095</v>
      </c>
      <c r="C37" s="1421"/>
      <c r="D37" s="1422"/>
      <c r="E37" s="1423">
        <f t="shared" si="0"/>
        <v>2368297.1303269998</v>
      </c>
      <c r="F37" s="1423">
        <v>331561.59824577998</v>
      </c>
      <c r="G37" s="1423">
        <v>0</v>
      </c>
      <c r="H37" s="1423">
        <v>0</v>
      </c>
      <c r="I37" s="1423">
        <v>2036735.5320812198</v>
      </c>
      <c r="J37" s="1346" t="s">
        <v>1547</v>
      </c>
    </row>
    <row r="38" spans="2:10">
      <c r="B38" s="1420" t="s">
        <v>1523</v>
      </c>
      <c r="C38" s="1421"/>
      <c r="D38" s="1422"/>
      <c r="E38" s="1423">
        <f t="shared" si="0"/>
        <v>250460.8346955</v>
      </c>
      <c r="F38" s="1423">
        <v>250460.8346955</v>
      </c>
      <c r="G38" s="1423">
        <v>0</v>
      </c>
      <c r="H38" s="1423">
        <v>0</v>
      </c>
      <c r="I38" s="1423">
        <v>0</v>
      </c>
      <c r="J38" s="1346" t="s">
        <v>1548</v>
      </c>
    </row>
    <row r="39" spans="2:10">
      <c r="B39" s="1420" t="s">
        <v>1909</v>
      </c>
      <c r="C39" s="1421"/>
      <c r="D39" s="1422"/>
      <c r="E39" s="1423">
        <f t="shared" si="0"/>
        <v>17321.875</v>
      </c>
      <c r="F39" s="1423">
        <v>17321.875</v>
      </c>
      <c r="G39" s="1423">
        <v>0</v>
      </c>
      <c r="H39" s="1423">
        <v>0</v>
      </c>
      <c r="I39" s="1423">
        <v>0</v>
      </c>
      <c r="J39" s="1346"/>
    </row>
    <row r="40" spans="2:10" ht="37.5">
      <c r="B40" s="1420" t="s">
        <v>1524</v>
      </c>
      <c r="C40" s="1421"/>
      <c r="D40" s="1422"/>
      <c r="E40" s="1423">
        <f t="shared" si="0"/>
        <v>3938263.6163665038</v>
      </c>
      <c r="F40" s="1423">
        <v>551356.90629131068</v>
      </c>
      <c r="G40" s="1423">
        <v>0</v>
      </c>
      <c r="H40" s="1423">
        <v>0</v>
      </c>
      <c r="I40" s="1423">
        <v>3386906.7100751931</v>
      </c>
      <c r="J40" s="1346" t="s">
        <v>1549</v>
      </c>
    </row>
    <row r="41" spans="2:10">
      <c r="B41" s="1420" t="s">
        <v>1525</v>
      </c>
      <c r="C41" s="1421"/>
      <c r="D41" s="1422"/>
      <c r="E41" s="1423">
        <f t="shared" si="0"/>
        <v>3156516.7467419999</v>
      </c>
      <c r="F41" s="1423">
        <v>3156516.7467419999</v>
      </c>
      <c r="G41" s="1423">
        <v>0</v>
      </c>
      <c r="H41" s="1423">
        <v>0</v>
      </c>
      <c r="I41" s="1423">
        <v>0</v>
      </c>
      <c r="J41" s="1346" t="s">
        <v>1548</v>
      </c>
    </row>
    <row r="42" spans="2:10" ht="25">
      <c r="B42" s="1420" t="s">
        <v>1526</v>
      </c>
      <c r="C42" s="1421"/>
      <c r="D42" s="1422"/>
      <c r="E42" s="1423">
        <f t="shared" si="0"/>
        <v>166081.25616300001</v>
      </c>
      <c r="F42" s="1423">
        <v>23251.375862820001</v>
      </c>
      <c r="G42" s="1423">
        <v>0</v>
      </c>
      <c r="H42" s="1423">
        <v>0</v>
      </c>
      <c r="I42" s="1423">
        <v>142829.88030018</v>
      </c>
      <c r="J42" s="1346" t="s">
        <v>1547</v>
      </c>
    </row>
    <row r="43" spans="2:10">
      <c r="B43" s="1420" t="s">
        <v>1268</v>
      </c>
      <c r="C43" s="1421"/>
      <c r="D43" s="1422"/>
      <c r="E43" s="1423">
        <f t="shared" si="0"/>
        <v>-1.9400500000000001E-2</v>
      </c>
      <c r="F43" s="1423">
        <v>-2.7160700000000005E-3</v>
      </c>
      <c r="G43" s="1423">
        <v>0</v>
      </c>
      <c r="H43" s="1423">
        <v>0</v>
      </c>
      <c r="I43" s="1423">
        <v>-1.668443E-2</v>
      </c>
      <c r="J43" s="1346" t="s">
        <v>1548</v>
      </c>
    </row>
    <row r="44" spans="2:10" ht="25">
      <c r="B44" s="1420" t="s">
        <v>1910</v>
      </c>
      <c r="C44" s="1421"/>
      <c r="D44" s="1422"/>
      <c r="E44" s="1423">
        <f t="shared" si="0"/>
        <v>25094.962475</v>
      </c>
      <c r="F44" s="1423">
        <v>3513.2947465000002</v>
      </c>
      <c r="G44" s="1423">
        <v>0</v>
      </c>
      <c r="H44" s="1423">
        <v>0</v>
      </c>
      <c r="I44" s="1423">
        <v>21581.667728500001</v>
      </c>
      <c r="J44" s="1346" t="s">
        <v>1547</v>
      </c>
    </row>
    <row r="45" spans="2:10" ht="25">
      <c r="B45" s="1420" t="s">
        <v>1097</v>
      </c>
      <c r="C45" s="1421"/>
      <c r="D45" s="1422"/>
      <c r="E45" s="1423">
        <f t="shared" si="0"/>
        <v>439207.84189799998</v>
      </c>
      <c r="F45" s="1423">
        <v>439207.84189799998</v>
      </c>
      <c r="G45" s="1423">
        <v>0</v>
      </c>
      <c r="H45" s="1423">
        <v>0</v>
      </c>
      <c r="I45" s="1423">
        <v>0</v>
      </c>
      <c r="J45" s="1346" t="s">
        <v>1547</v>
      </c>
    </row>
    <row r="46" spans="2:10" ht="25">
      <c r="B46" s="1420" t="s">
        <v>1527</v>
      </c>
      <c r="C46" s="1421"/>
      <c r="D46" s="1422"/>
      <c r="E46" s="1423">
        <f t="shared" si="0"/>
        <v>1416977.7570755002</v>
      </c>
      <c r="F46" s="1423">
        <v>198376.88599057007</v>
      </c>
      <c r="G46" s="1423">
        <v>0</v>
      </c>
      <c r="H46" s="1423">
        <v>0</v>
      </c>
      <c r="I46" s="1423">
        <v>1218600.8710849301</v>
      </c>
      <c r="J46" s="1346" t="s">
        <v>1547</v>
      </c>
    </row>
    <row r="47" spans="2:10">
      <c r="B47" s="1420" t="s">
        <v>269</v>
      </c>
      <c r="C47" s="1421"/>
      <c r="D47" s="1422"/>
      <c r="E47" s="1423">
        <f t="shared" si="0"/>
        <v>8372831.5886670016</v>
      </c>
      <c r="F47" s="1423">
        <v>8372831.5886670016</v>
      </c>
      <c r="G47" s="1423">
        <v>0</v>
      </c>
      <c r="H47" s="1423">
        <v>0</v>
      </c>
      <c r="I47" s="1423">
        <v>0</v>
      </c>
      <c r="J47" s="1346" t="s">
        <v>1548</v>
      </c>
    </row>
    <row r="48" spans="2:10">
      <c r="B48" s="1420" t="s">
        <v>1528</v>
      </c>
      <c r="C48" s="1421"/>
      <c r="D48" s="1422"/>
      <c r="E48" s="1423">
        <f t="shared" si="0"/>
        <v>4371482.6236884994</v>
      </c>
      <c r="F48" s="1423">
        <v>4371482.6236884994</v>
      </c>
      <c r="G48" s="1423">
        <v>0</v>
      </c>
      <c r="H48" s="1423">
        <v>0</v>
      </c>
      <c r="I48" s="1423">
        <v>0</v>
      </c>
      <c r="J48" s="1346" t="s">
        <v>1548</v>
      </c>
    </row>
    <row r="49" spans="2:10">
      <c r="B49" s="1420" t="s">
        <v>268</v>
      </c>
      <c r="C49" s="1421"/>
      <c r="D49" s="1422"/>
      <c r="E49" s="1423">
        <f t="shared" si="0"/>
        <v>21784.153518500003</v>
      </c>
      <c r="F49" s="1423">
        <v>21784.153518500003</v>
      </c>
      <c r="G49" s="1423">
        <v>0</v>
      </c>
      <c r="H49" s="1423">
        <v>0</v>
      </c>
      <c r="I49" s="1423">
        <v>0</v>
      </c>
      <c r="J49" s="1346" t="s">
        <v>1548</v>
      </c>
    </row>
    <row r="50" spans="2:10">
      <c r="B50" s="1420" t="s">
        <v>1911</v>
      </c>
      <c r="C50" s="1421"/>
      <c r="D50" s="1422"/>
      <c r="E50" s="1423">
        <f t="shared" si="0"/>
        <v>3247611.7085754997</v>
      </c>
      <c r="F50" s="1423">
        <v>3247611.7085754997</v>
      </c>
      <c r="G50" s="1423">
        <v>0</v>
      </c>
      <c r="H50" s="1423">
        <v>0</v>
      </c>
      <c r="I50" s="1423">
        <v>0</v>
      </c>
      <c r="J50" s="1346" t="s">
        <v>1548</v>
      </c>
    </row>
    <row r="51" spans="2:10">
      <c r="B51" s="1420" t="s">
        <v>1712</v>
      </c>
      <c r="C51" s="1421"/>
      <c r="D51" s="1422"/>
      <c r="E51" s="1423">
        <f t="shared" si="0"/>
        <v>-7.7602000000000004E-2</v>
      </c>
      <c r="F51" s="1423">
        <v>-7.7602000000000004E-2</v>
      </c>
      <c r="G51" s="1423">
        <v>0</v>
      </c>
      <c r="H51" s="1423">
        <v>0</v>
      </c>
      <c r="I51" s="1423">
        <v>0</v>
      </c>
      <c r="J51" s="1346" t="s">
        <v>1548</v>
      </c>
    </row>
    <row r="52" spans="2:10">
      <c r="B52" s="1420" t="s">
        <v>1529</v>
      </c>
      <c r="C52" s="1421"/>
      <c r="D52" s="1422"/>
      <c r="E52" s="1423">
        <f t="shared" si="0"/>
        <v>339382.22825349984</v>
      </c>
      <c r="F52" s="1423">
        <v>339382.22825349984</v>
      </c>
      <c r="G52" s="1423">
        <v>0</v>
      </c>
      <c r="H52" s="1423">
        <v>0</v>
      </c>
      <c r="I52" s="1423">
        <v>0</v>
      </c>
      <c r="J52" s="1346" t="s">
        <v>1548</v>
      </c>
    </row>
    <row r="53" spans="2:10">
      <c r="B53" s="1420" t="s">
        <v>1711</v>
      </c>
      <c r="C53" s="1421"/>
      <c r="D53" s="1422"/>
      <c r="E53" s="1423">
        <f t="shared" si="0"/>
        <v>3708022.1573755001</v>
      </c>
      <c r="F53" s="1423">
        <v>3708022.1573755001</v>
      </c>
      <c r="G53" s="1423">
        <v>0</v>
      </c>
      <c r="H53" s="1423">
        <v>0</v>
      </c>
      <c r="I53" s="1423">
        <v>0</v>
      </c>
      <c r="J53" s="1346" t="s">
        <v>1548</v>
      </c>
    </row>
    <row r="54" spans="2:10">
      <c r="B54" s="1420" t="s">
        <v>1530</v>
      </c>
      <c r="C54" s="1421"/>
      <c r="D54" s="1422"/>
      <c r="E54" s="1423">
        <f t="shared" si="0"/>
        <v>2588611.1317480002</v>
      </c>
      <c r="F54" s="1423">
        <v>2588611.1317480002</v>
      </c>
      <c r="G54" s="1423">
        <v>0</v>
      </c>
      <c r="H54" s="1423">
        <v>0</v>
      </c>
      <c r="I54" s="1423">
        <v>0</v>
      </c>
      <c r="J54" s="1346" t="s">
        <v>1548</v>
      </c>
    </row>
    <row r="55" spans="2:10">
      <c r="B55" s="1420" t="s">
        <v>1531</v>
      </c>
      <c r="C55" s="1421"/>
      <c r="D55" s="1422"/>
      <c r="E55" s="1423">
        <f t="shared" si="0"/>
        <v>296364.41594700003</v>
      </c>
      <c r="F55" s="1423">
        <v>296364.41594700003</v>
      </c>
      <c r="G55" s="1423">
        <v>0</v>
      </c>
      <c r="H55" s="1423">
        <v>0</v>
      </c>
      <c r="I55" s="1423">
        <v>0</v>
      </c>
      <c r="J55" s="1346" t="s">
        <v>1548</v>
      </c>
    </row>
    <row r="56" spans="2:10" ht="25">
      <c r="B56" s="1420" t="s">
        <v>1912</v>
      </c>
      <c r="C56" s="1421"/>
      <c r="D56" s="1422"/>
      <c r="E56" s="1423">
        <f t="shared" si="0"/>
        <v>-68783.838076499989</v>
      </c>
      <c r="F56" s="1423">
        <v>-68783.838076499989</v>
      </c>
      <c r="G56" s="1423">
        <v>0</v>
      </c>
      <c r="H56" s="1423">
        <v>0</v>
      </c>
      <c r="I56" s="1423">
        <v>0</v>
      </c>
      <c r="J56" s="1346" t="s">
        <v>1933</v>
      </c>
    </row>
    <row r="57" spans="2:10" ht="25">
      <c r="B57" s="1420" t="s">
        <v>1532</v>
      </c>
      <c r="C57" s="1421"/>
      <c r="D57" s="1422"/>
      <c r="E57" s="1423">
        <f t="shared" si="0"/>
        <v>47518412.062360764</v>
      </c>
      <c r="F57" s="1423">
        <v>9412467.4758010767</v>
      </c>
      <c r="G57" s="1423">
        <v>0</v>
      </c>
      <c r="H57" s="1423">
        <v>38105944.586559683</v>
      </c>
      <c r="I57" s="1423">
        <v>0</v>
      </c>
      <c r="J57" s="1346" t="s">
        <v>1550</v>
      </c>
    </row>
    <row r="58" spans="2:10" ht="50">
      <c r="B58" s="1420" t="s">
        <v>1533</v>
      </c>
      <c r="C58" s="1421"/>
      <c r="D58" s="1422"/>
      <c r="E58" s="1423">
        <f t="shared" si="0"/>
        <v>381372.08007724874</v>
      </c>
      <c r="F58" s="1423">
        <v>3647.9829500000005</v>
      </c>
      <c r="G58" s="1423">
        <v>0</v>
      </c>
      <c r="H58" s="1423">
        <v>377724.09712724877</v>
      </c>
      <c r="I58" s="1423">
        <v>0</v>
      </c>
      <c r="J58" s="1346" t="s">
        <v>1551</v>
      </c>
    </row>
    <row r="59" spans="2:10">
      <c r="B59" s="1420" t="s">
        <v>1534</v>
      </c>
      <c r="C59" s="1421"/>
      <c r="D59" s="1422"/>
      <c r="E59" s="1423">
        <f t="shared" si="0"/>
        <v>3649.5733145753861</v>
      </c>
      <c r="F59" s="1423">
        <v>3649.5733145753861</v>
      </c>
      <c r="G59" s="1423">
        <v>0</v>
      </c>
      <c r="H59" s="1423">
        <v>0</v>
      </c>
      <c r="I59" s="1423">
        <v>0</v>
      </c>
      <c r="J59" s="1346" t="s">
        <v>1548</v>
      </c>
    </row>
    <row r="60" spans="2:10" ht="37.5">
      <c r="B60" s="1420" t="s">
        <v>1535</v>
      </c>
      <c r="C60" s="1421"/>
      <c r="D60" s="1422"/>
      <c r="E60" s="1423">
        <f t="shared" si="0"/>
        <v>107331990.2209135</v>
      </c>
      <c r="F60" s="1423">
        <v>10733199.022091351</v>
      </c>
      <c r="G60" s="1423">
        <v>0</v>
      </c>
      <c r="H60" s="1423">
        <v>96598791.198822156</v>
      </c>
      <c r="I60" s="1423">
        <v>0</v>
      </c>
      <c r="J60" s="1346" t="s">
        <v>1552</v>
      </c>
    </row>
    <row r="61" spans="2:10">
      <c r="B61" s="1420" t="s">
        <v>1483</v>
      </c>
      <c r="C61" s="1421"/>
      <c r="D61" s="1422"/>
      <c r="E61" s="1423">
        <f t="shared" si="0"/>
        <v>0</v>
      </c>
      <c r="F61" s="1423">
        <v>0</v>
      </c>
      <c r="G61" s="1423">
        <v>0</v>
      </c>
      <c r="H61" s="1423">
        <v>0</v>
      </c>
      <c r="I61" s="1423">
        <v>0</v>
      </c>
      <c r="J61" s="1346" t="s">
        <v>1548</v>
      </c>
    </row>
    <row r="62" spans="2:10">
      <c r="B62" s="1420" t="s">
        <v>1485</v>
      </c>
      <c r="C62" s="1421"/>
      <c r="D62" s="1422"/>
      <c r="E62" s="1423">
        <f t="shared" si="0"/>
        <v>0</v>
      </c>
      <c r="F62" s="1423">
        <v>0</v>
      </c>
      <c r="G62" s="1423">
        <v>0</v>
      </c>
      <c r="H62" s="1423">
        <v>0</v>
      </c>
      <c r="I62" s="1423">
        <v>0</v>
      </c>
      <c r="J62" s="1346" t="s">
        <v>1548</v>
      </c>
    </row>
    <row r="63" spans="2:10" ht="13">
      <c r="B63" s="1295" t="s">
        <v>940</v>
      </c>
      <c r="C63" s="1296"/>
      <c r="D63" s="1297"/>
      <c r="E63" s="1298">
        <f>SUM(E36:E62)</f>
        <v>191189845.75325409</v>
      </c>
      <c r="F63" s="1298">
        <f>SUM(F36:F62)</f>
        <v>48183682.624249555</v>
      </c>
      <c r="G63" s="1298">
        <f>SUM(G36:G62)</f>
        <v>0</v>
      </c>
      <c r="H63" s="1298">
        <f>SUM(H36:H62)</f>
        <v>135082459.88250908</v>
      </c>
      <c r="I63" s="1298">
        <f>SUM(I36:I62)</f>
        <v>7923703.2464954546</v>
      </c>
      <c r="J63" s="1299"/>
    </row>
    <row r="64" spans="2:10" ht="13">
      <c r="B64" s="1300"/>
      <c r="C64" s="1297"/>
      <c r="D64" s="1297"/>
      <c r="E64" s="1298"/>
      <c r="F64" s="1298"/>
      <c r="G64" s="1298"/>
      <c r="H64" s="1298"/>
      <c r="I64" s="1298"/>
      <c r="J64" s="1299"/>
    </row>
    <row r="65" spans="2:10">
      <c r="B65" s="1301" t="s">
        <v>1344</v>
      </c>
      <c r="C65" s="1302"/>
      <c r="D65" s="1302"/>
      <c r="E65" s="1303">
        <f>SUM(F65:I65)</f>
        <v>0</v>
      </c>
      <c r="F65" s="1293">
        <v>0</v>
      </c>
      <c r="G65" s="1293">
        <v>0</v>
      </c>
      <c r="H65" s="1293">
        <v>0</v>
      </c>
      <c r="I65" s="1293">
        <v>0</v>
      </c>
      <c r="J65" s="1304"/>
    </row>
    <row r="66" spans="2:10">
      <c r="B66" s="1301" t="s">
        <v>1345</v>
      </c>
      <c r="C66" s="1302"/>
      <c r="D66" s="1302"/>
      <c r="E66" s="1303">
        <f>SUM(F66:I66)</f>
        <v>-381372.08007724874</v>
      </c>
      <c r="F66" s="1293">
        <f>-F58</f>
        <v>-3647.9829500000005</v>
      </c>
      <c r="G66" s="1293">
        <f>-G58</f>
        <v>0</v>
      </c>
      <c r="H66" s="1293">
        <f>-H58</f>
        <v>-377724.09712724877</v>
      </c>
      <c r="I66" s="1293">
        <f>-I58</f>
        <v>0</v>
      </c>
      <c r="J66" s="1304"/>
    </row>
    <row r="67" spans="2:10">
      <c r="B67" s="1301" t="s">
        <v>1346</v>
      </c>
      <c r="C67" s="1302"/>
      <c r="D67" s="1302"/>
      <c r="E67" s="1303">
        <f>SUM(F67:I67)</f>
        <v>-107331990.2209135</v>
      </c>
      <c r="F67" s="1293">
        <f>-F60</f>
        <v>-10733199.022091351</v>
      </c>
      <c r="G67" s="1293">
        <f>-G60</f>
        <v>0</v>
      </c>
      <c r="H67" s="1293">
        <f>-H60</f>
        <v>-96598791.198822156</v>
      </c>
      <c r="I67" s="1293">
        <f>-I60</f>
        <v>0</v>
      </c>
      <c r="J67" s="1304"/>
    </row>
    <row r="68" spans="2:10">
      <c r="B68" s="1301" t="s">
        <v>1016</v>
      </c>
      <c r="C68" s="1302"/>
      <c r="D68" s="1302"/>
      <c r="E68" s="1303">
        <f>SUM(F68:I68)</f>
        <v>-3938263.6163665038</v>
      </c>
      <c r="F68" s="1293">
        <f>-F40</f>
        <v>-551356.90629131068</v>
      </c>
      <c r="G68" s="1293">
        <f>-G40</f>
        <v>0</v>
      </c>
      <c r="H68" s="1293">
        <f>-H40</f>
        <v>0</v>
      </c>
      <c r="I68" s="1293">
        <f>-I40</f>
        <v>-3386906.7100751931</v>
      </c>
      <c r="J68" s="1304"/>
    </row>
    <row r="69" spans="2:10" ht="5.15" customHeight="1">
      <c r="B69" s="1295"/>
      <c r="C69" s="1296"/>
      <c r="D69" s="1297"/>
      <c r="E69" s="1298"/>
      <c r="F69" s="1298"/>
      <c r="G69" s="1298"/>
      <c r="H69" s="1298"/>
      <c r="I69" s="1298"/>
      <c r="J69" s="1299"/>
    </row>
    <row r="70" spans="2:10" ht="13">
      <c r="B70" s="1300" t="s">
        <v>941</v>
      </c>
      <c r="C70" s="1297"/>
      <c r="D70" s="1297"/>
      <c r="E70" s="1298">
        <f>SUM(E65:E69)+E63</f>
        <v>79538219.835896835</v>
      </c>
      <c r="F70" s="1298">
        <f>SUM(F65:F69)+F63</f>
        <v>36895478.712916896</v>
      </c>
      <c r="G70" s="1298">
        <f>SUM(G65:G69)+G63</f>
        <v>0</v>
      </c>
      <c r="H70" s="1298">
        <f>SUM(H65:H69)+H63</f>
        <v>38105944.586559683</v>
      </c>
      <c r="I70" s="1298">
        <f>SUM(I65:I69)+I63</f>
        <v>4536796.5364202615</v>
      </c>
      <c r="J70" s="1299"/>
    </row>
    <row r="71" spans="2:10" ht="13">
      <c r="B71" s="1300"/>
      <c r="C71" s="1297"/>
      <c r="D71" s="1297"/>
      <c r="E71" s="1298"/>
      <c r="F71" s="1298"/>
      <c r="G71" s="1298"/>
      <c r="H71" s="1298"/>
      <c r="I71" s="1298"/>
      <c r="J71" s="1299"/>
    </row>
    <row r="72" spans="2:10" ht="13">
      <c r="B72" s="1305" t="s">
        <v>266</v>
      </c>
      <c r="C72" s="1306"/>
      <c r="D72" s="1307"/>
      <c r="E72" s="1308"/>
      <c r="F72" s="1308"/>
      <c r="G72" s="1308"/>
      <c r="H72" s="1308"/>
      <c r="I72" s="1309">
        <f>+'ATT H-3D'!$H$16</f>
        <v>0.13016492184368511</v>
      </c>
      <c r="J72" s="1310"/>
    </row>
    <row r="73" spans="2:10" ht="13">
      <c r="B73" s="1305" t="s">
        <v>238</v>
      </c>
      <c r="C73" s="1306"/>
      <c r="D73" s="1307"/>
      <c r="E73" s="1308"/>
      <c r="F73" s="1308"/>
      <c r="G73" s="1308"/>
      <c r="H73" s="1309">
        <f>'ATT H-3D'!$H$37</f>
        <v>0.379445767046166</v>
      </c>
      <c r="I73" s="1308"/>
      <c r="J73" s="1310"/>
    </row>
    <row r="74" spans="2:10" ht="13">
      <c r="B74" s="1305" t="s">
        <v>942</v>
      </c>
      <c r="C74" s="1306"/>
      <c r="D74" s="1307"/>
      <c r="E74" s="1308"/>
      <c r="F74" s="1308"/>
      <c r="G74" s="1309">
        <v>1</v>
      </c>
      <c r="H74" s="1308"/>
      <c r="I74" s="1308"/>
      <c r="J74" s="1310"/>
    </row>
    <row r="75" spans="2:10" ht="13">
      <c r="B75" s="1305" t="s">
        <v>943</v>
      </c>
      <c r="C75" s="1306"/>
      <c r="D75" s="1307"/>
      <c r="E75" s="1308"/>
      <c r="F75" s="1309">
        <v>0</v>
      </c>
      <c r="G75" s="1308"/>
      <c r="H75" s="1308"/>
      <c r="I75" s="1308"/>
      <c r="J75" s="1310"/>
    </row>
    <row r="76" spans="2:10" ht="13">
      <c r="B76" s="1311" t="s">
        <v>944</v>
      </c>
      <c r="C76" s="1306"/>
      <c r="D76" s="1307"/>
      <c r="E76" s="1308">
        <f>F76+G76+H76+I76</f>
        <v>15049671.139249681</v>
      </c>
      <c r="F76" s="1308">
        <f>F75*F70</f>
        <v>0</v>
      </c>
      <c r="G76" s="1308">
        <f>G70*G74</f>
        <v>0</v>
      </c>
      <c r="H76" s="1308">
        <f>H70*H73</f>
        <v>14459139.372665836</v>
      </c>
      <c r="I76" s="1308">
        <f>I72*I70</f>
        <v>590531.76658384467</v>
      </c>
      <c r="J76" s="1310"/>
    </row>
    <row r="77" spans="2:10" ht="13">
      <c r="B77" s="1312"/>
      <c r="E77" s="1282"/>
      <c r="F77" s="1282"/>
      <c r="G77" s="1282"/>
      <c r="H77" s="1282"/>
      <c r="I77" s="1282"/>
      <c r="J77" s="1313"/>
    </row>
    <row r="78" spans="2:10" ht="13">
      <c r="B78" s="1283"/>
      <c r="E78" s="1282"/>
      <c r="F78" s="1282"/>
      <c r="G78" s="1282"/>
      <c r="H78" s="1282"/>
      <c r="I78" s="1282"/>
      <c r="J78" s="1313"/>
    </row>
    <row r="79" spans="2:10" ht="13">
      <c r="B79" s="1275" t="s">
        <v>175</v>
      </c>
      <c r="C79" s="1275"/>
      <c r="D79" s="1275"/>
      <c r="E79" s="1275" t="s">
        <v>176</v>
      </c>
      <c r="F79" s="1275" t="s">
        <v>1152</v>
      </c>
      <c r="G79" s="1275" t="s">
        <v>1304</v>
      </c>
      <c r="H79" s="1275" t="s">
        <v>1305</v>
      </c>
      <c r="I79" s="1275" t="s">
        <v>1306</v>
      </c>
      <c r="J79" s="1275" t="s">
        <v>1307</v>
      </c>
    </row>
    <row r="80" spans="2:10" ht="13">
      <c r="B80" s="1283"/>
      <c r="C80" s="350"/>
      <c r="D80" s="350"/>
      <c r="E80" s="1275"/>
      <c r="F80" s="1275" t="s">
        <v>1338</v>
      </c>
      <c r="G80" s="1275" t="s">
        <v>260</v>
      </c>
      <c r="H80" s="1275"/>
      <c r="I80" s="1275"/>
      <c r="J80" s="350"/>
    </row>
    <row r="81" spans="2:10" ht="13">
      <c r="B81" s="1291"/>
      <c r="C81" s="350"/>
      <c r="D81" s="350"/>
      <c r="E81" s="1275"/>
      <c r="F81" s="1275" t="s">
        <v>1339</v>
      </c>
      <c r="G81" s="1275" t="s">
        <v>229</v>
      </c>
      <c r="H81" s="1275" t="s">
        <v>261</v>
      </c>
      <c r="I81" s="1275" t="s">
        <v>262</v>
      </c>
      <c r="J81" s="350"/>
    </row>
    <row r="82" spans="2:10" ht="13">
      <c r="B82" s="1283" t="s">
        <v>945</v>
      </c>
      <c r="C82" s="350"/>
      <c r="D82" s="350"/>
      <c r="E82" s="1275" t="s">
        <v>44</v>
      </c>
      <c r="F82" s="1278" t="s">
        <v>1340</v>
      </c>
      <c r="G82" s="1275" t="s">
        <v>263</v>
      </c>
      <c r="H82" s="1275" t="s">
        <v>263</v>
      </c>
      <c r="I82" s="1275" t="s">
        <v>263</v>
      </c>
      <c r="J82" s="1275" t="s">
        <v>267</v>
      </c>
    </row>
    <row r="83" spans="2:10">
      <c r="B83" s="1292"/>
      <c r="C83" s="1314"/>
      <c r="D83" s="1315"/>
      <c r="E83" s="1293"/>
      <c r="F83" s="1293"/>
      <c r="G83" s="1293"/>
      <c r="H83" s="1293"/>
      <c r="I83" s="1293"/>
      <c r="J83" s="1294"/>
    </row>
    <row r="84" spans="2:10">
      <c r="B84" s="1292"/>
      <c r="C84" s="1314"/>
      <c r="D84" s="1316"/>
      <c r="E84" s="1293"/>
      <c r="F84" s="1293"/>
      <c r="G84" s="1293"/>
      <c r="H84" s="1293"/>
      <c r="I84" s="1293"/>
      <c r="J84" s="1294"/>
    </row>
    <row r="85" spans="2:10">
      <c r="B85" s="1292"/>
      <c r="C85" s="1314"/>
      <c r="D85" s="1316"/>
      <c r="E85" s="1293"/>
      <c r="F85" s="1293"/>
      <c r="G85" s="1293"/>
      <c r="H85" s="1293"/>
      <c r="I85" s="1293"/>
      <c r="J85" s="1294"/>
    </row>
    <row r="86" spans="2:10">
      <c r="B86" s="1292"/>
      <c r="C86" s="1314"/>
      <c r="D86" s="1316"/>
      <c r="E86" s="1293"/>
      <c r="F86" s="1293"/>
      <c r="G86" s="1293"/>
      <c r="H86" s="1293"/>
      <c r="I86" s="1293"/>
      <c r="J86" s="1294"/>
    </row>
    <row r="87" spans="2:10">
      <c r="B87" s="1292"/>
      <c r="C87" s="1314"/>
      <c r="D87" s="1316"/>
      <c r="E87" s="1293"/>
      <c r="F87" s="1293"/>
      <c r="G87" s="1293"/>
      <c r="H87" s="1293"/>
      <c r="I87" s="1293"/>
      <c r="J87" s="1294"/>
    </row>
    <row r="88" spans="2:10">
      <c r="B88" s="1292"/>
      <c r="C88" s="1314"/>
      <c r="D88" s="1316"/>
      <c r="E88" s="1293"/>
      <c r="F88" s="1293"/>
      <c r="G88" s="1293"/>
      <c r="H88" s="1293"/>
      <c r="I88" s="1293"/>
      <c r="J88" s="1294"/>
    </row>
    <row r="89" spans="2:10">
      <c r="B89" s="1292"/>
      <c r="C89" s="1314"/>
      <c r="D89" s="1315"/>
      <c r="E89" s="1317"/>
      <c r="F89" s="1317"/>
      <c r="G89" s="1317"/>
      <c r="H89" s="1317"/>
      <c r="I89" s="1317"/>
      <c r="J89" s="1318"/>
    </row>
    <row r="90" spans="2:10" ht="13">
      <c r="B90" s="1300" t="s">
        <v>946</v>
      </c>
      <c r="C90" s="1297"/>
      <c r="D90" s="1297"/>
      <c r="E90" s="1298">
        <f>SUM(E83:E89)</f>
        <v>0</v>
      </c>
      <c r="F90" s="1298">
        <f>SUM(F83:F89)</f>
        <v>0</v>
      </c>
      <c r="G90" s="1298">
        <f>SUM(G83:G89)</f>
        <v>0</v>
      </c>
      <c r="H90" s="1298">
        <f>SUM(H83:H89)</f>
        <v>0</v>
      </c>
      <c r="I90" s="1298">
        <f>SUM(I83:I89)</f>
        <v>0</v>
      </c>
      <c r="J90" s="1299"/>
    </row>
    <row r="91" spans="2:10" ht="13">
      <c r="B91" s="1300"/>
      <c r="C91" s="1297"/>
      <c r="D91" s="1297"/>
      <c r="E91" s="1298"/>
      <c r="F91" s="1298"/>
      <c r="G91" s="1298"/>
      <c r="H91" s="1298"/>
      <c r="I91" s="1298"/>
      <c r="J91" s="1299"/>
    </row>
    <row r="92" spans="2:10">
      <c r="B92" s="1319" t="s">
        <v>1344</v>
      </c>
      <c r="C92" s="1320"/>
      <c r="D92" s="1321"/>
      <c r="E92" s="1303"/>
      <c r="F92" s="1293"/>
      <c r="G92" s="1293"/>
      <c r="H92" s="1293"/>
      <c r="I92" s="1293"/>
      <c r="J92" s="1304"/>
    </row>
    <row r="93" spans="2:10">
      <c r="B93" s="1301" t="s">
        <v>1345</v>
      </c>
      <c r="C93" s="1302"/>
      <c r="D93" s="1321"/>
      <c r="E93" s="1303"/>
      <c r="F93" s="1293"/>
      <c r="G93" s="1293"/>
      <c r="H93" s="1293"/>
      <c r="I93" s="1293"/>
      <c r="J93" s="1304"/>
    </row>
    <row r="94" spans="2:10">
      <c r="B94" s="1301" t="s">
        <v>1346</v>
      </c>
      <c r="C94" s="1302"/>
      <c r="D94" s="1321"/>
      <c r="E94" s="1303"/>
      <c r="F94" s="1293"/>
      <c r="G94" s="1293"/>
      <c r="H94" s="1293"/>
      <c r="I94" s="1293"/>
      <c r="J94" s="1304"/>
    </row>
    <row r="95" spans="2:10">
      <c r="B95" s="1301" t="s">
        <v>1016</v>
      </c>
      <c r="C95" s="1302"/>
      <c r="D95" s="1321"/>
      <c r="E95" s="1303"/>
      <c r="F95" s="1293"/>
      <c r="G95" s="1293"/>
      <c r="H95" s="1293"/>
      <c r="I95" s="1293"/>
      <c r="J95" s="1304"/>
    </row>
    <row r="96" spans="2:10" ht="5.15" customHeight="1">
      <c r="B96" s="1295"/>
      <c r="C96" s="1296"/>
      <c r="D96" s="1297"/>
      <c r="E96" s="1298"/>
      <c r="F96" s="1298"/>
      <c r="G96" s="1298"/>
      <c r="H96" s="1298"/>
      <c r="I96" s="1298"/>
      <c r="J96" s="1299"/>
    </row>
    <row r="97" spans="2:10" ht="13">
      <c r="B97" s="1322" t="s">
        <v>947</v>
      </c>
      <c r="C97" s="1323"/>
      <c r="D97" s="1297"/>
      <c r="E97" s="1298">
        <f>SUM(E92:E96)+E90</f>
        <v>0</v>
      </c>
      <c r="F97" s="1298">
        <f>SUM(F92:F96)+F90</f>
        <v>0</v>
      </c>
      <c r="G97" s="1298">
        <f>SUM(G92:G96)+G90</f>
        <v>0</v>
      </c>
      <c r="H97" s="1298">
        <f>SUM(H92:H96)+H90</f>
        <v>0</v>
      </c>
      <c r="I97" s="1298">
        <f>SUM(I92:I96)+I90</f>
        <v>0</v>
      </c>
      <c r="J97" s="1299"/>
    </row>
    <row r="98" spans="2:10" ht="13">
      <c r="B98" s="1324"/>
      <c r="C98" s="1325"/>
      <c r="D98" s="1325"/>
      <c r="E98" s="1308"/>
      <c r="F98" s="1298"/>
      <c r="G98" s="1298"/>
      <c r="H98" s="1298"/>
      <c r="I98" s="1298"/>
      <c r="J98" s="1310"/>
    </row>
    <row r="99" spans="2:10" ht="13">
      <c r="B99" s="1326" t="s">
        <v>266</v>
      </c>
      <c r="C99" s="1327"/>
      <c r="D99" s="1307"/>
      <c r="E99" s="1308"/>
      <c r="F99" s="1308"/>
      <c r="G99" s="1308"/>
      <c r="H99" s="1308"/>
      <c r="I99" s="1309">
        <f>+'ATT H-3D'!$H$16</f>
        <v>0.13016492184368511</v>
      </c>
      <c r="J99" s="1310"/>
    </row>
    <row r="100" spans="2:10" ht="13">
      <c r="B100" s="1305" t="s">
        <v>238</v>
      </c>
      <c r="C100" s="1306"/>
      <c r="D100" s="1307"/>
      <c r="E100" s="1308"/>
      <c r="F100" s="1308"/>
      <c r="G100" s="1308"/>
      <c r="H100" s="1309">
        <f>+'ATT H-3D'!$H$37</f>
        <v>0.379445767046166</v>
      </c>
      <c r="I100" s="1308"/>
      <c r="J100" s="1310"/>
    </row>
    <row r="101" spans="2:10" ht="13">
      <c r="B101" s="1305" t="s">
        <v>942</v>
      </c>
      <c r="C101" s="1306"/>
      <c r="D101" s="1307"/>
      <c r="E101" s="1308"/>
      <c r="F101" s="1308"/>
      <c r="G101" s="1309">
        <v>1</v>
      </c>
      <c r="H101" s="1308"/>
      <c r="I101" s="1308"/>
      <c r="J101" s="1310"/>
    </row>
    <row r="102" spans="2:10" ht="13">
      <c r="B102" s="1305" t="s">
        <v>943</v>
      </c>
      <c r="C102" s="1306"/>
      <c r="D102" s="1307"/>
      <c r="E102" s="1308"/>
      <c r="F102" s="1309">
        <v>0</v>
      </c>
      <c r="G102" s="1308"/>
      <c r="H102" s="1308"/>
      <c r="I102" s="1308"/>
      <c r="J102" s="1310"/>
    </row>
    <row r="103" spans="2:10" ht="13">
      <c r="B103" s="1311" t="s">
        <v>944</v>
      </c>
      <c r="C103" s="1306"/>
      <c r="D103" s="1307"/>
      <c r="E103" s="1308">
        <f>F103+G103+H103+I103</f>
        <v>0</v>
      </c>
      <c r="F103" s="1308">
        <f>F102*F97</f>
        <v>0</v>
      </c>
      <c r="G103" s="1308">
        <f>G97*G101</f>
        <v>0</v>
      </c>
      <c r="H103" s="1308">
        <f>H97*H100</f>
        <v>0</v>
      </c>
      <c r="I103" s="1308">
        <f>I99*I97</f>
        <v>0</v>
      </c>
      <c r="J103" s="1310"/>
    </row>
    <row r="104" spans="2:10" ht="13">
      <c r="B104" s="1312"/>
      <c r="E104" s="1282"/>
      <c r="F104" s="1282"/>
      <c r="G104" s="1282"/>
      <c r="H104" s="1282"/>
      <c r="I104" s="1282"/>
      <c r="J104" s="1313"/>
    </row>
    <row r="105" spans="2:10" ht="13">
      <c r="B105" s="1312"/>
      <c r="E105" s="1282"/>
      <c r="F105" s="1282"/>
      <c r="G105" s="1282"/>
      <c r="H105" s="1282"/>
      <c r="I105" s="1282"/>
      <c r="J105" s="1313"/>
    </row>
    <row r="106" spans="2:10" ht="13">
      <c r="B106" s="1275" t="s">
        <v>175</v>
      </c>
      <c r="C106" s="1275"/>
      <c r="D106" s="1275"/>
      <c r="E106" s="1275" t="s">
        <v>176</v>
      </c>
      <c r="F106" s="1275" t="s">
        <v>1152</v>
      </c>
      <c r="G106" s="1275" t="s">
        <v>1304</v>
      </c>
      <c r="H106" s="1275" t="s">
        <v>1305</v>
      </c>
      <c r="I106" s="1275" t="s">
        <v>1306</v>
      </c>
      <c r="J106" s="1275" t="s">
        <v>1307</v>
      </c>
    </row>
    <row r="107" spans="2:10" ht="13">
      <c r="B107" s="1283"/>
      <c r="C107" s="350"/>
      <c r="D107" s="350"/>
      <c r="E107" s="1275"/>
      <c r="F107" s="1275" t="s">
        <v>1338</v>
      </c>
      <c r="G107" s="1275" t="s">
        <v>260</v>
      </c>
      <c r="H107" s="1275"/>
      <c r="I107" s="1275"/>
      <c r="J107" s="350"/>
    </row>
    <row r="108" spans="2:10" ht="13">
      <c r="B108" s="1328"/>
      <c r="C108" s="350"/>
      <c r="D108" s="350"/>
      <c r="E108" s="1275"/>
      <c r="F108" s="1275" t="s">
        <v>1339</v>
      </c>
      <c r="G108" s="1275" t="s">
        <v>229</v>
      </c>
      <c r="H108" s="1275" t="s">
        <v>261</v>
      </c>
      <c r="I108" s="1275" t="s">
        <v>262</v>
      </c>
      <c r="J108" s="350"/>
    </row>
    <row r="109" spans="2:10" ht="13">
      <c r="B109" s="1283" t="s">
        <v>1347</v>
      </c>
      <c r="E109" s="1275" t="s">
        <v>44</v>
      </c>
      <c r="F109" s="1278" t="s">
        <v>1340</v>
      </c>
      <c r="G109" s="1275" t="s">
        <v>263</v>
      </c>
      <c r="H109" s="1275" t="s">
        <v>263</v>
      </c>
      <c r="I109" s="1275" t="s">
        <v>263</v>
      </c>
      <c r="J109" s="1275" t="s">
        <v>267</v>
      </c>
    </row>
    <row r="110" spans="2:10">
      <c r="B110" s="1307" t="s">
        <v>939</v>
      </c>
      <c r="C110" s="1307"/>
      <c r="D110" s="1307"/>
      <c r="E110" s="1298">
        <f>SUM(F110:I110)</f>
        <v>191189845.75325409</v>
      </c>
      <c r="F110" s="1308">
        <f>F63</f>
        <v>48183682.624249555</v>
      </c>
      <c r="G110" s="1308">
        <f>G63</f>
        <v>0</v>
      </c>
      <c r="H110" s="1308">
        <f>H63</f>
        <v>135082459.88250908</v>
      </c>
      <c r="I110" s="1308">
        <f>I63</f>
        <v>7923703.2464954546</v>
      </c>
      <c r="J110" s="1310"/>
    </row>
    <row r="111" spans="2:10">
      <c r="B111" s="1307" t="s">
        <v>945</v>
      </c>
      <c r="C111" s="1307"/>
      <c r="D111" s="1307"/>
      <c r="E111" s="1298">
        <f>SUM(F111:I111)</f>
        <v>0</v>
      </c>
      <c r="F111" s="1308">
        <f>F90</f>
        <v>0</v>
      </c>
      <c r="G111" s="1308">
        <f>G90</f>
        <v>0</v>
      </c>
      <c r="H111" s="1308">
        <f>H90</f>
        <v>0</v>
      </c>
      <c r="I111" s="1308">
        <f>I90</f>
        <v>0</v>
      </c>
      <c r="J111" s="1310"/>
    </row>
    <row r="112" spans="2:10" ht="13">
      <c r="B112" s="1329" t="s">
        <v>948</v>
      </c>
      <c r="C112" s="1307"/>
      <c r="D112" s="1307"/>
      <c r="E112" s="1308">
        <f>E110+E111</f>
        <v>191189845.75325409</v>
      </c>
      <c r="F112" s="1308">
        <f>F110+F111</f>
        <v>48183682.624249555</v>
      </c>
      <c r="G112" s="1308">
        <f>G110+G111</f>
        <v>0</v>
      </c>
      <c r="H112" s="1308">
        <f>H110+H111</f>
        <v>135082459.88250908</v>
      </c>
      <c r="I112" s="1308">
        <f>I110+I111</f>
        <v>7923703.2464954546</v>
      </c>
      <c r="J112" s="1310"/>
    </row>
    <row r="113" spans="2:11" ht="13">
      <c r="B113" s="1312"/>
      <c r="E113" s="1282"/>
      <c r="F113" s="1282"/>
      <c r="G113" s="1282"/>
      <c r="H113" s="1282"/>
      <c r="I113" s="1282"/>
      <c r="J113" s="1313"/>
    </row>
    <row r="114" spans="2:11" ht="13">
      <c r="B114" s="1312"/>
      <c r="E114" s="1282"/>
      <c r="F114" s="1282"/>
      <c r="G114" s="1282"/>
      <c r="H114" s="1282"/>
      <c r="I114" s="1282"/>
      <c r="J114" s="1313"/>
    </row>
    <row r="115" spans="2:11" s="350" customFormat="1" ht="12.75" customHeight="1">
      <c r="B115" s="1330" t="s">
        <v>271</v>
      </c>
      <c r="C115" s="1330"/>
      <c r="E115" s="1331"/>
      <c r="G115" s="1331"/>
      <c r="H115" s="1332"/>
      <c r="I115" s="1333"/>
      <c r="J115" s="1334"/>
    </row>
    <row r="116" spans="2:11" s="350" customFormat="1" ht="15.75" customHeight="1">
      <c r="B116" s="1836" t="s">
        <v>1348</v>
      </c>
      <c r="C116" s="1836"/>
      <c r="D116" s="1836"/>
      <c r="E116" s="1836"/>
      <c r="F116" s="1836"/>
      <c r="G116" s="1836"/>
      <c r="H116" s="1836"/>
      <c r="I116" s="1836"/>
      <c r="J116" s="1335"/>
    </row>
    <row r="117" spans="2:11" s="350" customFormat="1" ht="13">
      <c r="B117" s="1336" t="s">
        <v>272</v>
      </c>
      <c r="C117" s="1336"/>
      <c r="H117" s="1333"/>
      <c r="I117" s="1333"/>
      <c r="J117" s="1334"/>
    </row>
    <row r="118" spans="2:11" s="350" customFormat="1" ht="13">
      <c r="B118" s="1336" t="s">
        <v>273</v>
      </c>
      <c r="C118" s="1336"/>
      <c r="H118" s="1333"/>
      <c r="I118" s="1333"/>
      <c r="J118" s="1335"/>
    </row>
    <row r="119" spans="2:11" s="350" customFormat="1" ht="13">
      <c r="B119" s="1336" t="s">
        <v>274</v>
      </c>
      <c r="C119" s="1336"/>
      <c r="H119" s="1333"/>
      <c r="I119" s="1333"/>
      <c r="J119" s="1334"/>
    </row>
    <row r="120" spans="2:11" s="350" customFormat="1" ht="15.75" customHeight="1">
      <c r="B120" s="1836" t="s">
        <v>949</v>
      </c>
      <c r="C120" s="1836"/>
      <c r="D120" s="1836"/>
      <c r="E120" s="1836"/>
      <c r="F120" s="1836"/>
      <c r="G120" s="1836"/>
      <c r="H120" s="1836"/>
      <c r="I120" s="1836"/>
      <c r="K120" s="1337"/>
    </row>
    <row r="121" spans="2:11" s="350" customFormat="1" ht="15.75" customHeight="1">
      <c r="B121" s="1836"/>
      <c r="C121" s="1836"/>
      <c r="D121" s="1836"/>
      <c r="E121" s="1836"/>
      <c r="F121" s="1836"/>
      <c r="G121" s="1836"/>
      <c r="H121" s="1836"/>
      <c r="I121" s="1836"/>
      <c r="K121" s="1337"/>
    </row>
    <row r="122" spans="2:11" s="350" customFormat="1" ht="13">
      <c r="B122" s="1336" t="s">
        <v>950</v>
      </c>
      <c r="C122" s="1336"/>
      <c r="H122" s="1333"/>
      <c r="I122" s="1333"/>
      <c r="J122" s="1334"/>
    </row>
    <row r="123" spans="2:11" ht="13">
      <c r="C123" s="1312"/>
      <c r="E123" s="1284"/>
      <c r="F123" s="1284"/>
      <c r="H123" s="1338"/>
      <c r="I123" s="1339"/>
      <c r="J123" s="1313"/>
    </row>
    <row r="124" spans="2:11" ht="13">
      <c r="B124" s="1312"/>
      <c r="C124" s="1340"/>
      <c r="E124" s="1289"/>
    </row>
    <row r="125" spans="2:11" ht="13">
      <c r="B125" s="1275" t="s">
        <v>175</v>
      </c>
      <c r="C125" s="1275"/>
      <c r="D125" s="1275"/>
      <c r="E125" s="1275" t="s">
        <v>176</v>
      </c>
      <c r="F125" s="1275" t="s">
        <v>1152</v>
      </c>
      <c r="G125" s="1275" t="s">
        <v>1304</v>
      </c>
      <c r="H125" s="1275" t="s">
        <v>1305</v>
      </c>
      <c r="I125" s="1275" t="s">
        <v>1306</v>
      </c>
      <c r="J125" s="1275" t="s">
        <v>1307</v>
      </c>
    </row>
    <row r="126" spans="2:11" ht="13">
      <c r="B126" s="1283"/>
      <c r="C126" s="350"/>
      <c r="D126" s="350"/>
      <c r="E126" s="1275"/>
      <c r="F126" s="1275" t="s">
        <v>1338</v>
      </c>
      <c r="G126" s="1275" t="s">
        <v>260</v>
      </c>
      <c r="H126" s="1275"/>
      <c r="I126" s="1275"/>
      <c r="J126" s="350"/>
    </row>
    <row r="127" spans="2:11" ht="13">
      <c r="B127" s="1283"/>
      <c r="C127" s="1291"/>
      <c r="D127" s="350"/>
      <c r="E127" s="1275"/>
      <c r="F127" s="1275" t="s">
        <v>1339</v>
      </c>
      <c r="G127" s="1275" t="s">
        <v>229</v>
      </c>
      <c r="H127" s="1275" t="s">
        <v>261</v>
      </c>
      <c r="I127" s="1275" t="s">
        <v>262</v>
      </c>
      <c r="J127" s="350"/>
    </row>
    <row r="128" spans="2:11" ht="13">
      <c r="B128" s="1283" t="s">
        <v>951</v>
      </c>
      <c r="C128" s="350"/>
      <c r="D128" s="350"/>
      <c r="E128" s="1275" t="s">
        <v>44</v>
      </c>
      <c r="F128" s="1278" t="s">
        <v>1340</v>
      </c>
      <c r="G128" s="1275" t="s">
        <v>263</v>
      </c>
      <c r="H128" s="1275" t="s">
        <v>263</v>
      </c>
      <c r="I128" s="1275" t="s">
        <v>263</v>
      </c>
      <c r="J128" s="1275" t="s">
        <v>267</v>
      </c>
    </row>
    <row r="129" spans="2:10">
      <c r="B129" s="1696" t="s">
        <v>1536</v>
      </c>
      <c r="C129" s="1695"/>
      <c r="D129" s="1694"/>
      <c r="E129" s="1693">
        <f>SUM(F129:I129)</f>
        <v>-508333902.15989411</v>
      </c>
      <c r="F129" s="1693">
        <v>-81375732.610250086</v>
      </c>
      <c r="G129" s="1693">
        <v>0</v>
      </c>
      <c r="H129" s="1693">
        <f>-426958169.549644</f>
        <v>-426958169.54964399</v>
      </c>
      <c r="I129" s="1693">
        <v>0</v>
      </c>
      <c r="J129" s="1450" t="s">
        <v>1553</v>
      </c>
    </row>
    <row r="130" spans="2:10">
      <c r="B130" s="1696" t="s">
        <v>27</v>
      </c>
      <c r="C130" s="1695"/>
      <c r="D130" s="1694"/>
      <c r="E130" s="1693">
        <f>SUM(F130:I130)</f>
        <v>21889678.530600794</v>
      </c>
      <c r="F130" s="1693">
        <v>21889678.530600794</v>
      </c>
      <c r="G130" s="1693">
        <v>0</v>
      </c>
      <c r="H130" s="1693">
        <v>0</v>
      </c>
      <c r="I130" s="1693">
        <v>0</v>
      </c>
      <c r="J130" s="1450" t="s">
        <v>1554</v>
      </c>
    </row>
    <row r="131" spans="2:10" ht="37.5">
      <c r="B131" s="1696" t="s">
        <v>1537</v>
      </c>
      <c r="C131" s="1695"/>
      <c r="D131" s="1694"/>
      <c r="E131" s="1693">
        <f>SUM(F131:I131)</f>
        <v>-12087589.03562901</v>
      </c>
      <c r="F131" s="1693">
        <v>-2564673.0945562618</v>
      </c>
      <c r="G131" s="1693">
        <v>-6028720.5244761696</v>
      </c>
      <c r="H131" s="1693">
        <v>-3494195.4165965784</v>
      </c>
      <c r="I131" s="1693">
        <v>0</v>
      </c>
      <c r="J131" s="1450" t="s">
        <v>1555</v>
      </c>
    </row>
    <row r="132" spans="2:10" ht="25">
      <c r="B132" s="1696" t="s">
        <v>1538</v>
      </c>
      <c r="C132" s="1695"/>
      <c r="D132" s="1694"/>
      <c r="E132" s="1693">
        <f>SUM(F132:I132)</f>
        <v>19576600.5723993</v>
      </c>
      <c r="F132" s="1693">
        <v>19576600.5723993</v>
      </c>
      <c r="G132" s="1693">
        <v>0</v>
      </c>
      <c r="H132" s="1693">
        <v>0</v>
      </c>
      <c r="I132" s="1693">
        <v>0</v>
      </c>
      <c r="J132" s="1700" t="s">
        <v>1556</v>
      </c>
    </row>
    <row r="133" spans="2:10" ht="25">
      <c r="B133" s="1696" t="s">
        <v>1539</v>
      </c>
      <c r="C133" s="1695"/>
      <c r="D133" s="1694"/>
      <c r="E133" s="1693">
        <f>SUM(F133:I133)</f>
        <v>-6853920.2401363775</v>
      </c>
      <c r="F133" s="1693">
        <v>-685392.0240136378</v>
      </c>
      <c r="G133" s="1693">
        <v>0</v>
      </c>
      <c r="H133" s="1693">
        <v>-6168528.2161227399</v>
      </c>
      <c r="I133" s="1693"/>
      <c r="J133" s="1700" t="s">
        <v>1557</v>
      </c>
    </row>
    <row r="134" spans="2:10" ht="13">
      <c r="B134" s="1300" t="s">
        <v>952</v>
      </c>
      <c r="C134" s="1297"/>
      <c r="D134" s="1297"/>
      <c r="E134" s="1298">
        <f>SUM(E129:E133)</f>
        <v>-485809132.33265942</v>
      </c>
      <c r="F134" s="1298">
        <f>SUM(F129:F133)</f>
        <v>-43159518.625819892</v>
      </c>
      <c r="G134" s="1298">
        <f>SUM(G129:G133)</f>
        <v>-6028720.5244761696</v>
      </c>
      <c r="H134" s="1298">
        <f>SUM(H129:H133)</f>
        <v>-436620893.18236333</v>
      </c>
      <c r="I134" s="1298">
        <f>SUM(I129:I133)</f>
        <v>0</v>
      </c>
      <c r="J134" s="1299"/>
    </row>
    <row r="135" spans="2:10" ht="13">
      <c r="B135" s="1300"/>
      <c r="C135" s="1297"/>
      <c r="D135" s="1297"/>
      <c r="E135" s="1298"/>
      <c r="F135" s="1298"/>
      <c r="G135" s="1298"/>
      <c r="H135" s="1298"/>
      <c r="I135" s="1298"/>
      <c r="J135" s="1299"/>
    </row>
    <row r="136" spans="2:10">
      <c r="B136" s="1699" t="s">
        <v>1344</v>
      </c>
      <c r="C136" s="1320"/>
      <c r="D136" s="1321"/>
      <c r="E136" s="1303">
        <f>SUM(F136:I136)</f>
        <v>6853920.2401363775</v>
      </c>
      <c r="F136" s="1293">
        <f>-F133</f>
        <v>685392.0240136378</v>
      </c>
      <c r="G136" s="1293">
        <f>-G133</f>
        <v>0</v>
      </c>
      <c r="H136" s="1293">
        <f>-H133</f>
        <v>6168528.2161227399</v>
      </c>
      <c r="I136" s="1293">
        <v>0</v>
      </c>
      <c r="J136" s="1304"/>
    </row>
    <row r="137" spans="2:10">
      <c r="B137" s="1699" t="s">
        <v>1558</v>
      </c>
      <c r="C137" s="1320"/>
      <c r="D137" s="1321"/>
      <c r="E137" s="1303">
        <f>SUM(F137:I137)</f>
        <v>12087589.03562901</v>
      </c>
      <c r="F137" s="1293">
        <f>-F131</f>
        <v>2564673.0945562618</v>
      </c>
      <c r="G137" s="1293">
        <f>-G131</f>
        <v>6028720.5244761696</v>
      </c>
      <c r="H137" s="1293">
        <f>-H131</f>
        <v>3494195.4165965784</v>
      </c>
      <c r="I137" s="1293">
        <f>-I131</f>
        <v>0</v>
      </c>
      <c r="J137" s="1304"/>
    </row>
    <row r="138" spans="2:10">
      <c r="B138" s="1699" t="s">
        <v>1346</v>
      </c>
      <c r="C138" s="1320"/>
      <c r="D138" s="1321"/>
      <c r="E138" s="1303">
        <f>SUM(F138:I138)</f>
        <v>-19576600.5723993</v>
      </c>
      <c r="F138" s="1293">
        <f>-F132</f>
        <v>-19576600.5723993</v>
      </c>
      <c r="G138" s="1293">
        <f>-G132</f>
        <v>0</v>
      </c>
      <c r="H138" s="1293">
        <f>-H132</f>
        <v>0</v>
      </c>
      <c r="I138" s="1293">
        <f>-I133</f>
        <v>0</v>
      </c>
      <c r="J138" s="1304"/>
    </row>
    <row r="139" spans="2:10">
      <c r="B139" s="1698" t="s">
        <v>1016</v>
      </c>
      <c r="C139" s="1302"/>
      <c r="D139" s="1321"/>
      <c r="E139" s="1303">
        <f>SUM(F139:I139)</f>
        <v>0</v>
      </c>
      <c r="F139" s="1293">
        <v>0</v>
      </c>
      <c r="G139" s="1293">
        <v>0</v>
      </c>
      <c r="H139" s="1293">
        <v>0</v>
      </c>
      <c r="I139" s="1293">
        <v>0</v>
      </c>
      <c r="J139" s="1304"/>
    </row>
    <row r="140" spans="2:10" ht="5.15" customHeight="1">
      <c r="B140" s="1295"/>
      <c r="C140" s="1296"/>
      <c r="D140" s="1297"/>
      <c r="E140" s="1298"/>
      <c r="F140" s="1298"/>
      <c r="G140" s="1298"/>
      <c r="H140" s="1298"/>
      <c r="I140" s="1298"/>
      <c r="J140" s="1299"/>
    </row>
    <row r="141" spans="2:10" ht="13">
      <c r="B141" s="1322" t="s">
        <v>953</v>
      </c>
      <c r="C141" s="1323"/>
      <c r="D141" s="1297"/>
      <c r="E141" s="1298">
        <f>SUM(E136:E139)+E134</f>
        <v>-486444223.62929332</v>
      </c>
      <c r="F141" s="1298">
        <f>SUM(F136:F139)+F134</f>
        <v>-59486054.079649292</v>
      </c>
      <c r="G141" s="1298">
        <f>SUM(G136:G139)+G134</f>
        <v>0</v>
      </c>
      <c r="H141" s="1298">
        <f>SUM(H136:H139)+H134</f>
        <v>-426958169.54964399</v>
      </c>
      <c r="I141" s="1298">
        <f>SUM(I136:I139)+I134</f>
        <v>0</v>
      </c>
      <c r="J141" s="1299"/>
    </row>
    <row r="142" spans="2:10" ht="13">
      <c r="B142" s="1324"/>
      <c r="C142" s="1325"/>
      <c r="D142" s="1325"/>
      <c r="E142" s="1308"/>
      <c r="F142" s="1298"/>
      <c r="G142" s="1298"/>
      <c r="H142" s="1298"/>
      <c r="I142" s="1298"/>
      <c r="J142" s="1310"/>
    </row>
    <row r="143" spans="2:10" ht="13">
      <c r="B143" s="1326" t="s">
        <v>266</v>
      </c>
      <c r="C143" s="1327"/>
      <c r="D143" s="1307"/>
      <c r="E143" s="1308"/>
      <c r="F143" s="1308"/>
      <c r="G143" s="1308"/>
      <c r="H143" s="1308"/>
      <c r="I143" s="1309">
        <f>+'ATT H-3D'!$H$16</f>
        <v>0.13016492184368511</v>
      </c>
      <c r="J143" s="1310"/>
    </row>
    <row r="144" spans="2:10" ht="13">
      <c r="B144" s="1305" t="s">
        <v>238</v>
      </c>
      <c r="C144" s="1306"/>
      <c r="D144" s="1307"/>
      <c r="E144" s="1308"/>
      <c r="F144" s="1308"/>
      <c r="G144" s="1308"/>
      <c r="H144" s="1309">
        <f>+'ATT H-3D'!$H$37</f>
        <v>0.379445767046166</v>
      </c>
      <c r="I144" s="1308"/>
      <c r="J144" s="1310"/>
    </row>
    <row r="145" spans="2:10" ht="13">
      <c r="B145" s="1305" t="s">
        <v>942</v>
      </c>
      <c r="C145" s="1306"/>
      <c r="D145" s="1307"/>
      <c r="E145" s="1308"/>
      <c r="F145" s="1308"/>
      <c r="G145" s="1309">
        <v>1</v>
      </c>
      <c r="H145" s="1308"/>
      <c r="I145" s="1308"/>
      <c r="J145" s="1310"/>
    </row>
    <row r="146" spans="2:10" ht="13">
      <c r="B146" s="1305" t="s">
        <v>943</v>
      </c>
      <c r="C146" s="1306"/>
      <c r="D146" s="1307"/>
      <c r="E146" s="1308"/>
      <c r="F146" s="1309">
        <v>0</v>
      </c>
      <c r="G146" s="1308"/>
      <c r="H146" s="1308"/>
      <c r="I146" s="1308"/>
      <c r="J146" s="1310"/>
    </row>
    <row r="147" spans="2:10" ht="13">
      <c r="B147" s="1311" t="s">
        <v>944</v>
      </c>
      <c r="C147" s="1306"/>
      <c r="D147" s="1307"/>
      <c r="E147" s="1308">
        <f>F147+G147+H147+I147</f>
        <v>-162007470.14139166</v>
      </c>
      <c r="F147" s="1308">
        <f>F146*F141</f>
        <v>0</v>
      </c>
      <c r="G147" s="1308">
        <f>G141*G145</f>
        <v>0</v>
      </c>
      <c r="H147" s="1308">
        <f>H141*H144</f>
        <v>-162007470.14139166</v>
      </c>
      <c r="I147" s="1308">
        <f>I143*I141</f>
        <v>0</v>
      </c>
      <c r="J147" s="1310"/>
    </row>
    <row r="148" spans="2:10" ht="17.25" customHeight="1">
      <c r="B148" s="1291"/>
      <c r="C148" s="1291"/>
      <c r="E148" s="1282"/>
      <c r="F148" s="1282"/>
      <c r="G148" s="1282"/>
      <c r="H148" s="1282"/>
      <c r="I148" s="1282"/>
      <c r="J148" s="1313"/>
    </row>
    <row r="149" spans="2:10" ht="13">
      <c r="B149" s="1312"/>
      <c r="E149" s="1282"/>
      <c r="F149" s="1282"/>
      <c r="G149" s="1282"/>
      <c r="H149" s="1282"/>
      <c r="I149" s="1282"/>
      <c r="J149" s="1313"/>
    </row>
    <row r="150" spans="2:10" ht="13">
      <c r="B150" s="1275" t="s">
        <v>175</v>
      </c>
      <c r="C150" s="1275"/>
      <c r="D150" s="1275"/>
      <c r="E150" s="1275" t="s">
        <v>176</v>
      </c>
      <c r="F150" s="1275" t="s">
        <v>1152</v>
      </c>
      <c r="G150" s="1275" t="s">
        <v>1304</v>
      </c>
      <c r="H150" s="1275" t="s">
        <v>1305</v>
      </c>
      <c r="I150" s="1275" t="s">
        <v>1306</v>
      </c>
      <c r="J150" s="1275" t="s">
        <v>1307</v>
      </c>
    </row>
    <row r="151" spans="2:10" ht="13">
      <c r="B151" s="1283"/>
      <c r="C151" s="350"/>
      <c r="D151" s="350"/>
      <c r="E151" s="1275"/>
      <c r="F151" s="1275" t="s">
        <v>1338</v>
      </c>
      <c r="G151" s="1275" t="s">
        <v>260</v>
      </c>
      <c r="H151" s="1275"/>
      <c r="I151" s="1275"/>
      <c r="J151" s="350"/>
    </row>
    <row r="152" spans="2:10" ht="13">
      <c r="B152" s="1283"/>
      <c r="C152" s="350"/>
      <c r="D152" s="350"/>
      <c r="E152" s="1275"/>
      <c r="F152" s="1275" t="s">
        <v>1339</v>
      </c>
      <c r="G152" s="1275" t="s">
        <v>229</v>
      </c>
      <c r="H152" s="1275" t="s">
        <v>261</v>
      </c>
      <c r="I152" s="1275" t="s">
        <v>262</v>
      </c>
      <c r="J152" s="350"/>
    </row>
    <row r="153" spans="2:10" ht="13">
      <c r="B153" s="1283" t="s">
        <v>954</v>
      </c>
      <c r="C153" s="350"/>
      <c r="D153" s="350"/>
      <c r="E153" s="1275" t="s">
        <v>44</v>
      </c>
      <c r="F153" s="1278" t="s">
        <v>1340</v>
      </c>
      <c r="G153" s="1275" t="s">
        <v>263</v>
      </c>
      <c r="H153" s="1275" t="s">
        <v>263</v>
      </c>
      <c r="I153" s="1275" t="s">
        <v>263</v>
      </c>
      <c r="J153" s="1275" t="s">
        <v>267</v>
      </c>
    </row>
    <row r="154" spans="2:10">
      <c r="B154" s="1696" t="s">
        <v>1536</v>
      </c>
      <c r="C154" s="1314"/>
      <c r="D154" s="1316"/>
      <c r="E154" s="1293">
        <f>F154+G154+H154+I154</f>
        <v>-345010653.68091047</v>
      </c>
      <c r="F154" s="1293">
        <v>0</v>
      </c>
      <c r="G154" s="1293">
        <v>0</v>
      </c>
      <c r="H154" s="1293">
        <v>-345010653.68091047</v>
      </c>
      <c r="I154" s="1293">
        <v>0</v>
      </c>
      <c r="J154" s="1450" t="s">
        <v>1553</v>
      </c>
    </row>
    <row r="155" spans="2:10">
      <c r="B155" s="1341"/>
      <c r="C155" s="1314"/>
      <c r="D155" s="1316"/>
      <c r="E155" s="1293"/>
      <c r="F155" s="1293"/>
      <c r="G155" s="1293"/>
      <c r="H155" s="1293"/>
      <c r="I155" s="1293"/>
      <c r="J155" s="1294"/>
    </row>
    <row r="156" spans="2:10">
      <c r="B156" s="1341"/>
      <c r="C156" s="1314"/>
      <c r="D156" s="1316"/>
      <c r="E156" s="1293"/>
      <c r="F156" s="1293"/>
      <c r="G156" s="1293"/>
      <c r="H156" s="1293"/>
      <c r="I156" s="1293"/>
      <c r="J156" s="1294"/>
    </row>
    <row r="157" spans="2:10">
      <c r="B157" s="1341"/>
      <c r="C157" s="1314"/>
      <c r="D157" s="1316"/>
      <c r="E157" s="1293"/>
      <c r="F157" s="1293"/>
      <c r="G157" s="1293"/>
      <c r="H157" s="1293"/>
      <c r="I157" s="1293"/>
      <c r="J157" s="1294"/>
    </row>
    <row r="158" spans="2:10">
      <c r="B158" s="1341"/>
      <c r="C158" s="1314"/>
      <c r="D158" s="1316"/>
      <c r="E158" s="1293"/>
      <c r="F158" s="1293"/>
      <c r="G158" s="1293"/>
      <c r="H158" s="1293"/>
      <c r="I158" s="1293"/>
      <c r="J158" s="1294"/>
    </row>
    <row r="159" spans="2:10">
      <c r="B159" s="1341"/>
      <c r="C159" s="1314"/>
      <c r="D159" s="1316"/>
      <c r="E159" s="1293"/>
      <c r="F159" s="1293"/>
      <c r="G159" s="1293"/>
      <c r="H159" s="1293"/>
      <c r="I159" s="1293"/>
      <c r="J159" s="1294"/>
    </row>
    <row r="160" spans="2:10">
      <c r="B160" s="1341"/>
      <c r="C160" s="1314"/>
      <c r="D160" s="1315"/>
      <c r="E160" s="1317"/>
      <c r="F160" s="1317"/>
      <c r="G160" s="1317"/>
      <c r="H160" s="1317"/>
      <c r="I160" s="1317"/>
      <c r="J160" s="1318"/>
    </row>
    <row r="161" spans="2:10" ht="13">
      <c r="B161" s="1300" t="s">
        <v>955</v>
      </c>
      <c r="C161" s="1297"/>
      <c r="D161" s="1297"/>
      <c r="E161" s="1298">
        <f>SUM(E154:E160)</f>
        <v>-345010653.68091047</v>
      </c>
      <c r="F161" s="1298">
        <f>SUM(F154:F160)</f>
        <v>0</v>
      </c>
      <c r="G161" s="1298">
        <f>SUM(G154:G160)</f>
        <v>0</v>
      </c>
      <c r="H161" s="1298">
        <f>SUM(H154:H160)</f>
        <v>-345010653.68091047</v>
      </c>
      <c r="I161" s="1298">
        <f>SUM(I154:I160)</f>
        <v>0</v>
      </c>
      <c r="J161" s="1299"/>
    </row>
    <row r="162" spans="2:10" ht="13">
      <c r="B162" s="1300"/>
      <c r="C162" s="1297"/>
      <c r="D162" s="1297"/>
      <c r="E162" s="1298"/>
      <c r="F162" s="1298"/>
      <c r="G162" s="1298"/>
      <c r="H162" s="1298"/>
      <c r="I162" s="1298"/>
      <c r="J162" s="1299"/>
    </row>
    <row r="163" spans="2:10">
      <c r="B163" s="1319" t="s">
        <v>1344</v>
      </c>
      <c r="C163" s="1320"/>
      <c r="D163" s="1321"/>
      <c r="E163" s="1303"/>
      <c r="F163" s="1293"/>
      <c r="G163" s="1293"/>
      <c r="H163" s="1293"/>
      <c r="I163" s="1293"/>
      <c r="J163" s="1304"/>
    </row>
    <row r="164" spans="2:10">
      <c r="B164" s="1301" t="s">
        <v>1345</v>
      </c>
      <c r="C164" s="1302"/>
      <c r="D164" s="1321"/>
      <c r="E164" s="1303"/>
      <c r="F164" s="1293"/>
      <c r="G164" s="1293"/>
      <c r="H164" s="1293"/>
      <c r="I164" s="1293"/>
      <c r="J164" s="1304"/>
    </row>
    <row r="165" spans="2:10">
      <c r="B165" s="1301" t="s">
        <v>1346</v>
      </c>
      <c r="C165" s="1302"/>
      <c r="D165" s="1321"/>
      <c r="E165" s="1303"/>
      <c r="F165" s="1293"/>
      <c r="G165" s="1293"/>
      <c r="H165" s="1293"/>
      <c r="I165" s="1293"/>
      <c r="J165" s="1304"/>
    </row>
    <row r="166" spans="2:10">
      <c r="B166" s="1301" t="s">
        <v>1016</v>
      </c>
      <c r="C166" s="1302"/>
      <c r="D166" s="1321"/>
      <c r="E166" s="1303"/>
      <c r="F166" s="1293"/>
      <c r="G166" s="1293"/>
      <c r="H166" s="1293"/>
      <c r="I166" s="1293"/>
      <c r="J166" s="1304"/>
    </row>
    <row r="167" spans="2:10" ht="5.15" customHeight="1">
      <c r="B167" s="1295"/>
      <c r="C167" s="1296"/>
      <c r="D167" s="1297"/>
      <c r="E167" s="1298"/>
      <c r="F167" s="1298"/>
      <c r="G167" s="1298"/>
      <c r="H167" s="1298"/>
      <c r="I167" s="1298"/>
      <c r="J167" s="1299"/>
    </row>
    <row r="168" spans="2:10" ht="13">
      <c r="B168" s="1322" t="s">
        <v>953</v>
      </c>
      <c r="C168" s="1323"/>
      <c r="D168" s="1297"/>
      <c r="E168" s="1298">
        <f>SUM(E163:E166)+E161</f>
        <v>-345010653.68091047</v>
      </c>
      <c r="F168" s="1298">
        <f>SUM(F163:F166)+F161</f>
        <v>0</v>
      </c>
      <c r="G168" s="1298">
        <f>SUM(G163:G166)+G161</f>
        <v>0</v>
      </c>
      <c r="H168" s="1298">
        <f>SUM(H163:H166)+H161</f>
        <v>-345010653.68091047</v>
      </c>
      <c r="I168" s="1298">
        <f>SUM(I163:I166)+I161</f>
        <v>0</v>
      </c>
      <c r="J168" s="1299"/>
    </row>
    <row r="169" spans="2:10" ht="13">
      <c r="B169" s="1324"/>
      <c r="C169" s="1325"/>
      <c r="D169" s="1325"/>
      <c r="E169" s="1308"/>
      <c r="F169" s="1298"/>
      <c r="G169" s="1298"/>
      <c r="H169" s="1298"/>
      <c r="I169" s="1298"/>
      <c r="J169" s="1310"/>
    </row>
    <row r="170" spans="2:10" ht="13">
      <c r="B170" s="1326" t="s">
        <v>266</v>
      </c>
      <c r="C170" s="1327"/>
      <c r="D170" s="1307"/>
      <c r="E170" s="1308"/>
      <c r="F170" s="1308"/>
      <c r="G170" s="1308"/>
      <c r="H170" s="1308"/>
      <c r="I170" s="1309">
        <f>+'ATT H-3D'!$H$16</f>
        <v>0.13016492184368511</v>
      </c>
      <c r="J170" s="1310"/>
    </row>
    <row r="171" spans="2:10" ht="13">
      <c r="B171" s="1305" t="s">
        <v>238</v>
      </c>
      <c r="C171" s="1306"/>
      <c r="D171" s="1307"/>
      <c r="E171" s="1308"/>
      <c r="F171" s="1308"/>
      <c r="G171" s="1308"/>
      <c r="H171" s="1309">
        <f>+'ATT H-3D'!$H$37</f>
        <v>0.379445767046166</v>
      </c>
      <c r="I171" s="1308"/>
      <c r="J171" s="1310"/>
    </row>
    <row r="172" spans="2:10" ht="13">
      <c r="B172" s="1305" t="s">
        <v>942</v>
      </c>
      <c r="C172" s="1306"/>
      <c r="D172" s="1307"/>
      <c r="E172" s="1308"/>
      <c r="F172" s="1308"/>
      <c r="G172" s="1309">
        <v>1</v>
      </c>
      <c r="H172" s="1308"/>
      <c r="I172" s="1308"/>
      <c r="J172" s="1310"/>
    </row>
    <row r="173" spans="2:10" ht="13">
      <c r="B173" s="1305" t="s">
        <v>943</v>
      </c>
      <c r="C173" s="1306"/>
      <c r="D173" s="1307"/>
      <c r="E173" s="1308"/>
      <c r="F173" s="1309">
        <v>0</v>
      </c>
      <c r="G173" s="1308"/>
      <c r="H173" s="1308"/>
      <c r="I173" s="1308"/>
      <c r="J173" s="1310"/>
    </row>
    <row r="174" spans="2:10" ht="13">
      <c r="B174" s="1311" t="s">
        <v>944</v>
      </c>
      <c r="C174" s="1306"/>
      <c r="D174" s="1307"/>
      <c r="E174" s="1308">
        <f>F174+G174+H174+I174</f>
        <v>-130912832.12505221</v>
      </c>
      <c r="F174" s="1308">
        <f>F173*F168</f>
        <v>0</v>
      </c>
      <c r="G174" s="1308">
        <f>G168*G172</f>
        <v>0</v>
      </c>
      <c r="H174" s="1308">
        <f>H168*H171</f>
        <v>-130912832.12505221</v>
      </c>
      <c r="I174" s="1308">
        <f>I170*I168</f>
        <v>0</v>
      </c>
      <c r="J174" s="1310"/>
    </row>
    <row r="175" spans="2:10" ht="13">
      <c r="B175" s="1312"/>
      <c r="E175" s="1282"/>
      <c r="F175" s="1282"/>
      <c r="G175" s="1282"/>
      <c r="H175" s="1282"/>
      <c r="I175" s="1282">
        <f>H175/H171</f>
        <v>0</v>
      </c>
      <c r="J175" s="1313"/>
    </row>
    <row r="176" spans="2:10" ht="13">
      <c r="B176" s="1312"/>
      <c r="E176" s="1282"/>
      <c r="F176" s="1282"/>
      <c r="G176" s="1282"/>
      <c r="H176" s="1282"/>
      <c r="I176" s="1282"/>
      <c r="J176" s="1313"/>
    </row>
    <row r="177" spans="2:11" ht="13">
      <c r="B177" s="1275" t="s">
        <v>175</v>
      </c>
      <c r="C177" s="1275"/>
      <c r="D177" s="1275"/>
      <c r="E177" s="1275" t="s">
        <v>176</v>
      </c>
      <c r="F177" s="1275" t="s">
        <v>1152</v>
      </c>
      <c r="G177" s="1275" t="s">
        <v>1304</v>
      </c>
      <c r="H177" s="1275" t="s">
        <v>1305</v>
      </c>
      <c r="I177" s="1275" t="s">
        <v>1306</v>
      </c>
      <c r="J177" s="1275" t="s">
        <v>1307</v>
      </c>
    </row>
    <row r="178" spans="2:11" ht="13">
      <c r="B178" s="1283"/>
      <c r="C178" s="350"/>
      <c r="D178" s="350"/>
      <c r="E178" s="1275"/>
      <c r="F178" s="1275" t="s">
        <v>1338</v>
      </c>
      <c r="G178" s="1275" t="s">
        <v>260</v>
      </c>
      <c r="H178" s="1275"/>
      <c r="I178" s="1275"/>
      <c r="J178" s="350"/>
    </row>
    <row r="179" spans="2:11" ht="13">
      <c r="B179" s="1283"/>
      <c r="C179" s="350"/>
      <c r="D179" s="350"/>
      <c r="E179" s="1275"/>
      <c r="F179" s="1275" t="s">
        <v>1339</v>
      </c>
      <c r="G179" s="1275" t="s">
        <v>229</v>
      </c>
      <c r="H179" s="1275" t="s">
        <v>261</v>
      </c>
      <c r="I179" s="1275" t="s">
        <v>262</v>
      </c>
      <c r="J179" s="350"/>
    </row>
    <row r="180" spans="2:11" ht="13">
      <c r="B180" s="1283" t="s">
        <v>956</v>
      </c>
      <c r="C180" s="350"/>
      <c r="D180" s="350"/>
      <c r="E180" s="1275" t="s">
        <v>44</v>
      </c>
      <c r="F180" s="1278" t="s">
        <v>1340</v>
      </c>
      <c r="G180" s="1275" t="s">
        <v>263</v>
      </c>
      <c r="H180" s="1275" t="s">
        <v>263</v>
      </c>
      <c r="I180" s="1275" t="s">
        <v>263</v>
      </c>
      <c r="J180" s="1275" t="s">
        <v>267</v>
      </c>
    </row>
    <row r="181" spans="2:11">
      <c r="B181" s="1307" t="s">
        <v>957</v>
      </c>
      <c r="C181" s="1307"/>
      <c r="D181" s="1307"/>
      <c r="E181" s="1298">
        <f>SUM(F181:I181)</f>
        <v>-485809132.33265936</v>
      </c>
      <c r="F181" s="1308">
        <f>F134</f>
        <v>-43159518.625819892</v>
      </c>
      <c r="G181" s="1308">
        <f>G134</f>
        <v>-6028720.5244761696</v>
      </c>
      <c r="H181" s="1308">
        <f>H134</f>
        <v>-436620893.18236333</v>
      </c>
      <c r="I181" s="1308">
        <f>I134</f>
        <v>0</v>
      </c>
      <c r="J181" s="1310"/>
    </row>
    <row r="182" spans="2:11">
      <c r="B182" s="1307" t="s">
        <v>954</v>
      </c>
      <c r="C182" s="1307"/>
      <c r="D182" s="1307"/>
      <c r="E182" s="1298">
        <f>SUM(F182:I182)</f>
        <v>-345010653.68091047</v>
      </c>
      <c r="F182" s="1308">
        <f>F161</f>
        <v>0</v>
      </c>
      <c r="G182" s="1308">
        <f>G161</f>
        <v>0</v>
      </c>
      <c r="H182" s="1308">
        <f>H161</f>
        <v>-345010653.68091047</v>
      </c>
      <c r="I182" s="1308">
        <f>I161</f>
        <v>0</v>
      </c>
      <c r="J182" s="1310"/>
    </row>
    <row r="183" spans="2:11" ht="13">
      <c r="B183" s="1300" t="s">
        <v>958</v>
      </c>
      <c r="C183" s="1307"/>
      <c r="D183" s="1307"/>
      <c r="E183" s="1308">
        <f>E181+E182</f>
        <v>-830819786.01356983</v>
      </c>
      <c r="F183" s="1308">
        <f>F181+F182</f>
        <v>-43159518.625819892</v>
      </c>
      <c r="G183" s="1308">
        <f>G181+G182</f>
        <v>-6028720.5244761696</v>
      </c>
      <c r="H183" s="1308">
        <f>H181+H182</f>
        <v>-781631546.86327386</v>
      </c>
      <c r="I183" s="1308">
        <f>I181+I182</f>
        <v>0</v>
      </c>
      <c r="J183" s="1310"/>
    </row>
    <row r="184" spans="2:11" ht="13">
      <c r="B184" s="1312"/>
      <c r="E184" s="1282"/>
      <c r="F184" s="1282"/>
      <c r="G184" s="1282"/>
      <c r="H184" s="1282"/>
      <c r="I184" s="1282"/>
      <c r="J184" s="1313"/>
    </row>
    <row r="185" spans="2:11" s="350" customFormat="1" ht="13">
      <c r="B185" s="1283" t="s">
        <v>276</v>
      </c>
      <c r="G185" s="1333"/>
      <c r="H185" s="1333"/>
      <c r="I185" s="1333"/>
      <c r="J185" s="1334"/>
    </row>
    <row r="186" spans="2:11" s="350" customFormat="1" ht="12.75" customHeight="1">
      <c r="B186" s="1836" t="s">
        <v>1348</v>
      </c>
      <c r="C186" s="1836"/>
      <c r="D186" s="1836"/>
      <c r="E186" s="1836"/>
      <c r="F186" s="1836"/>
      <c r="G186" s="1836"/>
      <c r="H186" s="1836"/>
      <c r="I186" s="1836"/>
      <c r="J186" s="1334"/>
    </row>
    <row r="187" spans="2:11" s="350" customFormat="1" ht="13">
      <c r="B187" s="1336" t="s">
        <v>272</v>
      </c>
      <c r="C187" s="1336"/>
      <c r="H187" s="1333"/>
      <c r="I187" s="1333"/>
      <c r="J187" s="1334"/>
    </row>
    <row r="188" spans="2:11" s="350" customFormat="1" ht="13">
      <c r="B188" s="1336" t="s">
        <v>273</v>
      </c>
      <c r="C188" s="1336"/>
      <c r="H188" s="1333"/>
      <c r="I188" s="1333"/>
      <c r="J188" s="1334"/>
    </row>
    <row r="189" spans="2:11" s="350" customFormat="1" ht="13">
      <c r="B189" s="1336" t="s">
        <v>274</v>
      </c>
      <c r="C189" s="1336"/>
      <c r="H189" s="1333"/>
      <c r="I189" s="1333"/>
      <c r="J189" s="1334"/>
    </row>
    <row r="190" spans="2:11" s="350" customFormat="1" ht="15.75" customHeight="1">
      <c r="B190" s="1836" t="s">
        <v>949</v>
      </c>
      <c r="C190" s="1836"/>
      <c r="D190" s="1836"/>
      <c r="E190" s="1836"/>
      <c r="F190" s="1836"/>
      <c r="G190" s="1836"/>
      <c r="H190" s="1836"/>
      <c r="I190" s="1836"/>
      <c r="K190" s="1337"/>
    </row>
    <row r="191" spans="2:11" s="350" customFormat="1" ht="15.75" customHeight="1">
      <c r="B191" s="1836"/>
      <c r="C191" s="1836"/>
      <c r="D191" s="1836"/>
      <c r="E191" s="1836"/>
      <c r="F191" s="1836"/>
      <c r="G191" s="1836"/>
      <c r="H191" s="1836"/>
      <c r="I191" s="1836"/>
      <c r="K191" s="1337"/>
    </row>
    <row r="192" spans="2:11" s="350" customFormat="1" ht="13">
      <c r="B192" s="1336" t="s">
        <v>959</v>
      </c>
      <c r="G192" s="1333"/>
      <c r="H192" s="1333"/>
      <c r="I192" s="1333"/>
      <c r="J192" s="1334"/>
    </row>
    <row r="193" spans="2:12" ht="13">
      <c r="B193" s="1342" t="s">
        <v>960</v>
      </c>
    </row>
    <row r="194" spans="2:12" ht="12" customHeight="1">
      <c r="B194" s="1343"/>
      <c r="C194" s="1344"/>
      <c r="D194" s="1345"/>
      <c r="E194" s="1345"/>
      <c r="F194" s="1345"/>
      <c r="G194" s="1345"/>
      <c r="H194" s="1345"/>
      <c r="I194" s="1345"/>
      <c r="J194" s="1345"/>
    </row>
    <row r="195" spans="2:12" ht="13">
      <c r="B195" s="1272"/>
    </row>
    <row r="196" spans="2:12" ht="13">
      <c r="B196" s="1275" t="s">
        <v>175</v>
      </c>
      <c r="C196" s="1275"/>
      <c r="D196" s="1275"/>
      <c r="E196" s="1275" t="s">
        <v>176</v>
      </c>
      <c r="F196" s="1275" t="s">
        <v>1152</v>
      </c>
      <c r="G196" s="1275" t="s">
        <v>1304</v>
      </c>
      <c r="H196" s="1275" t="s">
        <v>1305</v>
      </c>
      <c r="I196" s="1275" t="s">
        <v>1306</v>
      </c>
      <c r="J196" s="1275" t="s">
        <v>1307</v>
      </c>
    </row>
    <row r="197" spans="2:12" ht="13">
      <c r="B197" s="1283"/>
      <c r="C197" s="350"/>
      <c r="D197" s="350"/>
      <c r="E197" s="1275"/>
      <c r="F197" s="1275" t="s">
        <v>1338</v>
      </c>
      <c r="G197" s="1275" t="s">
        <v>260</v>
      </c>
      <c r="H197" s="1275"/>
      <c r="I197" s="1275"/>
      <c r="J197" s="350"/>
    </row>
    <row r="198" spans="2:12" ht="13">
      <c r="B198" s="1283"/>
      <c r="C198" s="1291"/>
      <c r="D198" s="350"/>
      <c r="E198" s="1275"/>
      <c r="F198" s="1275" t="s">
        <v>1339</v>
      </c>
      <c r="G198" s="1275" t="s">
        <v>229</v>
      </c>
      <c r="H198" s="1275" t="s">
        <v>261</v>
      </c>
      <c r="I198" s="1275" t="s">
        <v>262</v>
      </c>
      <c r="J198" s="350"/>
      <c r="L198" s="1271" t="s">
        <v>85</v>
      </c>
    </row>
    <row r="199" spans="2:12" ht="13">
      <c r="B199" s="1283" t="s">
        <v>961</v>
      </c>
      <c r="C199" s="350"/>
      <c r="D199" s="350"/>
      <c r="E199" s="1275" t="s">
        <v>44</v>
      </c>
      <c r="F199" s="1278" t="s">
        <v>1340</v>
      </c>
      <c r="G199" s="1275" t="s">
        <v>263</v>
      </c>
      <c r="H199" s="1275" t="s">
        <v>263</v>
      </c>
      <c r="I199" s="1275" t="s">
        <v>263</v>
      </c>
      <c r="J199" s="1275" t="s">
        <v>267</v>
      </c>
    </row>
    <row r="200" spans="2:12" ht="25">
      <c r="B200" s="1696" t="s">
        <v>1540</v>
      </c>
      <c r="C200" s="1695"/>
      <c r="D200" s="1694"/>
      <c r="E200" s="1693">
        <f t="shared" ref="E200:E208" si="1">SUM(F200:I200)</f>
        <v>-5556353.1241443921</v>
      </c>
      <c r="F200" s="1693">
        <v>-777889.43738021492</v>
      </c>
      <c r="G200" s="1693">
        <v>0</v>
      </c>
      <c r="H200" s="1693">
        <v>-4778463.6867641769</v>
      </c>
      <c r="I200" s="1693">
        <v>0</v>
      </c>
      <c r="J200" s="1450" t="s">
        <v>1559</v>
      </c>
    </row>
    <row r="201" spans="2:12">
      <c r="B201" s="1696" t="s">
        <v>1710</v>
      </c>
      <c r="C201" s="1695"/>
      <c r="D201" s="1694"/>
      <c r="E201" s="1693">
        <f t="shared" si="1"/>
        <v>99964.485195000001</v>
      </c>
      <c r="F201" s="1693">
        <v>13995.027927300001</v>
      </c>
      <c r="G201" s="1693">
        <v>0</v>
      </c>
      <c r="H201" s="1693">
        <v>85969.457267699996</v>
      </c>
      <c r="I201" s="1693">
        <v>0</v>
      </c>
      <c r="J201" s="1450" t="s">
        <v>1709</v>
      </c>
    </row>
    <row r="202" spans="2:12">
      <c r="B202" s="1696" t="s">
        <v>1541</v>
      </c>
      <c r="C202" s="1695"/>
      <c r="D202" s="1694"/>
      <c r="E202" s="1693">
        <f t="shared" si="1"/>
        <v>-3029894.3144185003</v>
      </c>
      <c r="F202" s="1693">
        <v>-3029894.3144185003</v>
      </c>
      <c r="G202" s="1693">
        <v>0</v>
      </c>
      <c r="H202" s="1693">
        <v>0</v>
      </c>
      <c r="I202" s="1693">
        <v>0</v>
      </c>
      <c r="J202" s="1450" t="s">
        <v>1548</v>
      </c>
    </row>
    <row r="203" spans="2:12" ht="25">
      <c r="B203" s="1696" t="s">
        <v>1542</v>
      </c>
      <c r="C203" s="1695"/>
      <c r="D203" s="1694"/>
      <c r="E203" s="1693">
        <f t="shared" si="1"/>
        <v>-43880876.427304506</v>
      </c>
      <c r="F203" s="1693">
        <v>-6143322.6998226307</v>
      </c>
      <c r="G203" s="1693">
        <v>0</v>
      </c>
      <c r="H203" s="1693">
        <v>0</v>
      </c>
      <c r="I203" s="1693">
        <v>-37737553.727481872</v>
      </c>
      <c r="J203" s="1697" t="s">
        <v>1708</v>
      </c>
    </row>
    <row r="204" spans="2:12">
      <c r="B204" s="1696" t="s">
        <v>1543</v>
      </c>
      <c r="C204" s="1695"/>
      <c r="D204" s="1694"/>
      <c r="E204" s="1693">
        <f t="shared" si="1"/>
        <v>-49353005.596471228</v>
      </c>
      <c r="F204" s="1693">
        <v>-49353005.596471228</v>
      </c>
      <c r="G204" s="1693">
        <v>0</v>
      </c>
      <c r="H204" s="1693">
        <v>0</v>
      </c>
      <c r="I204" s="1693">
        <v>0</v>
      </c>
      <c r="J204" s="1450" t="s">
        <v>1548</v>
      </c>
    </row>
    <row r="205" spans="2:12">
      <c r="B205" s="1696" t="s">
        <v>1707</v>
      </c>
      <c r="C205" s="1695"/>
      <c r="D205" s="1694"/>
      <c r="E205" s="1693">
        <f t="shared" si="1"/>
        <v>-865481.57553700032</v>
      </c>
      <c r="F205" s="1693">
        <v>-865481.57553700032</v>
      </c>
      <c r="G205" s="1693">
        <v>0</v>
      </c>
      <c r="H205" s="1693">
        <v>0</v>
      </c>
      <c r="I205" s="1693">
        <v>0</v>
      </c>
      <c r="J205" s="1450" t="s">
        <v>1548</v>
      </c>
    </row>
    <row r="206" spans="2:12" ht="25">
      <c r="B206" s="1696" t="s">
        <v>1544</v>
      </c>
      <c r="C206" s="1695"/>
      <c r="D206" s="1694"/>
      <c r="E206" s="1693">
        <f t="shared" si="1"/>
        <v>-462758.34719700005</v>
      </c>
      <c r="F206" s="1693">
        <v>0</v>
      </c>
      <c r="G206" s="1693">
        <v>-462758.34719700005</v>
      </c>
      <c r="H206" s="1693">
        <v>0</v>
      </c>
      <c r="I206" s="1693">
        <v>0</v>
      </c>
      <c r="J206" s="1450" t="s">
        <v>1560</v>
      </c>
    </row>
    <row r="207" spans="2:12">
      <c r="B207" s="1696" t="s">
        <v>1706</v>
      </c>
      <c r="C207" s="1695"/>
      <c r="D207" s="1694"/>
      <c r="E207" s="1693">
        <f t="shared" si="1"/>
        <v>-2702757.7593670003</v>
      </c>
      <c r="F207" s="1693">
        <v>-2702757.7593670003</v>
      </c>
      <c r="G207" s="1693">
        <v>0</v>
      </c>
      <c r="H207" s="1693">
        <v>0</v>
      </c>
      <c r="I207" s="1693">
        <v>0</v>
      </c>
      <c r="J207" s="1450" t="s">
        <v>1548</v>
      </c>
    </row>
    <row r="208" spans="2:12" ht="25">
      <c r="B208" s="1696" t="s">
        <v>1545</v>
      </c>
      <c r="C208" s="1695"/>
      <c r="D208" s="1694"/>
      <c r="E208" s="1693">
        <f t="shared" si="1"/>
        <v>-1264041.4676630006</v>
      </c>
      <c r="F208" s="1693">
        <v>-1264041.4676630006</v>
      </c>
      <c r="G208" s="1693">
        <v>0</v>
      </c>
      <c r="H208" s="1693">
        <v>0</v>
      </c>
      <c r="I208" s="1693">
        <v>0</v>
      </c>
      <c r="J208" s="1450" t="s">
        <v>1561</v>
      </c>
    </row>
    <row r="209" spans="2:10" ht="13">
      <c r="B209" s="1300" t="s">
        <v>962</v>
      </c>
      <c r="C209" s="1297"/>
      <c r="D209" s="1297"/>
      <c r="E209" s="1298">
        <f>SUM(E200:E208)</f>
        <v>-107015204.12690762</v>
      </c>
      <c r="F209" s="1298">
        <f>SUM(F200:F208)</f>
        <v>-64122397.822732277</v>
      </c>
      <c r="G209" s="1298">
        <f>SUM(G200:G208)</f>
        <v>-462758.34719700005</v>
      </c>
      <c r="H209" s="1298">
        <f>SUM(H200:H208)</f>
        <v>-4692494.2294964772</v>
      </c>
      <c r="I209" s="1298">
        <f>SUM(I200:I208)</f>
        <v>-37737553.727481872</v>
      </c>
      <c r="J209" s="1299"/>
    </row>
    <row r="210" spans="2:10" ht="13">
      <c r="B210" s="1300"/>
      <c r="C210" s="1297"/>
      <c r="D210" s="1297"/>
      <c r="E210" s="1298"/>
      <c r="F210" s="1298"/>
      <c r="G210" s="1298"/>
      <c r="H210" s="1298"/>
      <c r="I210" s="1298"/>
      <c r="J210" s="1299"/>
    </row>
    <row r="211" spans="2:10">
      <c r="B211" s="1319" t="s">
        <v>1344</v>
      </c>
      <c r="C211" s="1320"/>
      <c r="D211" s="1321"/>
      <c r="E211" s="1303">
        <f>SUM(F211:I211)</f>
        <v>0</v>
      </c>
      <c r="F211" s="1293"/>
      <c r="G211" s="1293"/>
      <c r="H211" s="1293"/>
      <c r="I211" s="1293"/>
      <c r="J211" s="1304"/>
    </row>
    <row r="212" spans="2:10">
      <c r="B212" s="1301" t="s">
        <v>1345</v>
      </c>
      <c r="C212" s="1302"/>
      <c r="D212" s="1321"/>
      <c r="E212" s="1303">
        <f>SUM(F212:I212)</f>
        <v>0</v>
      </c>
      <c r="F212" s="1293"/>
      <c r="G212" s="1293"/>
      <c r="H212" s="1293"/>
      <c r="I212" s="1293"/>
      <c r="J212" s="1304"/>
    </row>
    <row r="213" spans="2:10">
      <c r="B213" s="1301" t="s">
        <v>1346</v>
      </c>
      <c r="C213" s="1302"/>
      <c r="D213" s="1321"/>
      <c r="E213" s="1303">
        <f>SUM(F213:I213)</f>
        <v>0</v>
      </c>
      <c r="F213" s="1293"/>
      <c r="G213" s="1293"/>
      <c r="H213" s="1293"/>
      <c r="I213" s="1293"/>
      <c r="J213" s="1304"/>
    </row>
    <row r="214" spans="2:10">
      <c r="B214" s="1301" t="s">
        <v>1016</v>
      </c>
      <c r="C214" s="1302"/>
      <c r="D214" s="1321"/>
      <c r="E214" s="1303">
        <f>SUM(F214:I214)</f>
        <v>0</v>
      </c>
      <c r="F214" s="1293"/>
      <c r="G214" s="1293"/>
      <c r="H214" s="1293"/>
      <c r="I214" s="1293"/>
      <c r="J214" s="1304"/>
    </row>
    <row r="215" spans="2:10" ht="5.15" customHeight="1">
      <c r="B215" s="1295"/>
      <c r="C215" s="1296"/>
      <c r="D215" s="1297"/>
      <c r="E215" s="1298"/>
      <c r="F215" s="1298"/>
      <c r="G215" s="1298"/>
      <c r="H215" s="1298"/>
      <c r="I215" s="1298"/>
      <c r="J215" s="1299"/>
    </row>
    <row r="216" spans="2:10" ht="13">
      <c r="B216" s="1322" t="s">
        <v>963</v>
      </c>
      <c r="C216" s="1323"/>
      <c r="D216" s="1297"/>
      <c r="E216" s="1298">
        <f>SUM(E211:E214)+E209</f>
        <v>-107015204.12690762</v>
      </c>
      <c r="F216" s="1298">
        <f>SUM(F211:F214)+F209</f>
        <v>-64122397.822732277</v>
      </c>
      <c r="G216" s="1298">
        <f>SUM(G211:G214)+G209</f>
        <v>-462758.34719700005</v>
      </c>
      <c r="H216" s="1298">
        <f>SUM(H211:H214)+H209</f>
        <v>-4692494.2294964772</v>
      </c>
      <c r="I216" s="1298">
        <f>SUM(I211:I214)+I209</f>
        <v>-37737553.727481872</v>
      </c>
      <c r="J216" s="1299"/>
    </row>
    <row r="217" spans="2:10" ht="13">
      <c r="B217" s="1324"/>
      <c r="C217" s="1325"/>
      <c r="D217" s="1325"/>
      <c r="E217" s="1308"/>
      <c r="F217" s="1298"/>
      <c r="G217" s="1298"/>
      <c r="H217" s="1298"/>
      <c r="I217" s="1298"/>
      <c r="J217" s="1310"/>
    </row>
    <row r="218" spans="2:10" ht="13">
      <c r="B218" s="1326" t="s">
        <v>266</v>
      </c>
      <c r="C218" s="1327"/>
      <c r="D218" s="1307"/>
      <c r="E218" s="1308"/>
      <c r="F218" s="1308"/>
      <c r="G218" s="1308"/>
      <c r="H218" s="1308"/>
      <c r="I218" s="1309">
        <f>+'ATT H-3D'!$H$16</f>
        <v>0.13016492184368511</v>
      </c>
      <c r="J218" s="1310"/>
    </row>
    <row r="219" spans="2:10" ht="13">
      <c r="B219" s="1305" t="s">
        <v>238</v>
      </c>
      <c r="C219" s="1306"/>
      <c r="D219" s="1307"/>
      <c r="E219" s="1308"/>
      <c r="F219" s="1308"/>
      <c r="G219" s="1308"/>
      <c r="H219" s="1309">
        <f>+'ATT H-3D'!$H$37</f>
        <v>0.379445767046166</v>
      </c>
      <c r="I219" s="1308"/>
      <c r="J219" s="1310"/>
    </row>
    <row r="220" spans="2:10" ht="13">
      <c r="B220" s="1305" t="s">
        <v>942</v>
      </c>
      <c r="C220" s="1306"/>
      <c r="D220" s="1307"/>
      <c r="E220" s="1308"/>
      <c r="F220" s="1308"/>
      <c r="G220" s="1309">
        <v>1</v>
      </c>
      <c r="H220" s="1308"/>
      <c r="I220" s="1308"/>
      <c r="J220" s="1310"/>
    </row>
    <row r="221" spans="2:10" ht="13">
      <c r="B221" s="1305" t="s">
        <v>943</v>
      </c>
      <c r="C221" s="1306"/>
      <c r="D221" s="1307"/>
      <c r="E221" s="1308"/>
      <c r="F221" s="1309">
        <v>0</v>
      </c>
      <c r="G221" s="1308"/>
      <c r="H221" s="1308"/>
      <c r="I221" s="1308"/>
      <c r="J221" s="1310"/>
    </row>
    <row r="222" spans="2:10" ht="17.25" customHeight="1">
      <c r="B222" s="1311" t="s">
        <v>944</v>
      </c>
      <c r="C222" s="1306"/>
      <c r="D222" s="1307"/>
      <c r="E222" s="1308">
        <f>F222+G222+H222+I222</f>
        <v>-7155411.1509775445</v>
      </c>
      <c r="F222" s="1308">
        <f>F221*F216</f>
        <v>0</v>
      </c>
      <c r="G222" s="1308">
        <f>G216*G220</f>
        <v>-462758.34719700005</v>
      </c>
      <c r="H222" s="1308">
        <f>H216*H219</f>
        <v>-1780547.0722709985</v>
      </c>
      <c r="I222" s="1308">
        <f>I218*I216</f>
        <v>-4912105.7315095458</v>
      </c>
      <c r="J222" s="1310"/>
    </row>
    <row r="223" spans="2:10" ht="12.75" customHeight="1">
      <c r="B223" s="1343"/>
      <c r="C223" s="1345"/>
      <c r="D223" s="1345"/>
      <c r="E223" s="1345"/>
      <c r="F223" s="1345"/>
      <c r="G223" s="1345"/>
      <c r="H223" s="1345"/>
      <c r="I223" s="1345"/>
      <c r="J223" s="1345"/>
    </row>
    <row r="224" spans="2:10" ht="13">
      <c r="B224" s="1275"/>
      <c r="C224" s="1275"/>
      <c r="D224" s="1275"/>
      <c r="E224" s="1275"/>
      <c r="F224" s="1275"/>
      <c r="G224" s="1275"/>
      <c r="H224" s="1275"/>
      <c r="I224" s="1275"/>
      <c r="J224" s="1275"/>
    </row>
    <row r="225" spans="2:10" ht="13">
      <c r="B225" s="1275" t="s">
        <v>175</v>
      </c>
      <c r="C225" s="350"/>
      <c r="D225" s="350"/>
      <c r="E225" s="1275" t="s">
        <v>176</v>
      </c>
      <c r="F225" s="1275" t="s">
        <v>1152</v>
      </c>
      <c r="G225" s="1275" t="s">
        <v>1304</v>
      </c>
      <c r="H225" s="1275" t="s">
        <v>1305</v>
      </c>
      <c r="I225" s="1275" t="s">
        <v>1306</v>
      </c>
      <c r="J225" s="1275" t="s">
        <v>1307</v>
      </c>
    </row>
    <row r="226" spans="2:10" ht="13">
      <c r="B226" s="1283"/>
      <c r="C226" s="350"/>
      <c r="D226" s="350"/>
      <c r="E226" s="1275"/>
      <c r="F226" s="1275" t="s">
        <v>1338</v>
      </c>
      <c r="G226" s="1275" t="s">
        <v>260</v>
      </c>
      <c r="H226" s="1275"/>
      <c r="I226" s="1275"/>
      <c r="J226" s="350"/>
    </row>
    <row r="227" spans="2:10" ht="13">
      <c r="B227" s="1328"/>
      <c r="C227" s="350"/>
      <c r="D227" s="350"/>
      <c r="E227" s="1275"/>
      <c r="F227" s="1275" t="s">
        <v>1339</v>
      </c>
      <c r="G227" s="1275" t="s">
        <v>229</v>
      </c>
      <c r="H227" s="1275" t="s">
        <v>261</v>
      </c>
      <c r="I227" s="1275" t="s">
        <v>262</v>
      </c>
      <c r="J227" s="350"/>
    </row>
    <row r="228" spans="2:10" ht="13">
      <c r="B228" s="1283" t="s">
        <v>1349</v>
      </c>
      <c r="E228" s="1275" t="s">
        <v>44</v>
      </c>
      <c r="F228" s="1278" t="s">
        <v>1340</v>
      </c>
      <c r="G228" s="1275" t="s">
        <v>263</v>
      </c>
      <c r="H228" s="1275" t="s">
        <v>263</v>
      </c>
      <c r="I228" s="1275" t="s">
        <v>263</v>
      </c>
      <c r="J228" s="1275" t="s">
        <v>267</v>
      </c>
    </row>
    <row r="229" spans="2:10">
      <c r="B229" s="1292"/>
      <c r="C229" s="1347"/>
      <c r="D229" s="1316"/>
      <c r="E229" s="1293"/>
      <c r="F229" s="1293"/>
      <c r="G229" s="1293"/>
      <c r="H229" s="1293"/>
      <c r="I229" s="1293"/>
      <c r="J229" s="1294"/>
    </row>
    <row r="230" spans="2:10">
      <c r="B230" s="1292"/>
      <c r="C230" s="1347"/>
      <c r="D230" s="1316"/>
      <c r="E230" s="1293"/>
      <c r="F230" s="1293"/>
      <c r="G230" s="1293"/>
      <c r="H230" s="1293"/>
      <c r="I230" s="1293"/>
      <c r="J230" s="1294"/>
    </row>
    <row r="231" spans="2:10">
      <c r="B231" s="1292"/>
      <c r="C231" s="1347"/>
      <c r="D231" s="1316"/>
      <c r="E231" s="1293"/>
      <c r="F231" s="1293"/>
      <c r="G231" s="1293"/>
      <c r="H231" s="1293"/>
      <c r="I231" s="1293"/>
      <c r="J231" s="1294"/>
    </row>
    <row r="232" spans="2:10">
      <c r="B232" s="1292"/>
      <c r="C232" s="1347"/>
      <c r="D232" s="1316"/>
      <c r="E232" s="1293"/>
      <c r="F232" s="1293"/>
      <c r="G232" s="1293"/>
      <c r="H232" s="1293"/>
      <c r="I232" s="1293"/>
      <c r="J232" s="1294"/>
    </row>
    <row r="233" spans="2:10">
      <c r="B233" s="1292"/>
      <c r="C233" s="1347"/>
      <c r="D233" s="1316"/>
      <c r="E233" s="1293"/>
      <c r="F233" s="1293"/>
      <c r="G233" s="1293"/>
      <c r="H233" s="1293"/>
      <c r="I233" s="1293"/>
      <c r="J233" s="1294"/>
    </row>
    <row r="234" spans="2:10">
      <c r="B234" s="1292"/>
      <c r="C234" s="1347"/>
      <c r="D234" s="1316"/>
      <c r="E234" s="1293"/>
      <c r="F234" s="1293"/>
      <c r="G234" s="1293"/>
      <c r="H234" s="1293"/>
      <c r="I234" s="1293"/>
      <c r="J234" s="1294"/>
    </row>
    <row r="235" spans="2:10">
      <c r="B235" s="1292"/>
      <c r="C235" s="1347"/>
      <c r="D235" s="1315"/>
      <c r="E235" s="1317"/>
      <c r="F235" s="1317"/>
      <c r="G235" s="1317"/>
      <c r="H235" s="1317"/>
      <c r="I235" s="1317"/>
      <c r="J235" s="1318"/>
    </row>
    <row r="236" spans="2:10" ht="13">
      <c r="B236" s="1300" t="s">
        <v>1017</v>
      </c>
      <c r="C236" s="1297"/>
      <c r="D236" s="1298"/>
      <c r="E236" s="1298">
        <f>SUM(E229:E235)</f>
        <v>0</v>
      </c>
      <c r="F236" s="1298">
        <f>SUM(F229:F235)</f>
        <v>0</v>
      </c>
      <c r="G236" s="1298">
        <f>SUM(G229:G235)</f>
        <v>0</v>
      </c>
      <c r="H236" s="1298">
        <f>SUM(H229:H235)</f>
        <v>0</v>
      </c>
      <c r="I236" s="1298">
        <f>SUM(I229:I235)</f>
        <v>0</v>
      </c>
      <c r="J236" s="1299"/>
    </row>
    <row r="237" spans="2:10" ht="13">
      <c r="B237" s="1300"/>
      <c r="C237" s="1297"/>
      <c r="D237" s="1297"/>
      <c r="E237" s="1298"/>
      <c r="F237" s="1298"/>
      <c r="G237" s="1298"/>
      <c r="H237" s="1298"/>
      <c r="I237" s="1298"/>
      <c r="J237" s="1299"/>
    </row>
    <row r="238" spans="2:10">
      <c r="B238" s="1319" t="s">
        <v>1344</v>
      </c>
      <c r="C238" s="1320"/>
      <c r="D238" s="1321"/>
      <c r="E238" s="1303"/>
      <c r="F238" s="1293"/>
      <c r="G238" s="1293"/>
      <c r="H238" s="1293"/>
      <c r="I238" s="1293"/>
      <c r="J238" s="1304"/>
    </row>
    <row r="239" spans="2:10">
      <c r="B239" s="1301" t="s">
        <v>1345</v>
      </c>
      <c r="C239" s="1302"/>
      <c r="D239" s="1321"/>
      <c r="E239" s="1303"/>
      <c r="F239" s="1293"/>
      <c r="G239" s="1293"/>
      <c r="H239" s="1293"/>
      <c r="I239" s="1293"/>
      <c r="J239" s="1304"/>
    </row>
    <row r="240" spans="2:10">
      <c r="B240" s="1301" t="s">
        <v>1346</v>
      </c>
      <c r="C240" s="1302"/>
      <c r="D240" s="1321"/>
      <c r="E240" s="1303"/>
      <c r="F240" s="1293"/>
      <c r="G240" s="1293"/>
      <c r="H240" s="1293"/>
      <c r="I240" s="1293"/>
      <c r="J240" s="1304"/>
    </row>
    <row r="241" spans="2:10">
      <c r="B241" s="1301" t="s">
        <v>1016</v>
      </c>
      <c r="C241" s="1302"/>
      <c r="D241" s="1321"/>
      <c r="E241" s="1303"/>
      <c r="F241" s="1293"/>
      <c r="G241" s="1293"/>
      <c r="H241" s="1293"/>
      <c r="I241" s="1293"/>
      <c r="J241" s="1304"/>
    </row>
    <row r="242" spans="2:10" ht="5.15" customHeight="1">
      <c r="B242" s="1295"/>
      <c r="C242" s="1296"/>
      <c r="D242" s="1297"/>
      <c r="E242" s="1298"/>
      <c r="F242" s="1298"/>
      <c r="G242" s="1298"/>
      <c r="H242" s="1298"/>
      <c r="I242" s="1298"/>
      <c r="J242" s="1299"/>
    </row>
    <row r="243" spans="2:10" ht="13">
      <c r="B243" s="1322" t="s">
        <v>965</v>
      </c>
      <c r="C243" s="1323"/>
      <c r="D243" s="1297"/>
      <c r="E243" s="1298">
        <f>SUM(E238:E241)+E236</f>
        <v>0</v>
      </c>
      <c r="F243" s="1298">
        <f>SUM(F238:F241)+F236</f>
        <v>0</v>
      </c>
      <c r="G243" s="1298">
        <f>SUM(G238:G241)+G236</f>
        <v>0</v>
      </c>
      <c r="H243" s="1298">
        <f>SUM(H238:H241)+H236</f>
        <v>0</v>
      </c>
      <c r="I243" s="1298">
        <f>SUM(I238:I241)+I236</f>
        <v>0</v>
      </c>
      <c r="J243" s="1299"/>
    </row>
    <row r="244" spans="2:10" ht="13">
      <c r="B244" s="1324"/>
      <c r="C244" s="1325"/>
      <c r="D244" s="1325"/>
      <c r="E244" s="1308"/>
      <c r="F244" s="1298"/>
      <c r="G244" s="1298"/>
      <c r="H244" s="1298"/>
      <c r="I244" s="1298"/>
      <c r="J244" s="1310"/>
    </row>
    <row r="245" spans="2:10" ht="13">
      <c r="B245" s="1326" t="s">
        <v>266</v>
      </c>
      <c r="C245" s="1327"/>
      <c r="D245" s="1307"/>
      <c r="E245" s="1308"/>
      <c r="F245" s="1308"/>
      <c r="G245" s="1308"/>
      <c r="H245" s="1308"/>
      <c r="I245" s="1309">
        <f>+'ATT H-3D'!$H$16</f>
        <v>0.13016492184368511</v>
      </c>
      <c r="J245" s="1310"/>
    </row>
    <row r="246" spans="2:10" ht="13">
      <c r="B246" s="1305" t="s">
        <v>238</v>
      </c>
      <c r="C246" s="1306"/>
      <c r="D246" s="1307"/>
      <c r="E246" s="1308"/>
      <c r="F246" s="1308"/>
      <c r="G246" s="1308"/>
      <c r="H246" s="1309">
        <f>+'ATT H-3D'!$H$37</f>
        <v>0.379445767046166</v>
      </c>
      <c r="I246" s="1308"/>
      <c r="J246" s="1310"/>
    </row>
    <row r="247" spans="2:10" ht="13">
      <c r="B247" s="1305" t="s">
        <v>942</v>
      </c>
      <c r="C247" s="1306"/>
      <c r="D247" s="1307"/>
      <c r="E247" s="1308"/>
      <c r="F247" s="1308"/>
      <c r="G247" s="1309">
        <v>1</v>
      </c>
      <c r="H247" s="1308"/>
      <c r="I247" s="1308"/>
      <c r="J247" s="1310"/>
    </row>
    <row r="248" spans="2:10" ht="13">
      <c r="B248" s="1305" t="s">
        <v>943</v>
      </c>
      <c r="C248" s="1306"/>
      <c r="D248" s="1307"/>
      <c r="E248" s="1308"/>
      <c r="F248" s="1309">
        <v>0</v>
      </c>
      <c r="G248" s="1308"/>
      <c r="H248" s="1308"/>
      <c r="I248" s="1308"/>
      <c r="J248" s="1310"/>
    </row>
    <row r="249" spans="2:10" ht="13">
      <c r="B249" s="1311" t="s">
        <v>944</v>
      </c>
      <c r="C249" s="1306"/>
      <c r="D249" s="1307"/>
      <c r="E249" s="1308">
        <f>F249+G249+H249+I249</f>
        <v>0</v>
      </c>
      <c r="F249" s="1308">
        <f>F248*F243</f>
        <v>0</v>
      </c>
      <c r="G249" s="1308">
        <f>G243*G247</f>
        <v>0</v>
      </c>
      <c r="H249" s="1308">
        <f>H243*H246</f>
        <v>0</v>
      </c>
      <c r="I249" s="1308">
        <f>I245*I243</f>
        <v>0</v>
      </c>
      <c r="J249" s="1310"/>
    </row>
    <row r="250" spans="2:10" ht="13">
      <c r="B250" s="1312"/>
      <c r="E250" s="1282"/>
      <c r="F250" s="1282"/>
      <c r="G250" s="1282"/>
      <c r="H250" s="1282"/>
      <c r="I250" s="1282"/>
      <c r="J250" s="1313"/>
    </row>
    <row r="251" spans="2:10" ht="13">
      <c r="B251" s="1312"/>
      <c r="E251" s="1282"/>
      <c r="F251" s="1282"/>
      <c r="G251" s="1282"/>
      <c r="H251" s="1282"/>
      <c r="I251" s="1282"/>
      <c r="J251" s="1313"/>
    </row>
    <row r="252" spans="2:10" ht="13">
      <c r="B252" s="1275"/>
      <c r="C252" s="1275"/>
      <c r="D252" s="1275"/>
      <c r="E252" s="1275"/>
      <c r="F252" s="1275"/>
      <c r="G252" s="1275"/>
      <c r="H252" s="1275"/>
      <c r="I252" s="1275"/>
      <c r="J252" s="1275"/>
    </row>
    <row r="253" spans="2:10" ht="13">
      <c r="B253" s="1275" t="s">
        <v>175</v>
      </c>
      <c r="C253" s="350"/>
      <c r="D253" s="350"/>
      <c r="E253" s="1275" t="s">
        <v>176</v>
      </c>
      <c r="F253" s="1275" t="s">
        <v>1152</v>
      </c>
      <c r="G253" s="1275" t="s">
        <v>1304</v>
      </c>
      <c r="H253" s="1275" t="s">
        <v>1305</v>
      </c>
      <c r="I253" s="1275" t="s">
        <v>1306</v>
      </c>
      <c r="J253" s="1275" t="s">
        <v>1307</v>
      </c>
    </row>
    <row r="254" spans="2:10" ht="13">
      <c r="B254" s="1283"/>
      <c r="C254" s="350"/>
      <c r="D254" s="350"/>
      <c r="E254" s="1275"/>
      <c r="F254" s="1275" t="s">
        <v>1338</v>
      </c>
      <c r="G254" s="1275" t="s">
        <v>260</v>
      </c>
      <c r="H254" s="1275"/>
      <c r="I254" s="1275"/>
      <c r="J254" s="350"/>
    </row>
    <row r="255" spans="2:10" ht="13">
      <c r="B255" s="1328"/>
      <c r="C255" s="350"/>
      <c r="D255" s="350"/>
      <c r="E255" s="1275"/>
      <c r="F255" s="1275" t="s">
        <v>1339</v>
      </c>
      <c r="G255" s="1275" t="s">
        <v>229</v>
      </c>
      <c r="H255" s="1275" t="s">
        <v>261</v>
      </c>
      <c r="I255" s="1275" t="s">
        <v>262</v>
      </c>
      <c r="J255" s="350"/>
    </row>
    <row r="256" spans="2:10" ht="16.5" customHeight="1">
      <c r="B256" s="1283" t="s">
        <v>964</v>
      </c>
      <c r="E256" s="1275" t="s">
        <v>44</v>
      </c>
      <c r="F256" s="1278" t="s">
        <v>1340</v>
      </c>
      <c r="G256" s="1275" t="s">
        <v>263</v>
      </c>
      <c r="H256" s="1275" t="s">
        <v>263</v>
      </c>
      <c r="I256" s="1275" t="s">
        <v>263</v>
      </c>
      <c r="J256" s="1275" t="s">
        <v>267</v>
      </c>
    </row>
    <row r="257" spans="2:11">
      <c r="B257" s="1307" t="s">
        <v>1015</v>
      </c>
      <c r="C257" s="1307"/>
      <c r="D257" s="1307"/>
      <c r="E257" s="1298">
        <f>SUM(F257:I257)</f>
        <v>-107015204.12690763</v>
      </c>
      <c r="F257" s="1308">
        <f>F209</f>
        <v>-64122397.822732277</v>
      </c>
      <c r="G257" s="1308">
        <f>G209</f>
        <v>-462758.34719700005</v>
      </c>
      <c r="H257" s="1308">
        <f>H209</f>
        <v>-4692494.2294964772</v>
      </c>
      <c r="I257" s="1308">
        <f>I209</f>
        <v>-37737553.727481872</v>
      </c>
      <c r="J257" s="1310"/>
    </row>
    <row r="258" spans="2:11">
      <c r="B258" s="1307" t="s">
        <v>964</v>
      </c>
      <c r="C258" s="1307"/>
      <c r="D258" s="1307"/>
      <c r="E258" s="1298">
        <f>SUM(F258:I258)</f>
        <v>0</v>
      </c>
      <c r="F258" s="1308">
        <f>F236</f>
        <v>0</v>
      </c>
      <c r="G258" s="1308">
        <f>G236</f>
        <v>0</v>
      </c>
      <c r="H258" s="1308">
        <f>H236</f>
        <v>0</v>
      </c>
      <c r="I258" s="1308">
        <f>I236</f>
        <v>0</v>
      </c>
      <c r="J258" s="1310"/>
    </row>
    <row r="259" spans="2:11" ht="13">
      <c r="B259" s="1300" t="s">
        <v>958</v>
      </c>
      <c r="C259" s="1307"/>
      <c r="D259" s="1307"/>
      <c r="E259" s="1308">
        <f>E257+E258</f>
        <v>-107015204.12690763</v>
      </c>
      <c r="F259" s="1308">
        <f>F257+F258</f>
        <v>-64122397.822732277</v>
      </c>
      <c r="G259" s="1308">
        <f>G257+G258</f>
        <v>-462758.34719700005</v>
      </c>
      <c r="H259" s="1308">
        <f>H257+H258</f>
        <v>-4692494.2294964772</v>
      </c>
      <c r="I259" s="1308">
        <f>I257+I258</f>
        <v>-37737553.727481872</v>
      </c>
      <c r="J259" s="1310"/>
    </row>
    <row r="260" spans="2:11" ht="13">
      <c r="B260" s="1312"/>
      <c r="E260" s="1282"/>
      <c r="F260" s="1282"/>
      <c r="G260" s="1282"/>
      <c r="H260" s="1282"/>
      <c r="I260" s="1282"/>
      <c r="J260" s="1313"/>
    </row>
    <row r="261" spans="2:11" s="350" customFormat="1" ht="13">
      <c r="B261" s="1283" t="s">
        <v>277</v>
      </c>
      <c r="G261" s="1333"/>
      <c r="H261" s="1333"/>
      <c r="I261" s="1333"/>
      <c r="J261" s="1334"/>
    </row>
    <row r="262" spans="2:11" s="350" customFormat="1" ht="13">
      <c r="B262" s="1836" t="s">
        <v>1348</v>
      </c>
      <c r="C262" s="1836"/>
      <c r="D262" s="1836"/>
      <c r="E262" s="1836"/>
      <c r="F262" s="1836"/>
      <c r="G262" s="1836"/>
      <c r="H262" s="1836"/>
      <c r="I262" s="1836"/>
      <c r="J262" s="1334"/>
    </row>
    <row r="263" spans="2:11" s="350" customFormat="1" ht="13">
      <c r="B263" s="1342" t="s">
        <v>272</v>
      </c>
      <c r="G263" s="1333"/>
      <c r="H263" s="1333"/>
      <c r="I263" s="1333"/>
      <c r="J263" s="1334"/>
    </row>
    <row r="264" spans="2:11" s="350" customFormat="1" ht="13">
      <c r="B264" s="1342" t="s">
        <v>273</v>
      </c>
      <c r="G264" s="1333"/>
      <c r="H264" s="1333"/>
      <c r="I264" s="1333"/>
      <c r="J264" s="1334"/>
    </row>
    <row r="265" spans="2:11" s="350" customFormat="1" ht="13">
      <c r="B265" s="1342" t="s">
        <v>274</v>
      </c>
      <c r="G265" s="1333"/>
      <c r="H265" s="1333"/>
      <c r="I265" s="1333"/>
      <c r="J265" s="1334"/>
    </row>
    <row r="266" spans="2:11" s="350" customFormat="1" ht="15.75" customHeight="1">
      <c r="B266" s="1837" t="s">
        <v>275</v>
      </c>
      <c r="C266" s="1837"/>
      <c r="D266" s="1837"/>
      <c r="E266" s="1837"/>
      <c r="F266" s="1837"/>
      <c r="G266" s="1837"/>
      <c r="H266" s="1837"/>
      <c r="I266" s="1837"/>
      <c r="K266" s="1337"/>
    </row>
    <row r="267" spans="2:11" s="350" customFormat="1" ht="15.75" customHeight="1">
      <c r="B267" s="1837"/>
      <c r="C267" s="1837"/>
      <c r="D267" s="1837"/>
      <c r="E267" s="1837"/>
      <c r="F267" s="1837"/>
      <c r="G267" s="1837"/>
      <c r="H267" s="1837"/>
      <c r="I267" s="1837"/>
      <c r="K267" s="1337"/>
    </row>
    <row r="268" spans="2:11" s="350" customFormat="1" ht="13">
      <c r="B268" s="1336" t="s">
        <v>966</v>
      </c>
      <c r="G268" s="1333"/>
      <c r="H268" s="1333"/>
      <c r="I268" s="1333"/>
      <c r="J268" s="1334"/>
    </row>
    <row r="269" spans="2:11" ht="13">
      <c r="B269" s="1342" t="s">
        <v>960</v>
      </c>
    </row>
    <row r="270" spans="2:11" ht="12" customHeight="1">
      <c r="B270" s="1343"/>
      <c r="C270" s="1344"/>
      <c r="D270" s="1345"/>
      <c r="E270" s="1345"/>
      <c r="F270" s="1345"/>
      <c r="G270" s="1345"/>
      <c r="H270" s="1345"/>
      <c r="I270" s="1345"/>
      <c r="J270" s="1345"/>
    </row>
    <row r="271" spans="2:11" ht="12.75" customHeight="1">
      <c r="B271" s="1343"/>
      <c r="C271" s="1345"/>
      <c r="D271" s="1345"/>
      <c r="E271" s="1345"/>
      <c r="F271" s="1345"/>
      <c r="G271" s="1345"/>
      <c r="H271" s="1345"/>
      <c r="I271" s="1345"/>
      <c r="J271" s="1345"/>
    </row>
    <row r="272" spans="2:11" ht="13">
      <c r="B272" s="1275" t="s">
        <v>175</v>
      </c>
      <c r="C272" s="350"/>
      <c r="D272" s="350"/>
      <c r="E272" s="1275" t="s">
        <v>176</v>
      </c>
      <c r="F272" s="1275" t="s">
        <v>1152</v>
      </c>
      <c r="G272" s="1275" t="s">
        <v>1304</v>
      </c>
      <c r="H272" s="1275" t="s">
        <v>1305</v>
      </c>
      <c r="I272" s="1275" t="s">
        <v>1306</v>
      </c>
      <c r="J272" s="1275" t="s">
        <v>1307</v>
      </c>
    </row>
    <row r="273" spans="2:10" ht="13">
      <c r="B273" s="1283"/>
      <c r="C273" s="350"/>
      <c r="D273" s="350"/>
      <c r="E273" s="1275"/>
      <c r="F273" s="1275" t="s">
        <v>1338</v>
      </c>
      <c r="G273" s="1275" t="s">
        <v>260</v>
      </c>
      <c r="H273" s="1275"/>
      <c r="I273" s="1275"/>
      <c r="J273" s="350"/>
    </row>
    <row r="274" spans="2:10" ht="13">
      <c r="B274" s="1328"/>
      <c r="C274" s="350"/>
      <c r="D274" s="350"/>
      <c r="E274" s="1275"/>
      <c r="F274" s="1275" t="s">
        <v>1339</v>
      </c>
      <c r="G274" s="1275" t="s">
        <v>229</v>
      </c>
      <c r="H274" s="1275" t="s">
        <v>261</v>
      </c>
      <c r="I274" s="1275" t="s">
        <v>262</v>
      </c>
      <c r="J274" s="350"/>
    </row>
    <row r="275" spans="2:10" ht="13">
      <c r="B275" s="1283" t="s">
        <v>1350</v>
      </c>
      <c r="E275" s="1275" t="s">
        <v>44</v>
      </c>
      <c r="F275" s="1278" t="s">
        <v>1340</v>
      </c>
      <c r="G275" s="1275" t="s">
        <v>263</v>
      </c>
      <c r="H275" s="1275" t="s">
        <v>263</v>
      </c>
      <c r="I275" s="1275" t="s">
        <v>263</v>
      </c>
      <c r="J275" s="1275" t="s">
        <v>267</v>
      </c>
    </row>
    <row r="276" spans="2:10">
      <c r="B276" s="1292"/>
      <c r="C276" s="1314"/>
      <c r="D276" s="1316"/>
      <c r="E276" s="1293"/>
      <c r="F276" s="1293"/>
      <c r="G276" s="1293"/>
      <c r="H276" s="1293"/>
      <c r="I276" s="1293"/>
      <c r="J276" s="1346"/>
    </row>
    <row r="277" spans="2:10" ht="50">
      <c r="B277" s="1420" t="s">
        <v>1351</v>
      </c>
      <c r="C277" s="1425"/>
      <c r="D277" s="1429"/>
      <c r="E277" s="1423">
        <f>F277+G277+H277+I277</f>
        <v>-1379166</v>
      </c>
      <c r="F277" s="1423">
        <f>-111585</f>
        <v>-111585</v>
      </c>
      <c r="G277" s="1423">
        <v>0</v>
      </c>
      <c r="H277" s="1423">
        <f>-1267581</f>
        <v>-1267581</v>
      </c>
      <c r="I277" s="1423"/>
      <c r="J277" s="1346" t="s">
        <v>1859</v>
      </c>
    </row>
    <row r="278" spans="2:10">
      <c r="B278" s="1292"/>
      <c r="C278" s="1314"/>
      <c r="D278" s="1316"/>
      <c r="E278" s="1293"/>
      <c r="F278" s="1293"/>
      <c r="G278" s="1293"/>
      <c r="H278" s="1293"/>
      <c r="I278" s="1293"/>
      <c r="J278" s="1346"/>
    </row>
    <row r="279" spans="2:10">
      <c r="B279" s="1292"/>
      <c r="C279" s="1314"/>
      <c r="D279" s="1316"/>
      <c r="E279" s="1293"/>
      <c r="F279" s="1293"/>
      <c r="G279" s="1293"/>
      <c r="H279" s="1293"/>
      <c r="I279" s="1293"/>
      <c r="J279" s="1346"/>
    </row>
    <row r="280" spans="2:10">
      <c r="B280" s="1292"/>
      <c r="C280" s="1314"/>
      <c r="D280" s="1316"/>
      <c r="E280" s="1293"/>
      <c r="F280" s="1293"/>
      <c r="G280" s="1293"/>
      <c r="H280" s="1293"/>
      <c r="I280" s="1293"/>
      <c r="J280" s="1346"/>
    </row>
    <row r="281" spans="2:10">
      <c r="B281" s="1292"/>
      <c r="C281" s="1314"/>
      <c r="D281" s="1316"/>
      <c r="E281" s="1293"/>
      <c r="F281" s="1293"/>
      <c r="G281" s="1293"/>
      <c r="H281" s="1293"/>
      <c r="I281" s="1293"/>
      <c r="J281" s="1346"/>
    </row>
    <row r="282" spans="2:10">
      <c r="B282" s="1292"/>
      <c r="C282" s="1314"/>
      <c r="D282" s="1316"/>
      <c r="E282" s="1293"/>
      <c r="F282" s="1293"/>
      <c r="G282" s="1293"/>
      <c r="H282" s="1293"/>
      <c r="I282" s="1293"/>
      <c r="J282" s="1346"/>
    </row>
    <row r="283" spans="2:10" ht="13">
      <c r="B283" s="1300" t="s">
        <v>1352</v>
      </c>
      <c r="C283" s="1323"/>
      <c r="D283" s="1297"/>
      <c r="E283" s="1298">
        <f>SUM(E276:E282)</f>
        <v>-1379166</v>
      </c>
      <c r="F283" s="1298">
        <f>SUM(F276:F282)</f>
        <v>-111585</v>
      </c>
      <c r="G283" s="1298">
        <f>SUM(G276:G282)</f>
        <v>0</v>
      </c>
      <c r="H283" s="1298">
        <f>SUM(H276:H282)</f>
        <v>-1267581</v>
      </c>
      <c r="I283" s="1298">
        <f>SUM(I276:I282)</f>
        <v>0</v>
      </c>
      <c r="J283" s="1299"/>
    </row>
    <row r="284" spans="2:10" ht="13">
      <c r="B284" s="1300"/>
      <c r="C284" s="1297"/>
      <c r="D284" s="1297"/>
      <c r="E284" s="1298"/>
      <c r="F284" s="1298"/>
      <c r="G284" s="1298"/>
      <c r="H284" s="1298"/>
      <c r="I284" s="1298"/>
      <c r="J284" s="1299"/>
    </row>
    <row r="285" spans="2:10">
      <c r="B285" s="1301" t="s">
        <v>1353</v>
      </c>
      <c r="C285" s="1302"/>
      <c r="D285" s="1321"/>
      <c r="E285" s="1303"/>
      <c r="F285" s="1293"/>
      <c r="G285" s="1293"/>
      <c r="H285" s="1293">
        <v>0</v>
      </c>
      <c r="I285" s="1293"/>
      <c r="J285" s="1304"/>
    </row>
    <row r="286" spans="2:10" ht="5.15" customHeight="1">
      <c r="B286" s="1295"/>
      <c r="C286" s="1296"/>
      <c r="D286" s="1297"/>
      <c r="E286" s="1298"/>
      <c r="F286" s="1298"/>
      <c r="G286" s="1298"/>
      <c r="H286" s="1298"/>
      <c r="I286" s="1298"/>
      <c r="J286" s="1299"/>
    </row>
    <row r="287" spans="2:10" ht="13">
      <c r="B287" s="1300" t="s">
        <v>1354</v>
      </c>
      <c r="C287" s="1297"/>
      <c r="D287" s="1297"/>
      <c r="E287" s="1298">
        <f>SUM(E285:E285)+E283</f>
        <v>-1379166</v>
      </c>
      <c r="F287" s="1298">
        <f>SUM(F285:F285)+F283</f>
        <v>-111585</v>
      </c>
      <c r="G287" s="1298">
        <f>SUM(G285:G285)+G283</f>
        <v>0</v>
      </c>
      <c r="H287" s="1298">
        <f>SUM(H285:H285)+H283</f>
        <v>-1267581</v>
      </c>
      <c r="I287" s="1298">
        <f>SUM(I285:I285)+I283</f>
        <v>0</v>
      </c>
      <c r="J287" s="1299"/>
    </row>
    <row r="288" spans="2:10" ht="13">
      <c r="B288" s="1348"/>
      <c r="C288" s="1307"/>
      <c r="D288" s="1307"/>
      <c r="E288" s="1308"/>
      <c r="F288" s="1298"/>
      <c r="G288" s="1298"/>
      <c r="H288" s="1298"/>
      <c r="I288" s="1298"/>
      <c r="J288" s="1310"/>
    </row>
    <row r="289" spans="2:10" ht="13">
      <c r="B289" s="1305" t="s">
        <v>266</v>
      </c>
      <c r="C289" s="1306"/>
      <c r="D289" s="1307"/>
      <c r="E289" s="1308"/>
      <c r="F289" s="1308"/>
      <c r="G289" s="1308"/>
      <c r="H289" s="1308"/>
      <c r="I289" s="1309">
        <f>+'ATT H-3D'!$H$16</f>
        <v>0.13016492184368511</v>
      </c>
      <c r="J289" s="1310"/>
    </row>
    <row r="290" spans="2:10" ht="13">
      <c r="B290" s="1305" t="s">
        <v>238</v>
      </c>
      <c r="C290" s="1306"/>
      <c r="D290" s="1307"/>
      <c r="E290" s="1308"/>
      <c r="F290" s="1308"/>
      <c r="G290" s="1308"/>
      <c r="H290" s="1309">
        <f>'ATT H-3D'!H37</f>
        <v>0.379445767046166</v>
      </c>
      <c r="I290" s="1308"/>
      <c r="J290" s="1310"/>
    </row>
    <row r="291" spans="2:10" ht="13">
      <c r="B291" s="1305" t="s">
        <v>942</v>
      </c>
      <c r="C291" s="1306"/>
      <c r="D291" s="1307"/>
      <c r="E291" s="1308"/>
      <c r="F291" s="1308"/>
      <c r="G291" s="1309">
        <v>1</v>
      </c>
      <c r="H291" s="1308"/>
      <c r="I291" s="1308"/>
      <c r="J291" s="1310"/>
    </row>
    <row r="292" spans="2:10" ht="13">
      <c r="B292" s="1305" t="s">
        <v>943</v>
      </c>
      <c r="C292" s="1306"/>
      <c r="D292" s="1307"/>
      <c r="E292" s="1308"/>
      <c r="F292" s="1309">
        <v>0</v>
      </c>
      <c r="G292" s="1308"/>
      <c r="H292" s="1308"/>
      <c r="I292" s="1308"/>
      <c r="J292" s="1310"/>
    </row>
    <row r="293" spans="2:10" ht="13">
      <c r="B293" s="1306" t="s">
        <v>1355</v>
      </c>
      <c r="C293" s="1306"/>
      <c r="D293" s="1307"/>
      <c r="E293" s="1308">
        <f>F293+G293+H293+I293</f>
        <v>-480978.24483814614</v>
      </c>
      <c r="F293" s="1308">
        <f>F292*F287</f>
        <v>0</v>
      </c>
      <c r="G293" s="1308">
        <f>G287*G291</f>
        <v>0</v>
      </c>
      <c r="H293" s="1308">
        <f>H287*H290</f>
        <v>-480978.24483814614</v>
      </c>
      <c r="I293" s="1308">
        <f>I289*I287</f>
        <v>0</v>
      </c>
      <c r="J293" s="1310"/>
    </row>
    <row r="294" spans="2:10" ht="12.75" customHeight="1">
      <c r="B294" s="1343"/>
      <c r="C294" s="1345"/>
      <c r="D294" s="1345"/>
      <c r="E294" s="1345"/>
      <c r="F294" s="1345"/>
      <c r="G294" s="1345"/>
      <c r="H294" s="1345"/>
      <c r="I294" s="1345"/>
      <c r="J294" s="1345"/>
    </row>
    <row r="295" spans="2:10" ht="12.75" customHeight="1">
      <c r="B295" s="1343"/>
      <c r="C295" s="1345"/>
      <c r="D295" s="1345"/>
      <c r="E295" s="1345"/>
      <c r="F295" s="1345"/>
      <c r="G295" s="1345"/>
      <c r="H295" s="1345"/>
      <c r="I295" s="1345"/>
      <c r="J295" s="1345"/>
    </row>
    <row r="296" spans="2:10" ht="13">
      <c r="B296" s="1275" t="s">
        <v>175</v>
      </c>
      <c r="C296" s="350"/>
      <c r="D296" s="350"/>
      <c r="E296" s="1275" t="s">
        <v>176</v>
      </c>
      <c r="F296" s="1275" t="s">
        <v>1152</v>
      </c>
      <c r="G296" s="1275" t="s">
        <v>1304</v>
      </c>
      <c r="H296" s="1275" t="s">
        <v>1305</v>
      </c>
      <c r="I296" s="1275" t="s">
        <v>1306</v>
      </c>
      <c r="J296" s="1275" t="s">
        <v>1307</v>
      </c>
    </row>
    <row r="297" spans="2:10" ht="13">
      <c r="B297" s="1283"/>
      <c r="C297" s="350"/>
      <c r="D297" s="350"/>
      <c r="E297" s="1275"/>
      <c r="F297" s="1275" t="s">
        <v>1338</v>
      </c>
      <c r="G297" s="1275" t="s">
        <v>260</v>
      </c>
      <c r="H297" s="1275"/>
      <c r="I297" s="1275"/>
      <c r="J297" s="350"/>
    </row>
    <row r="298" spans="2:10" ht="13">
      <c r="B298" s="1328"/>
      <c r="C298" s="350"/>
      <c r="D298" s="350"/>
      <c r="E298" s="1275"/>
      <c r="F298" s="1275" t="s">
        <v>1339</v>
      </c>
      <c r="G298" s="1275" t="s">
        <v>229</v>
      </c>
      <c r="H298" s="1275" t="s">
        <v>261</v>
      </c>
      <c r="I298" s="1275" t="s">
        <v>262</v>
      </c>
      <c r="J298" s="350"/>
    </row>
    <row r="299" spans="2:10" ht="13">
      <c r="B299" s="1283" t="s">
        <v>1233</v>
      </c>
      <c r="E299" s="1275" t="s">
        <v>44</v>
      </c>
      <c r="F299" s="1278" t="s">
        <v>1340</v>
      </c>
      <c r="G299" s="1275" t="s">
        <v>263</v>
      </c>
      <c r="H299" s="1275" t="s">
        <v>263</v>
      </c>
      <c r="I299" s="1275" t="s">
        <v>263</v>
      </c>
      <c r="J299" s="1275" t="s">
        <v>267</v>
      </c>
    </row>
    <row r="300" spans="2:10">
      <c r="B300" s="1292"/>
      <c r="C300" s="1314"/>
      <c r="D300" s="1316"/>
      <c r="E300" s="1293"/>
      <c r="F300" s="1293"/>
      <c r="G300" s="1293"/>
      <c r="H300" s="1293"/>
      <c r="I300" s="1293"/>
      <c r="J300" s="1346"/>
    </row>
    <row r="301" spans="2:10" ht="50">
      <c r="B301" s="1420" t="s">
        <v>1233</v>
      </c>
      <c r="C301" s="1425"/>
      <c r="D301" s="1429"/>
      <c r="E301" s="1423">
        <f>F301+G301+H301+I301</f>
        <v>312349</v>
      </c>
      <c r="F301" s="1423">
        <v>58181</v>
      </c>
      <c r="G301" s="1423"/>
      <c r="H301" s="1423">
        <v>254168</v>
      </c>
      <c r="I301" s="1423"/>
      <c r="J301" s="1346" t="s">
        <v>1859</v>
      </c>
    </row>
    <row r="302" spans="2:10">
      <c r="B302" s="1292"/>
      <c r="C302" s="1314"/>
      <c r="D302" s="1316"/>
      <c r="E302" s="1293"/>
      <c r="F302" s="1293"/>
      <c r="G302" s="1293"/>
      <c r="H302" s="1293"/>
      <c r="I302" s="1293"/>
      <c r="J302" s="1346"/>
    </row>
    <row r="303" spans="2:10">
      <c r="B303" s="1292"/>
      <c r="C303" s="1314"/>
      <c r="D303" s="1316"/>
      <c r="E303" s="1293"/>
      <c r="F303" s="1293"/>
      <c r="G303" s="1293"/>
      <c r="H303" s="1293"/>
      <c r="I303" s="1293"/>
      <c r="J303" s="1346"/>
    </row>
    <row r="304" spans="2:10">
      <c r="B304" s="1292"/>
      <c r="C304" s="1314"/>
      <c r="D304" s="1316"/>
      <c r="E304" s="1293"/>
      <c r="F304" s="1293"/>
      <c r="G304" s="1293"/>
      <c r="H304" s="1293"/>
      <c r="I304" s="1293"/>
      <c r="J304" s="1346"/>
    </row>
    <row r="305" spans="1:10">
      <c r="B305" s="1292"/>
      <c r="C305" s="1314"/>
      <c r="D305" s="1316"/>
      <c r="E305" s="1293"/>
      <c r="F305" s="1293"/>
      <c r="G305" s="1293"/>
      <c r="H305" s="1293"/>
      <c r="I305" s="1293"/>
      <c r="J305" s="1346"/>
    </row>
    <row r="306" spans="1:10">
      <c r="B306" s="1292"/>
      <c r="C306" s="1314"/>
      <c r="D306" s="1316"/>
      <c r="E306" s="1293"/>
      <c r="F306" s="1293"/>
      <c r="G306" s="1293"/>
      <c r="H306" s="1293"/>
      <c r="I306" s="1293"/>
      <c r="J306" s="1346"/>
    </row>
    <row r="307" spans="1:10" ht="13">
      <c r="B307" s="1300" t="s">
        <v>1356</v>
      </c>
      <c r="C307" s="1349"/>
      <c r="D307" s="1297"/>
      <c r="E307" s="1298">
        <f>SUM(E300:E306)</f>
        <v>312349</v>
      </c>
      <c r="F307" s="1298">
        <f>SUM(F300:F306)</f>
        <v>58181</v>
      </c>
      <c r="G307" s="1298">
        <f>SUM(G300:G306)</f>
        <v>0</v>
      </c>
      <c r="H307" s="1298">
        <f>SUM(H300:H306)</f>
        <v>254168</v>
      </c>
      <c r="I307" s="1298">
        <f>SUM(I300:I306)</f>
        <v>0</v>
      </c>
      <c r="J307" s="1299"/>
    </row>
    <row r="308" spans="1:10" ht="13">
      <c r="B308" s="1324"/>
      <c r="C308" s="1325"/>
      <c r="D308" s="1325"/>
      <c r="E308" s="1308"/>
      <c r="F308" s="1298"/>
      <c r="G308" s="1298"/>
      <c r="H308" s="1298"/>
      <c r="I308" s="1298"/>
      <c r="J308" s="1310"/>
    </row>
    <row r="309" spans="1:10" ht="13">
      <c r="B309" s="1326" t="s">
        <v>266</v>
      </c>
      <c r="C309" s="1327"/>
      <c r="D309" s="1307"/>
      <c r="E309" s="1308"/>
      <c r="F309" s="1308"/>
      <c r="G309" s="1308"/>
      <c r="H309" s="1308"/>
      <c r="I309" s="1309">
        <f>+'ATT H-3D'!$H$16</f>
        <v>0.13016492184368511</v>
      </c>
      <c r="J309" s="1310"/>
    </row>
    <row r="310" spans="1:10" ht="13">
      <c r="B310" s="1305" t="s">
        <v>238</v>
      </c>
      <c r="C310" s="1306"/>
      <c r="D310" s="1307"/>
      <c r="E310" s="1308"/>
      <c r="F310" s="1308"/>
      <c r="G310" s="1308"/>
      <c r="H310" s="1309">
        <f>'ATT H-3D'!H37</f>
        <v>0.379445767046166</v>
      </c>
      <c r="I310" s="1308"/>
      <c r="J310" s="1310"/>
    </row>
    <row r="311" spans="1:10" ht="13">
      <c r="B311" s="1305" t="s">
        <v>942</v>
      </c>
      <c r="C311" s="1306"/>
      <c r="D311" s="1307"/>
      <c r="E311" s="1308"/>
      <c r="F311" s="1308"/>
      <c r="G311" s="1309">
        <v>1</v>
      </c>
      <c r="H311" s="1308"/>
      <c r="I311" s="1308"/>
      <c r="J311" s="1310"/>
    </row>
    <row r="312" spans="1:10" ht="13">
      <c r="B312" s="1305" t="s">
        <v>943</v>
      </c>
      <c r="C312" s="1306"/>
      <c r="D312" s="1307"/>
      <c r="E312" s="1308"/>
      <c r="F312" s="1309">
        <v>0</v>
      </c>
      <c r="G312" s="1308"/>
      <c r="H312" s="1308"/>
      <c r="I312" s="1308"/>
      <c r="J312" s="1310"/>
    </row>
    <row r="313" spans="1:10" ht="13">
      <c r="B313" s="1311" t="s">
        <v>1357</v>
      </c>
      <c r="C313" s="1306"/>
      <c r="D313" s="1307"/>
      <c r="E313" s="1308">
        <f>F313+G313+H313+I313</f>
        <v>96442.971718589921</v>
      </c>
      <c r="F313" s="1308">
        <f>F312*F307</f>
        <v>0</v>
      </c>
      <c r="G313" s="1308">
        <f>G307*G311</f>
        <v>0</v>
      </c>
      <c r="H313" s="1308">
        <f>H307*H310</f>
        <v>96442.971718589921</v>
      </c>
      <c r="I313" s="1308">
        <f>I309*I307</f>
        <v>0</v>
      </c>
      <c r="J313" s="1310"/>
    </row>
    <row r="314" spans="1:10">
      <c r="G314" s="1285"/>
    </row>
    <row r="316" spans="1:10" s="1193" customFormat="1" ht="15.5">
      <c r="A316" s="1350" t="s">
        <v>493</v>
      </c>
      <c r="B316" s="1351"/>
      <c r="C316" s="1351"/>
      <c r="D316" s="209"/>
      <c r="E316" s="209"/>
      <c r="F316" s="559"/>
      <c r="G316" s="209"/>
      <c r="H316" s="209"/>
      <c r="I316" s="209"/>
      <c r="J316" s="209"/>
    </row>
  </sheetData>
  <mergeCells count="12">
    <mergeCell ref="B190:I191"/>
    <mergeCell ref="B262:I262"/>
    <mergeCell ref="B266:I267"/>
    <mergeCell ref="A1:K1"/>
    <mergeCell ref="A2:K2"/>
    <mergeCell ref="A3:K3"/>
    <mergeCell ref="B6:J6"/>
    <mergeCell ref="B24:I26"/>
    <mergeCell ref="B29:I30"/>
    <mergeCell ref="B116:I116"/>
    <mergeCell ref="B120:I121"/>
    <mergeCell ref="B186:I186"/>
  </mergeCells>
  <pageMargins left="0.25" right="0.25" top="0.75" bottom="0.75" header="0.3" footer="0.3"/>
  <pageSetup scale="40" fitToHeight="0" orientation="landscape" r:id="rId1"/>
  <rowBreaks count="5" manualBreakCount="5">
    <brk id="31" max="16383" man="1"/>
    <brk id="78" max="16383" man="1"/>
    <brk id="124" max="16383" man="1"/>
    <brk id="195" max="16383" man="1"/>
    <brk id="27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39B93-D142-4304-AA5E-A4EEF6EB73E9}">
  <dimension ref="A1:R316"/>
  <sheetViews>
    <sheetView zoomScale="80" zoomScaleNormal="80" workbookViewId="0">
      <selection activeCell="E22" sqref="E22"/>
    </sheetView>
  </sheetViews>
  <sheetFormatPr defaultColWidth="9.1796875" defaultRowHeight="12.5"/>
  <cols>
    <col min="1" max="1" width="5.7265625" style="1271" customWidth="1"/>
    <col min="2" max="2" width="11.453125" style="1273" customWidth="1"/>
    <col min="3" max="3" width="75.1796875" style="1271" customWidth="1"/>
    <col min="4" max="4" width="0.54296875" style="1271" customWidth="1"/>
    <col min="5" max="5" width="29.1796875" style="1271" customWidth="1"/>
    <col min="6" max="6" width="26.453125" style="1271" customWidth="1"/>
    <col min="7" max="7" width="18.81640625" style="1271" customWidth="1"/>
    <col min="8" max="8" width="27.81640625" style="1271" customWidth="1"/>
    <col min="9" max="9" width="28.81640625" style="1271" customWidth="1"/>
    <col min="10" max="10" width="85.7265625" style="1271" customWidth="1"/>
    <col min="11" max="11" width="5.7265625" style="1271" customWidth="1"/>
    <col min="12" max="16384" width="9.1796875" style="1271"/>
  </cols>
  <sheetData>
    <row r="1" spans="1:18" ht="15.5">
      <c r="A1" s="1838" t="s">
        <v>1705</v>
      </c>
      <c r="B1" s="1838"/>
      <c r="C1" s="1838"/>
      <c r="D1" s="1838"/>
      <c r="E1" s="1838"/>
      <c r="F1" s="1838"/>
      <c r="G1" s="1838"/>
      <c r="H1" s="1838"/>
      <c r="I1" s="1838"/>
      <c r="J1" s="1838"/>
      <c r="K1" s="1838"/>
    </row>
    <row r="2" spans="1:18" ht="15.5">
      <c r="A2" s="1839" t="s">
        <v>905</v>
      </c>
      <c r="B2" s="1839"/>
      <c r="C2" s="1839"/>
      <c r="D2" s="1839"/>
      <c r="E2" s="1839"/>
      <c r="F2" s="1839"/>
      <c r="G2" s="1839"/>
      <c r="H2" s="1839"/>
      <c r="I2" s="1839"/>
      <c r="J2" s="1839"/>
      <c r="K2" s="1839"/>
    </row>
    <row r="3" spans="1:18" ht="15.5">
      <c r="A3" s="1838" t="s">
        <v>1358</v>
      </c>
      <c r="B3" s="1838"/>
      <c r="C3" s="1838"/>
      <c r="D3" s="1838"/>
      <c r="E3" s="1838"/>
      <c r="F3" s="1838"/>
      <c r="G3" s="1838"/>
      <c r="H3" s="1838"/>
      <c r="I3" s="1838"/>
      <c r="J3" s="1838"/>
      <c r="K3" s="1838"/>
    </row>
    <row r="4" spans="1:18" ht="13">
      <c r="B4" s="1272"/>
    </row>
    <row r="5" spans="1:18" ht="13">
      <c r="I5" s="1274"/>
    </row>
    <row r="6" spans="1:18" ht="13">
      <c r="B6" s="1840" t="s">
        <v>1923</v>
      </c>
      <c r="C6" s="1840"/>
      <c r="D6" s="1840"/>
      <c r="E6" s="1840"/>
      <c r="F6" s="1840"/>
      <c r="G6" s="1840"/>
      <c r="H6" s="1840"/>
      <c r="I6" s="1840"/>
      <c r="J6" s="1840"/>
    </row>
    <row r="7" spans="1:18" ht="13">
      <c r="F7" s="1275" t="s">
        <v>1338</v>
      </c>
      <c r="G7" s="1276" t="s">
        <v>260</v>
      </c>
      <c r="H7" s="1276"/>
    </row>
    <row r="8" spans="1:18" ht="13">
      <c r="F8" s="1275" t="s">
        <v>1339</v>
      </c>
      <c r="G8" s="1276" t="s">
        <v>229</v>
      </c>
      <c r="H8" s="1276" t="s">
        <v>261</v>
      </c>
      <c r="I8" s="1276" t="s">
        <v>262</v>
      </c>
    </row>
    <row r="9" spans="1:18" ht="13">
      <c r="B9" s="1277" t="s">
        <v>581</v>
      </c>
      <c r="C9" s="1277" t="s">
        <v>935</v>
      </c>
      <c r="E9" s="1278" t="s">
        <v>44</v>
      </c>
      <c r="F9" s="1278" t="s">
        <v>1340</v>
      </c>
      <c r="G9" s="1279" t="s">
        <v>263</v>
      </c>
      <c r="H9" s="1279" t="s">
        <v>263</v>
      </c>
      <c r="I9" s="1279" t="s">
        <v>263</v>
      </c>
    </row>
    <row r="10" spans="1:18" ht="5.15" customHeight="1"/>
    <row r="11" spans="1:18">
      <c r="B11" s="1273">
        <v>1</v>
      </c>
      <c r="C11" s="1280" t="s">
        <v>265</v>
      </c>
      <c r="E11" s="1281">
        <f>F11+G11+H11+I11</f>
        <v>15849111.515415911</v>
      </c>
      <c r="F11" s="1281">
        <f>F76</f>
        <v>0</v>
      </c>
      <c r="G11" s="1281">
        <f>G76</f>
        <v>0</v>
      </c>
      <c r="H11" s="1281">
        <f>H76</f>
        <v>15258579.748832066</v>
      </c>
      <c r="I11" s="1281">
        <f>I76</f>
        <v>590531.76658384455</v>
      </c>
    </row>
    <row r="12" spans="1:18">
      <c r="B12" s="1273">
        <f>B11+1</f>
        <v>2</v>
      </c>
      <c r="C12" s="1280" t="s">
        <v>936</v>
      </c>
      <c r="E12" s="1281">
        <f>F12+G12+H12+I12</f>
        <v>0</v>
      </c>
      <c r="F12" s="1281">
        <v>0</v>
      </c>
      <c r="G12" s="1281">
        <v>0</v>
      </c>
      <c r="H12" s="1281">
        <v>0</v>
      </c>
      <c r="I12" s="1281">
        <v>0</v>
      </c>
      <c r="O12" s="1282"/>
      <c r="P12" s="1282"/>
      <c r="Q12" s="1282"/>
      <c r="R12" s="1282"/>
    </row>
    <row r="13" spans="1:18">
      <c r="B13" s="1273">
        <f>B12+1</f>
        <v>3</v>
      </c>
      <c r="C13" s="1280" t="s">
        <v>937</v>
      </c>
      <c r="E13" s="1281">
        <f>F13+G13+H13+I13</f>
        <v>-160426407.71658459</v>
      </c>
      <c r="F13" s="1281">
        <f>F147</f>
        <v>0</v>
      </c>
      <c r="G13" s="1281">
        <f>G147</f>
        <v>0</v>
      </c>
      <c r="H13" s="1281">
        <f>H147</f>
        <v>-160426407.71658459</v>
      </c>
      <c r="I13" s="1281">
        <f>I147</f>
        <v>0</v>
      </c>
      <c r="O13" s="1282"/>
      <c r="P13" s="1282"/>
      <c r="Q13" s="1282"/>
      <c r="R13" s="1282"/>
    </row>
    <row r="14" spans="1:18">
      <c r="B14" s="1273">
        <f>B13+1</f>
        <v>4</v>
      </c>
      <c r="C14" s="1280" t="s">
        <v>264</v>
      </c>
      <c r="E14" s="1281">
        <f>F14+G14+H14+I14</f>
        <v>-7296113.0384755004</v>
      </c>
      <c r="F14" s="1281">
        <f>F222</f>
        <v>0</v>
      </c>
      <c r="G14" s="1281">
        <f>G222</f>
        <v>-462758.34719700005</v>
      </c>
      <c r="H14" s="1281">
        <f>H222</f>
        <v>-1811373.0426403061</v>
      </c>
      <c r="I14" s="1281">
        <f>I222</f>
        <v>-5021981.6486381944</v>
      </c>
      <c r="O14" s="1282"/>
      <c r="P14" s="1282"/>
      <c r="Q14" s="1282"/>
      <c r="R14" s="1282"/>
    </row>
    <row r="15" spans="1:18">
      <c r="B15" s="1273">
        <f>B14+1</f>
        <v>5</v>
      </c>
      <c r="C15" s="1280" t="s">
        <v>278</v>
      </c>
      <c r="E15" s="1281">
        <f>F15+G15+H15+I15</f>
        <v>-587418.07132533717</v>
      </c>
      <c r="F15" s="1281">
        <f>F293</f>
        <v>0</v>
      </c>
      <c r="G15" s="1281">
        <f>G293</f>
        <v>0</v>
      </c>
      <c r="H15" s="1281">
        <f>H293</f>
        <v>-587418.07132533717</v>
      </c>
      <c r="I15" s="1281">
        <f>I293</f>
        <v>0</v>
      </c>
      <c r="O15" s="1282"/>
      <c r="P15" s="1282"/>
      <c r="Q15" s="1282"/>
      <c r="R15" s="1282"/>
    </row>
    <row r="16" spans="1:18" ht="5.15" customHeight="1">
      <c r="E16" s="1702"/>
      <c r="F16" s="1702"/>
      <c r="G16" s="1702"/>
      <c r="H16" s="1702"/>
      <c r="I16" s="1702"/>
    </row>
    <row r="17" spans="2:10" ht="13">
      <c r="B17" s="1273">
        <f>B16+6</f>
        <v>6</v>
      </c>
      <c r="C17" s="1283" t="s">
        <v>938</v>
      </c>
      <c r="E17" s="1281">
        <f>E11+E12+E13+E14+E15</f>
        <v>-152460827.31096953</v>
      </c>
      <c r="F17" s="1281">
        <f>F11+F12+F13+F14+F15</f>
        <v>0</v>
      </c>
      <c r="G17" s="1281">
        <f>G11+G12+G13+G14+G15</f>
        <v>-462758.34719700005</v>
      </c>
      <c r="H17" s="1281">
        <f>H11+H12+H13+H14+H15</f>
        <v>-147566619.08171815</v>
      </c>
      <c r="I17" s="1281">
        <f>I11+I12+I13+I14+I15</f>
        <v>-4431449.8820543494</v>
      </c>
      <c r="J17" s="1284"/>
    </row>
    <row r="18" spans="2:10">
      <c r="C18" s="1273"/>
      <c r="F18" s="1282"/>
      <c r="G18" s="1282"/>
      <c r="H18" s="1282"/>
      <c r="I18" s="1285"/>
    </row>
    <row r="19" spans="2:10">
      <c r="C19" s="1273"/>
      <c r="F19" s="1282"/>
      <c r="G19" s="1282"/>
      <c r="H19" s="1282"/>
      <c r="I19" s="1285"/>
    </row>
    <row r="20" spans="2:10" ht="13">
      <c r="B20" s="1286" t="s">
        <v>581</v>
      </c>
      <c r="C20" s="1286" t="s">
        <v>1341</v>
      </c>
      <c r="D20" s="350"/>
      <c r="E20" s="1278" t="s">
        <v>44</v>
      </c>
      <c r="F20" s="350"/>
      <c r="G20" s="350"/>
      <c r="H20" s="350"/>
      <c r="I20" s="1701"/>
    </row>
    <row r="21" spans="2:10">
      <c r="B21" s="350"/>
      <c r="C21" s="350"/>
      <c r="D21" s="350"/>
      <c r="E21" s="350"/>
      <c r="F21" s="350"/>
      <c r="G21" s="350"/>
      <c r="H21" s="350"/>
      <c r="I21" s="1701"/>
    </row>
    <row r="22" spans="2:10">
      <c r="B22" s="1287">
        <f>B17+1</f>
        <v>7</v>
      </c>
      <c r="C22" s="1271" t="s">
        <v>1342</v>
      </c>
      <c r="E22" s="1288">
        <v>-1468465</v>
      </c>
      <c r="I22" s="1289"/>
    </row>
    <row r="23" spans="2:10">
      <c r="B23" s="1271"/>
    </row>
    <row r="24" spans="2:10" ht="12.75" customHeight="1">
      <c r="B24" s="1841" t="s">
        <v>1875</v>
      </c>
      <c r="C24" s="1841"/>
      <c r="D24" s="1841"/>
      <c r="E24" s="1841"/>
      <c r="F24" s="1841"/>
      <c r="G24" s="1841"/>
      <c r="H24" s="1841"/>
      <c r="I24" s="1841"/>
    </row>
    <row r="25" spans="2:10">
      <c r="B25" s="1841"/>
      <c r="C25" s="1841"/>
      <c r="D25" s="1841"/>
      <c r="E25" s="1841"/>
      <c r="F25" s="1841"/>
      <c r="G25" s="1841"/>
      <c r="H25" s="1841"/>
      <c r="I25" s="1841"/>
    </row>
    <row r="26" spans="2:10">
      <c r="B26" s="1841"/>
      <c r="C26" s="1841"/>
      <c r="D26" s="1841"/>
      <c r="E26" s="1841"/>
      <c r="F26" s="1841"/>
      <c r="G26" s="1841"/>
      <c r="H26" s="1841"/>
      <c r="I26" s="1841"/>
    </row>
    <row r="27" spans="2:10">
      <c r="B27" s="1741"/>
      <c r="C27" s="1741"/>
      <c r="D27" s="1741"/>
      <c r="E27" s="1741"/>
      <c r="F27" s="1741"/>
      <c r="G27" s="1741"/>
      <c r="H27" s="1741"/>
      <c r="I27" s="1741"/>
    </row>
    <row r="29" spans="2:10" ht="15" customHeight="1">
      <c r="B29" s="1841" t="s">
        <v>1343</v>
      </c>
      <c r="C29" s="1841"/>
      <c r="D29" s="1841"/>
      <c r="E29" s="1841"/>
      <c r="F29" s="1841"/>
      <c r="G29" s="1841"/>
      <c r="H29" s="1841"/>
      <c r="I29" s="1841"/>
      <c r="J29" s="1290"/>
    </row>
    <row r="30" spans="2:10">
      <c r="B30" s="1841"/>
      <c r="C30" s="1841"/>
      <c r="D30" s="1841"/>
      <c r="E30" s="1841"/>
      <c r="F30" s="1841"/>
      <c r="G30" s="1841"/>
      <c r="H30" s="1841"/>
      <c r="I30" s="1841"/>
      <c r="J30" s="1290"/>
    </row>
    <row r="31" spans="2:10">
      <c r="C31" s="1273"/>
      <c r="F31" s="1282"/>
      <c r="G31" s="1282"/>
      <c r="H31" s="1282"/>
      <c r="I31" s="1285"/>
    </row>
    <row r="32" spans="2:10" ht="13">
      <c r="B32" s="1275" t="s">
        <v>175</v>
      </c>
      <c r="C32" s="1275"/>
      <c r="D32" s="1275"/>
      <c r="E32" s="1275" t="s">
        <v>176</v>
      </c>
      <c r="F32" s="1275" t="s">
        <v>1152</v>
      </c>
      <c r="G32" s="1275" t="s">
        <v>1304</v>
      </c>
      <c r="H32" s="1275" t="s">
        <v>1305</v>
      </c>
      <c r="I32" s="1275" t="s">
        <v>1306</v>
      </c>
      <c r="J32" s="1275" t="s">
        <v>1307</v>
      </c>
    </row>
    <row r="33" spans="2:10" ht="13">
      <c r="B33" s="1283"/>
      <c r="C33" s="350"/>
      <c r="D33" s="350"/>
      <c r="E33" s="1275"/>
      <c r="F33" s="1275" t="s">
        <v>1338</v>
      </c>
      <c r="G33" s="1275" t="s">
        <v>260</v>
      </c>
      <c r="H33" s="1275"/>
      <c r="I33" s="1275"/>
      <c r="J33" s="350"/>
    </row>
    <row r="34" spans="2:10" ht="13">
      <c r="B34" s="1291"/>
      <c r="C34" s="350"/>
      <c r="D34" s="350"/>
      <c r="E34" s="1275"/>
      <c r="F34" s="1275" t="s">
        <v>1339</v>
      </c>
      <c r="G34" s="1275" t="s">
        <v>229</v>
      </c>
      <c r="H34" s="1275" t="s">
        <v>261</v>
      </c>
      <c r="I34" s="1275" t="s">
        <v>262</v>
      </c>
      <c r="J34" s="350"/>
    </row>
    <row r="35" spans="2:10" ht="13">
      <c r="B35" s="1283" t="s">
        <v>939</v>
      </c>
      <c r="C35" s="350"/>
      <c r="D35" s="350"/>
      <c r="E35" s="1275" t="s">
        <v>44</v>
      </c>
      <c r="F35" s="1278" t="s">
        <v>1340</v>
      </c>
      <c r="G35" s="1275" t="s">
        <v>263</v>
      </c>
      <c r="H35" s="1275" t="s">
        <v>263</v>
      </c>
      <c r="I35" s="1275" t="s">
        <v>263</v>
      </c>
      <c r="J35" s="1275" t="s">
        <v>267</v>
      </c>
    </row>
    <row r="36" spans="2:10" ht="25">
      <c r="B36" s="1420" t="s">
        <v>1522</v>
      </c>
      <c r="C36" s="1421"/>
      <c r="D36" s="1422"/>
      <c r="E36" s="1423">
        <f t="shared" ref="E36:E62" si="0">SUM(F36:I36)</f>
        <v>1298893.723151</v>
      </c>
      <c r="F36" s="1423">
        <v>181845.12124114</v>
      </c>
      <c r="G36" s="1423">
        <v>0</v>
      </c>
      <c r="H36" s="1423">
        <v>0</v>
      </c>
      <c r="I36" s="1423">
        <v>1117048.60190986</v>
      </c>
      <c r="J36" s="1346" t="s">
        <v>1547</v>
      </c>
    </row>
    <row r="37" spans="2:10" ht="25">
      <c r="B37" s="1420" t="s">
        <v>1095</v>
      </c>
      <c r="C37" s="1421"/>
      <c r="D37" s="1422"/>
      <c r="E37" s="1423">
        <f t="shared" si="0"/>
        <v>2368297.1303269998</v>
      </c>
      <c r="F37" s="1423">
        <v>331561.59824577998</v>
      </c>
      <c r="G37" s="1423">
        <v>0</v>
      </c>
      <c r="H37" s="1423">
        <v>0</v>
      </c>
      <c r="I37" s="1423">
        <v>2036735.5320812198</v>
      </c>
      <c r="J37" s="1346" t="s">
        <v>1547</v>
      </c>
    </row>
    <row r="38" spans="2:10">
      <c r="B38" s="1420" t="s">
        <v>1523</v>
      </c>
      <c r="C38" s="1421"/>
      <c r="D38" s="1422"/>
      <c r="E38" s="1423">
        <f t="shared" si="0"/>
        <v>250460.8346955</v>
      </c>
      <c r="F38" s="1423">
        <v>250460.8346955</v>
      </c>
      <c r="G38" s="1423">
        <v>0</v>
      </c>
      <c r="H38" s="1423">
        <v>0</v>
      </c>
      <c r="I38" s="1423">
        <v>0</v>
      </c>
      <c r="J38" s="1346" t="s">
        <v>1548</v>
      </c>
    </row>
    <row r="39" spans="2:10">
      <c r="B39" s="1420" t="s">
        <v>1909</v>
      </c>
      <c r="C39" s="1421"/>
      <c r="D39" s="1422"/>
      <c r="E39" s="1423">
        <f t="shared" si="0"/>
        <v>17321.875</v>
      </c>
      <c r="F39" s="1423">
        <v>17321.875</v>
      </c>
      <c r="G39" s="1423">
        <v>0</v>
      </c>
      <c r="H39" s="1423">
        <v>0</v>
      </c>
      <c r="I39" s="1423">
        <v>0</v>
      </c>
      <c r="J39" s="1346" t="s">
        <v>1548</v>
      </c>
    </row>
    <row r="40" spans="2:10" ht="37.5">
      <c r="B40" s="1420" t="s">
        <v>1524</v>
      </c>
      <c r="C40" s="1421"/>
      <c r="D40" s="1422"/>
      <c r="E40" s="1423">
        <f t="shared" si="0"/>
        <v>4965280.3566164998</v>
      </c>
      <c r="F40" s="1423">
        <v>695139.24992631015</v>
      </c>
      <c r="G40" s="1423">
        <v>0</v>
      </c>
      <c r="H40" s="1423">
        <v>0</v>
      </c>
      <c r="I40" s="1423">
        <v>4270141.1066901898</v>
      </c>
      <c r="J40" s="1346" t="s">
        <v>1549</v>
      </c>
    </row>
    <row r="41" spans="2:10">
      <c r="B41" s="1420" t="s">
        <v>1525</v>
      </c>
      <c r="C41" s="1421"/>
      <c r="D41" s="1422"/>
      <c r="E41" s="1423">
        <f t="shared" si="0"/>
        <v>3156516.7467419999</v>
      </c>
      <c r="F41" s="1423">
        <v>3156516.7467419999</v>
      </c>
      <c r="G41" s="1423">
        <v>0</v>
      </c>
      <c r="H41" s="1423">
        <v>0</v>
      </c>
      <c r="I41" s="1423">
        <v>0</v>
      </c>
      <c r="J41" s="1346" t="s">
        <v>1548</v>
      </c>
    </row>
    <row r="42" spans="2:10" ht="25">
      <c r="B42" s="1420" t="s">
        <v>1526</v>
      </c>
      <c r="C42" s="1421"/>
      <c r="D42" s="1422"/>
      <c r="E42" s="1423">
        <f t="shared" si="0"/>
        <v>166081.25616300001</v>
      </c>
      <c r="F42" s="1423">
        <v>23251.375862820001</v>
      </c>
      <c r="G42" s="1423">
        <v>0</v>
      </c>
      <c r="H42" s="1423">
        <v>0</v>
      </c>
      <c r="I42" s="1423">
        <v>142829.88030018</v>
      </c>
      <c r="J42" s="1346" t="s">
        <v>1547</v>
      </c>
    </row>
    <row r="43" spans="2:10">
      <c r="B43" s="1420" t="s">
        <v>1268</v>
      </c>
      <c r="C43" s="1421"/>
      <c r="D43" s="1422"/>
      <c r="E43" s="1423">
        <f t="shared" si="0"/>
        <v>-1.9400500000000001E-2</v>
      </c>
      <c r="F43" s="1423">
        <v>-2.7160700000000005E-3</v>
      </c>
      <c r="G43" s="1423">
        <v>0</v>
      </c>
      <c r="H43" s="1423">
        <v>0</v>
      </c>
      <c r="I43" s="1423">
        <v>-1.668443E-2</v>
      </c>
      <c r="J43" s="1346" t="s">
        <v>1548</v>
      </c>
    </row>
    <row r="44" spans="2:10" ht="25">
      <c r="B44" s="1420" t="s">
        <v>1910</v>
      </c>
      <c r="C44" s="1421"/>
      <c r="D44" s="1422"/>
      <c r="E44" s="1423">
        <f t="shared" si="0"/>
        <v>25094.962475</v>
      </c>
      <c r="F44" s="1423">
        <v>3513.2947465000002</v>
      </c>
      <c r="G44" s="1423">
        <v>0</v>
      </c>
      <c r="H44" s="1423">
        <v>0</v>
      </c>
      <c r="I44" s="1423">
        <v>21581.667728500001</v>
      </c>
      <c r="J44" s="1346" t="s">
        <v>1547</v>
      </c>
    </row>
    <row r="45" spans="2:10" ht="25">
      <c r="B45" s="1420" t="s">
        <v>1097</v>
      </c>
      <c r="C45" s="1421"/>
      <c r="D45" s="1422"/>
      <c r="E45" s="1423">
        <f t="shared" si="0"/>
        <v>439207.84189799998</v>
      </c>
      <c r="F45" s="1423">
        <v>439207.84189799998</v>
      </c>
      <c r="G45" s="1423">
        <v>0</v>
      </c>
      <c r="H45" s="1423">
        <v>0</v>
      </c>
      <c r="I45" s="1423">
        <v>0</v>
      </c>
      <c r="J45" s="1346" t="s">
        <v>1547</v>
      </c>
    </row>
    <row r="46" spans="2:10" ht="25">
      <c r="B46" s="1420" t="s">
        <v>1527</v>
      </c>
      <c r="C46" s="1421"/>
      <c r="D46" s="1422"/>
      <c r="E46" s="1423">
        <f t="shared" si="0"/>
        <v>1416977.7570755002</v>
      </c>
      <c r="F46" s="1423">
        <v>198376.88599057007</v>
      </c>
      <c r="G46" s="1423">
        <v>0</v>
      </c>
      <c r="H46" s="1423">
        <v>0</v>
      </c>
      <c r="I46" s="1423">
        <v>1218600.8710849301</v>
      </c>
      <c r="J46" s="1346" t="s">
        <v>1547</v>
      </c>
    </row>
    <row r="47" spans="2:10">
      <c r="B47" s="1420" t="s">
        <v>269</v>
      </c>
      <c r="C47" s="1421"/>
      <c r="D47" s="1422"/>
      <c r="E47" s="1423">
        <f t="shared" si="0"/>
        <v>8372831.5886670016</v>
      </c>
      <c r="F47" s="1423">
        <v>8372831.5886670016</v>
      </c>
      <c r="G47" s="1423">
        <v>0</v>
      </c>
      <c r="H47" s="1423">
        <v>0</v>
      </c>
      <c r="I47" s="1423">
        <v>0</v>
      </c>
      <c r="J47" s="1346" t="s">
        <v>1548</v>
      </c>
    </row>
    <row r="48" spans="2:10">
      <c r="B48" s="1420" t="s">
        <v>1528</v>
      </c>
      <c r="C48" s="1421"/>
      <c r="D48" s="1422"/>
      <c r="E48" s="1423">
        <f t="shared" si="0"/>
        <v>4371482.6236884994</v>
      </c>
      <c r="F48" s="1423">
        <v>4371482.6236884994</v>
      </c>
      <c r="G48" s="1423">
        <v>0</v>
      </c>
      <c r="H48" s="1423">
        <v>0</v>
      </c>
      <c r="I48" s="1423">
        <v>0</v>
      </c>
      <c r="J48" s="1346" t="s">
        <v>1548</v>
      </c>
    </row>
    <row r="49" spans="2:10">
      <c r="B49" s="1420" t="s">
        <v>268</v>
      </c>
      <c r="C49" s="1421"/>
      <c r="D49" s="1422"/>
      <c r="E49" s="1423">
        <f t="shared" si="0"/>
        <v>21784.153518500003</v>
      </c>
      <c r="F49" s="1423">
        <v>21784.153518500003</v>
      </c>
      <c r="G49" s="1423">
        <v>0</v>
      </c>
      <c r="H49" s="1423">
        <v>0</v>
      </c>
      <c r="I49" s="1423">
        <v>0</v>
      </c>
      <c r="J49" s="1346" t="s">
        <v>1548</v>
      </c>
    </row>
    <row r="50" spans="2:10">
      <c r="B50" s="1420" t="s">
        <v>1911</v>
      </c>
      <c r="C50" s="1421"/>
      <c r="D50" s="1422"/>
      <c r="E50" s="1423">
        <f t="shared" si="0"/>
        <v>3247611.7085754997</v>
      </c>
      <c r="F50" s="1423">
        <v>3247611.7085754997</v>
      </c>
      <c r="G50" s="1423">
        <v>0</v>
      </c>
      <c r="H50" s="1423">
        <v>0</v>
      </c>
      <c r="I50" s="1423">
        <v>0</v>
      </c>
      <c r="J50" s="1346" t="s">
        <v>1548</v>
      </c>
    </row>
    <row r="51" spans="2:10">
      <c r="B51" s="1420" t="s">
        <v>1712</v>
      </c>
      <c r="C51" s="1421"/>
      <c r="D51" s="1422"/>
      <c r="E51" s="1423">
        <f t="shared" si="0"/>
        <v>-7.7602000000000004E-2</v>
      </c>
      <c r="F51" s="1423">
        <v>-7.7602000000000004E-2</v>
      </c>
      <c r="G51" s="1423">
        <v>0</v>
      </c>
      <c r="H51" s="1423">
        <v>0</v>
      </c>
      <c r="I51" s="1423">
        <v>0</v>
      </c>
      <c r="J51" s="1346" t="s">
        <v>1548</v>
      </c>
    </row>
    <row r="52" spans="2:10">
      <c r="B52" s="1420" t="s">
        <v>1529</v>
      </c>
      <c r="C52" s="1421"/>
      <c r="D52" s="1422"/>
      <c r="E52" s="1423">
        <f t="shared" si="0"/>
        <v>339382.22825349984</v>
      </c>
      <c r="F52" s="1423">
        <v>339382.22825349984</v>
      </c>
      <c r="G52" s="1423">
        <v>0</v>
      </c>
      <c r="H52" s="1423">
        <v>0</v>
      </c>
      <c r="I52" s="1423">
        <v>0</v>
      </c>
      <c r="J52" s="1346" t="s">
        <v>1548</v>
      </c>
    </row>
    <row r="53" spans="2:10">
      <c r="B53" s="1420" t="s">
        <v>1711</v>
      </c>
      <c r="C53" s="1421"/>
      <c r="D53" s="1422"/>
      <c r="E53" s="1423">
        <f t="shared" si="0"/>
        <v>3708022.1573755001</v>
      </c>
      <c r="F53" s="1423">
        <v>3708022.1573755001</v>
      </c>
      <c r="G53" s="1423">
        <v>0</v>
      </c>
      <c r="H53" s="1423">
        <v>0</v>
      </c>
      <c r="I53" s="1423">
        <v>0</v>
      </c>
      <c r="J53" s="1346" t="s">
        <v>1548</v>
      </c>
    </row>
    <row r="54" spans="2:10">
      <c r="B54" s="1420" t="s">
        <v>1530</v>
      </c>
      <c r="C54" s="1421"/>
      <c r="D54" s="1422"/>
      <c r="E54" s="1423">
        <f t="shared" si="0"/>
        <v>2588611.1317480002</v>
      </c>
      <c r="F54" s="1423">
        <v>2588611.1317480002</v>
      </c>
      <c r="G54" s="1423">
        <v>0</v>
      </c>
      <c r="H54" s="1423">
        <v>0</v>
      </c>
      <c r="I54" s="1423">
        <v>0</v>
      </c>
      <c r="J54" s="1346" t="s">
        <v>1548</v>
      </c>
    </row>
    <row r="55" spans="2:10">
      <c r="B55" s="1420" t="s">
        <v>1531</v>
      </c>
      <c r="C55" s="1421"/>
      <c r="D55" s="1422"/>
      <c r="E55" s="1423">
        <f t="shared" si="0"/>
        <v>296364.41594700003</v>
      </c>
      <c r="F55" s="1423">
        <v>296364.41594700003</v>
      </c>
      <c r="G55" s="1423">
        <v>0</v>
      </c>
      <c r="H55" s="1423">
        <v>0</v>
      </c>
      <c r="I55" s="1423">
        <v>0</v>
      </c>
      <c r="J55" s="1346" t="s">
        <v>1548</v>
      </c>
    </row>
    <row r="56" spans="2:10">
      <c r="B56" s="1420" t="s">
        <v>1912</v>
      </c>
      <c r="C56" s="1421"/>
      <c r="D56" s="1422"/>
      <c r="E56" s="1423">
        <f t="shared" si="0"/>
        <v>-52118</v>
      </c>
      <c r="F56" s="1423">
        <v>-52118</v>
      </c>
      <c r="G56" s="1423">
        <v>0</v>
      </c>
      <c r="H56" s="1423">
        <v>0</v>
      </c>
      <c r="I56" s="1423">
        <v>0</v>
      </c>
      <c r="J56" s="1346" t="s">
        <v>1548</v>
      </c>
    </row>
    <row r="57" spans="2:10" ht="25">
      <c r="B57" s="1420" t="s">
        <v>1532</v>
      </c>
      <c r="C57" s="1421"/>
      <c r="D57" s="1422"/>
      <c r="E57" s="1423">
        <f t="shared" si="0"/>
        <v>49098991.22193262</v>
      </c>
      <c r="F57" s="1423">
        <v>9570525.3917582631</v>
      </c>
      <c r="G57" s="1423">
        <v>0</v>
      </c>
      <c r="H57" s="1423">
        <v>39528465.830174357</v>
      </c>
      <c r="I57" s="1423">
        <v>0</v>
      </c>
      <c r="J57" s="1346" t="s">
        <v>1550</v>
      </c>
    </row>
    <row r="58" spans="2:10" ht="50">
      <c r="B58" s="1420" t="s">
        <v>1533</v>
      </c>
      <c r="C58" s="1421"/>
      <c r="D58" s="1422"/>
      <c r="E58" s="1423">
        <f t="shared" si="0"/>
        <v>468877.38130000001</v>
      </c>
      <c r="F58" s="1423">
        <v>65642.833382000012</v>
      </c>
      <c r="G58" s="1423">
        <v>0</v>
      </c>
      <c r="H58" s="1423">
        <v>403234.54791800003</v>
      </c>
      <c r="I58" s="1423">
        <v>0</v>
      </c>
      <c r="J58" s="1346" t="s">
        <v>1551</v>
      </c>
    </row>
    <row r="59" spans="2:10">
      <c r="B59" s="1420" t="s">
        <v>1534</v>
      </c>
      <c r="C59" s="1421"/>
      <c r="D59" s="1422"/>
      <c r="E59" s="1423">
        <f t="shared" si="0"/>
        <v>13532</v>
      </c>
      <c r="F59" s="1423">
        <v>13532</v>
      </c>
      <c r="G59" s="1423">
        <v>0</v>
      </c>
      <c r="H59" s="1423">
        <v>0</v>
      </c>
      <c r="I59" s="1423">
        <v>0</v>
      </c>
      <c r="J59" s="1346" t="s">
        <v>1548</v>
      </c>
    </row>
    <row r="60" spans="2:10" ht="37.5">
      <c r="B60" s="1420" t="s">
        <v>1535</v>
      </c>
      <c r="C60" s="1421"/>
      <c r="D60" s="1422"/>
      <c r="E60" s="1423">
        <f t="shared" si="0"/>
        <v>111905726.91389219</v>
      </c>
      <c r="F60" s="1423">
        <v>11190572.69138922</v>
      </c>
      <c r="G60" s="1423">
        <v>0</v>
      </c>
      <c r="H60" s="1423">
        <v>100715154.22250298</v>
      </c>
      <c r="I60" s="1423">
        <v>0</v>
      </c>
      <c r="J60" s="1346" t="s">
        <v>1552</v>
      </c>
    </row>
    <row r="61" spans="2:10">
      <c r="B61" s="1420" t="s">
        <v>1483</v>
      </c>
      <c r="C61" s="1421"/>
      <c r="D61" s="1422"/>
      <c r="E61" s="1423">
        <f t="shared" si="0"/>
        <v>0</v>
      </c>
      <c r="F61" s="1423">
        <v>0</v>
      </c>
      <c r="G61" s="1423">
        <v>0</v>
      </c>
      <c r="H61" s="1423">
        <v>0</v>
      </c>
      <c r="I61" s="1423">
        <v>0</v>
      </c>
      <c r="J61" s="1346"/>
    </row>
    <row r="62" spans="2:10">
      <c r="B62" s="1420" t="s">
        <v>1485</v>
      </c>
      <c r="C62" s="1421"/>
      <c r="D62" s="1422"/>
      <c r="E62" s="1423">
        <f t="shared" si="0"/>
        <v>0</v>
      </c>
      <c r="F62" s="1423">
        <v>0</v>
      </c>
      <c r="G62" s="1423">
        <v>0</v>
      </c>
      <c r="H62" s="1423">
        <v>0</v>
      </c>
      <c r="I62" s="1423">
        <v>0</v>
      </c>
      <c r="J62" s="1346" t="s">
        <v>1548</v>
      </c>
    </row>
    <row r="63" spans="2:10" ht="13">
      <c r="B63" s="1295" t="s">
        <v>940</v>
      </c>
      <c r="C63" s="1296"/>
      <c r="D63" s="1297"/>
      <c r="E63" s="1298">
        <f>SUM(E36:E62)</f>
        <v>198485231.91203934</v>
      </c>
      <c r="F63" s="1298">
        <f>SUM(F36:F62)</f>
        <v>49031439.668333538</v>
      </c>
      <c r="G63" s="1298">
        <f>SUM(G36:G62)</f>
        <v>0</v>
      </c>
      <c r="H63" s="1298">
        <f>SUM(H36:H62)</f>
        <v>140646854.60059533</v>
      </c>
      <c r="I63" s="1298">
        <f>SUM(I36:I62)</f>
        <v>8806937.6431104504</v>
      </c>
      <c r="J63" s="1299"/>
    </row>
    <row r="64" spans="2:10" ht="13">
      <c r="B64" s="1300"/>
      <c r="C64" s="1297"/>
      <c r="D64" s="1297"/>
      <c r="E64" s="1298"/>
      <c r="F64" s="1298"/>
      <c r="G64" s="1298"/>
      <c r="H64" s="1298"/>
      <c r="I64" s="1298"/>
      <c r="J64" s="1299"/>
    </row>
    <row r="65" spans="2:10">
      <c r="B65" s="1301" t="s">
        <v>1344</v>
      </c>
      <c r="C65" s="1302"/>
      <c r="D65" s="1302"/>
      <c r="E65" s="1293">
        <f>SUM(F65:I65)</f>
        <v>0</v>
      </c>
      <c r="F65" s="1293">
        <v>0</v>
      </c>
      <c r="G65" s="1293">
        <v>0</v>
      </c>
      <c r="H65" s="1293">
        <v>0</v>
      </c>
      <c r="I65" s="1293">
        <v>0</v>
      </c>
      <c r="J65" s="1304"/>
    </row>
    <row r="66" spans="2:10">
      <c r="B66" s="1301" t="s">
        <v>1345</v>
      </c>
      <c r="C66" s="1302"/>
      <c r="D66" s="1302"/>
      <c r="E66" s="1293">
        <f>SUM(F66:I66)</f>
        <v>-468877.38130000001</v>
      </c>
      <c r="F66" s="1293">
        <f>-F58</f>
        <v>-65642.833382000012</v>
      </c>
      <c r="G66" s="1293">
        <f>-G58</f>
        <v>0</v>
      </c>
      <c r="H66" s="1293">
        <f>-H58</f>
        <v>-403234.54791800003</v>
      </c>
      <c r="I66" s="1293">
        <f>-I58</f>
        <v>0</v>
      </c>
      <c r="J66" s="1304"/>
    </row>
    <row r="67" spans="2:10">
      <c r="B67" s="1301" t="s">
        <v>1346</v>
      </c>
      <c r="C67" s="1302"/>
      <c r="D67" s="1302"/>
      <c r="E67" s="1293">
        <f>SUM(F67:I67)</f>
        <v>-111905726.91389219</v>
      </c>
      <c r="F67" s="1293">
        <f>-F60</f>
        <v>-11190572.69138922</v>
      </c>
      <c r="G67" s="1293">
        <f>-G60</f>
        <v>0</v>
      </c>
      <c r="H67" s="1293">
        <f>-H60</f>
        <v>-100715154.22250298</v>
      </c>
      <c r="I67" s="1293">
        <f>-I60</f>
        <v>0</v>
      </c>
      <c r="J67" s="1304"/>
    </row>
    <row r="68" spans="2:10">
      <c r="B68" s="1301" t="s">
        <v>1016</v>
      </c>
      <c r="C68" s="1302"/>
      <c r="D68" s="1302"/>
      <c r="E68" s="1293">
        <f>SUM(F68:I68)</f>
        <v>-4965280.3566164998</v>
      </c>
      <c r="F68" s="1293">
        <f>-F40</f>
        <v>-695139.24992631015</v>
      </c>
      <c r="G68" s="1293">
        <f>-G40</f>
        <v>0</v>
      </c>
      <c r="H68" s="1293">
        <f>-H40</f>
        <v>0</v>
      </c>
      <c r="I68" s="1293">
        <f>-I40</f>
        <v>-4270141.1066901898</v>
      </c>
      <c r="J68" s="1304"/>
    </row>
    <row r="69" spans="2:10" ht="5.15" customHeight="1">
      <c r="B69" s="1295"/>
      <c r="C69" s="1296"/>
      <c r="D69" s="1297"/>
      <c r="E69" s="1298"/>
      <c r="F69" s="1298"/>
      <c r="G69" s="1298"/>
      <c r="H69" s="1298"/>
      <c r="I69" s="1298"/>
      <c r="J69" s="1299"/>
    </row>
    <row r="70" spans="2:10" ht="13">
      <c r="B70" s="1300" t="s">
        <v>941</v>
      </c>
      <c r="C70" s="1297"/>
      <c r="D70" s="1297"/>
      <c r="E70" s="1298">
        <f>SUM(E65:E69)+E63</f>
        <v>81145347.260230646</v>
      </c>
      <c r="F70" s="1298">
        <f>SUM(F65:F69)+F63</f>
        <v>37080084.893636011</v>
      </c>
      <c r="G70" s="1298">
        <f>SUM(G65:G69)+G63</f>
        <v>0</v>
      </c>
      <c r="H70" s="1298">
        <f>SUM(H65:H69)+H63</f>
        <v>39528465.830174342</v>
      </c>
      <c r="I70" s="1298">
        <f>SUM(I65:I69)+I63</f>
        <v>4536796.5364202606</v>
      </c>
      <c r="J70" s="1299"/>
    </row>
    <row r="71" spans="2:10" ht="13">
      <c r="B71" s="1300"/>
      <c r="C71" s="1297"/>
      <c r="D71" s="1297"/>
      <c r="E71" s="1298"/>
      <c r="F71" s="1298"/>
      <c r="G71" s="1298"/>
      <c r="H71" s="1298"/>
      <c r="I71" s="1298"/>
      <c r="J71" s="1299"/>
    </row>
    <row r="72" spans="2:10" ht="13">
      <c r="B72" s="1305" t="s">
        <v>266</v>
      </c>
      <c r="C72" s="1306"/>
      <c r="D72" s="1307"/>
      <c r="E72" s="1308"/>
      <c r="F72" s="1308"/>
      <c r="G72" s="1308"/>
      <c r="H72" s="1308"/>
      <c r="I72" s="1309">
        <v>0.13016492184368511</v>
      </c>
      <c r="J72" s="1310"/>
    </row>
    <row r="73" spans="2:10" ht="13">
      <c r="B73" s="1305" t="s">
        <v>238</v>
      </c>
      <c r="C73" s="1306"/>
      <c r="D73" s="1307"/>
      <c r="E73" s="1308"/>
      <c r="F73" s="1308"/>
      <c r="G73" s="1308"/>
      <c r="H73" s="1309">
        <v>0.38601497499010745</v>
      </c>
      <c r="I73" s="1308"/>
      <c r="J73" s="1310"/>
    </row>
    <row r="74" spans="2:10" ht="13">
      <c r="B74" s="1305" t="s">
        <v>942</v>
      </c>
      <c r="C74" s="1306"/>
      <c r="D74" s="1307"/>
      <c r="E74" s="1308"/>
      <c r="F74" s="1308"/>
      <c r="G74" s="1309">
        <v>1</v>
      </c>
      <c r="H74" s="1308"/>
      <c r="I74" s="1308"/>
      <c r="J74" s="1310"/>
    </row>
    <row r="75" spans="2:10" ht="13">
      <c r="B75" s="1305" t="s">
        <v>943</v>
      </c>
      <c r="C75" s="1306"/>
      <c r="D75" s="1307"/>
      <c r="E75" s="1308"/>
      <c r="F75" s="1309">
        <v>0</v>
      </c>
      <c r="G75" s="1308"/>
      <c r="H75" s="1308"/>
      <c r="I75" s="1308"/>
      <c r="J75" s="1310"/>
    </row>
    <row r="76" spans="2:10" ht="13">
      <c r="B76" s="1311" t="s">
        <v>944</v>
      </c>
      <c r="C76" s="1306"/>
      <c r="D76" s="1307"/>
      <c r="E76" s="1308">
        <f>F76+G76+H76+I76</f>
        <v>15849111.515415911</v>
      </c>
      <c r="F76" s="1308">
        <f>F75*F70</f>
        <v>0</v>
      </c>
      <c r="G76" s="1308">
        <f>G70*G74</f>
        <v>0</v>
      </c>
      <c r="H76" s="1308">
        <f>H70*H73</f>
        <v>15258579.748832066</v>
      </c>
      <c r="I76" s="1308">
        <f>I72*I70</f>
        <v>590531.76658384455</v>
      </c>
      <c r="J76" s="1310"/>
    </row>
    <row r="77" spans="2:10" ht="13">
      <c r="B77" s="1312"/>
      <c r="E77" s="1282"/>
      <c r="F77" s="1282"/>
      <c r="G77" s="1282"/>
      <c r="H77" s="1282"/>
      <c r="I77" s="1282"/>
      <c r="J77" s="1313"/>
    </row>
    <row r="78" spans="2:10" ht="13">
      <c r="B78" s="1283"/>
      <c r="E78" s="1282"/>
      <c r="F78" s="1282"/>
      <c r="G78" s="1282"/>
      <c r="H78" s="1282"/>
      <c r="I78" s="1282"/>
      <c r="J78" s="1313"/>
    </row>
    <row r="79" spans="2:10" ht="13">
      <c r="B79" s="1275" t="s">
        <v>175</v>
      </c>
      <c r="C79" s="1275"/>
      <c r="D79" s="1275"/>
      <c r="E79" s="1275" t="s">
        <v>176</v>
      </c>
      <c r="F79" s="1275" t="s">
        <v>1152</v>
      </c>
      <c r="G79" s="1275" t="s">
        <v>1304</v>
      </c>
      <c r="H79" s="1275" t="s">
        <v>1305</v>
      </c>
      <c r="I79" s="1275" t="s">
        <v>1306</v>
      </c>
      <c r="J79" s="1275" t="s">
        <v>1307</v>
      </c>
    </row>
    <row r="80" spans="2:10" ht="13">
      <c r="B80" s="1283"/>
      <c r="C80" s="350"/>
      <c r="D80" s="350"/>
      <c r="E80" s="1275"/>
      <c r="F80" s="1275" t="s">
        <v>1338</v>
      </c>
      <c r="G80" s="1275" t="s">
        <v>260</v>
      </c>
      <c r="H80" s="1275"/>
      <c r="I80" s="1275"/>
      <c r="J80" s="350"/>
    </row>
    <row r="81" spans="2:10" ht="13">
      <c r="B81" s="1291"/>
      <c r="C81" s="350"/>
      <c r="D81" s="350"/>
      <c r="E81" s="1275"/>
      <c r="F81" s="1275" t="s">
        <v>1339</v>
      </c>
      <c r="G81" s="1275" t="s">
        <v>229</v>
      </c>
      <c r="H81" s="1275" t="s">
        <v>261</v>
      </c>
      <c r="I81" s="1275" t="s">
        <v>262</v>
      </c>
      <c r="J81" s="350"/>
    </row>
    <row r="82" spans="2:10" ht="13">
      <c r="B82" s="1283" t="s">
        <v>945</v>
      </c>
      <c r="C82" s="350"/>
      <c r="D82" s="350"/>
      <c r="E82" s="1275" t="s">
        <v>44</v>
      </c>
      <c r="F82" s="1278" t="s">
        <v>1340</v>
      </c>
      <c r="G82" s="1275" t="s">
        <v>263</v>
      </c>
      <c r="H82" s="1275" t="s">
        <v>263</v>
      </c>
      <c r="I82" s="1275" t="s">
        <v>263</v>
      </c>
      <c r="J82" s="1275" t="s">
        <v>267</v>
      </c>
    </row>
    <row r="83" spans="2:10">
      <c r="B83" s="1292"/>
      <c r="C83" s="1314"/>
      <c r="D83" s="1315"/>
      <c r="E83" s="1293"/>
      <c r="F83" s="1293"/>
      <c r="G83" s="1293"/>
      <c r="H83" s="1293"/>
      <c r="I83" s="1293"/>
      <c r="J83" s="1294"/>
    </row>
    <row r="84" spans="2:10">
      <c r="B84" s="1292"/>
      <c r="C84" s="1314"/>
      <c r="D84" s="1316"/>
      <c r="E84" s="1293"/>
      <c r="F84" s="1293"/>
      <c r="G84" s="1293"/>
      <c r="H84" s="1293"/>
      <c r="I84" s="1293"/>
      <c r="J84" s="1294"/>
    </row>
    <row r="85" spans="2:10">
      <c r="B85" s="1292"/>
      <c r="C85" s="1314"/>
      <c r="D85" s="1316"/>
      <c r="E85" s="1293"/>
      <c r="F85" s="1293"/>
      <c r="G85" s="1293"/>
      <c r="H85" s="1293"/>
      <c r="I85" s="1293"/>
      <c r="J85" s="1294"/>
    </row>
    <row r="86" spans="2:10">
      <c r="B86" s="1292"/>
      <c r="C86" s="1314"/>
      <c r="D86" s="1316"/>
      <c r="E86" s="1293"/>
      <c r="F86" s="1293"/>
      <c r="G86" s="1293"/>
      <c r="H86" s="1293"/>
      <c r="I86" s="1293"/>
      <c r="J86" s="1294"/>
    </row>
    <row r="87" spans="2:10">
      <c r="B87" s="1292"/>
      <c r="C87" s="1314"/>
      <c r="D87" s="1316"/>
      <c r="E87" s="1293"/>
      <c r="F87" s="1293"/>
      <c r="G87" s="1293"/>
      <c r="H87" s="1293"/>
      <c r="I87" s="1293"/>
      <c r="J87" s="1294"/>
    </row>
    <row r="88" spans="2:10">
      <c r="B88" s="1292"/>
      <c r="C88" s="1314"/>
      <c r="D88" s="1316"/>
      <c r="E88" s="1293"/>
      <c r="F88" s="1293"/>
      <c r="G88" s="1293"/>
      <c r="H88" s="1293"/>
      <c r="I88" s="1293"/>
      <c r="J88" s="1294"/>
    </row>
    <row r="89" spans="2:10">
      <c r="B89" s="1292"/>
      <c r="C89" s="1314"/>
      <c r="D89" s="1315"/>
      <c r="E89" s="1317"/>
      <c r="F89" s="1317"/>
      <c r="G89" s="1317"/>
      <c r="H89" s="1317"/>
      <c r="I89" s="1317"/>
      <c r="J89" s="1318"/>
    </row>
    <row r="90" spans="2:10" ht="13">
      <c r="B90" s="1300" t="s">
        <v>946</v>
      </c>
      <c r="C90" s="1297"/>
      <c r="D90" s="1297"/>
      <c r="E90" s="1298">
        <f>SUM(E83:E89)</f>
        <v>0</v>
      </c>
      <c r="F90" s="1298">
        <f>SUM(F83:F89)</f>
        <v>0</v>
      </c>
      <c r="G90" s="1298">
        <f>SUM(G83:G89)</f>
        <v>0</v>
      </c>
      <c r="H90" s="1298">
        <f>SUM(H83:H89)</f>
        <v>0</v>
      </c>
      <c r="I90" s="1298">
        <f>SUM(I83:I89)</f>
        <v>0</v>
      </c>
      <c r="J90" s="1299"/>
    </row>
    <row r="91" spans="2:10" ht="13">
      <c r="B91" s="1300"/>
      <c r="C91" s="1297"/>
      <c r="D91" s="1297"/>
      <c r="E91" s="1298"/>
      <c r="F91" s="1298"/>
      <c r="G91" s="1298"/>
      <c r="H91" s="1298"/>
      <c r="I91" s="1298"/>
      <c r="J91" s="1299"/>
    </row>
    <row r="92" spans="2:10">
      <c r="B92" s="1319" t="s">
        <v>1344</v>
      </c>
      <c r="C92" s="1320"/>
      <c r="D92" s="1321"/>
      <c r="E92" s="1303"/>
      <c r="F92" s="1293"/>
      <c r="G92" s="1293"/>
      <c r="H92" s="1293"/>
      <c r="I92" s="1293"/>
      <c r="J92" s="1304"/>
    </row>
    <row r="93" spans="2:10">
      <c r="B93" s="1301" t="s">
        <v>1345</v>
      </c>
      <c r="C93" s="1302"/>
      <c r="D93" s="1321"/>
      <c r="E93" s="1303"/>
      <c r="F93" s="1293"/>
      <c r="G93" s="1293"/>
      <c r="H93" s="1293"/>
      <c r="I93" s="1293"/>
      <c r="J93" s="1304"/>
    </row>
    <row r="94" spans="2:10">
      <c r="B94" s="1301" t="s">
        <v>1346</v>
      </c>
      <c r="C94" s="1302"/>
      <c r="D94" s="1321"/>
      <c r="E94" s="1303"/>
      <c r="F94" s="1293"/>
      <c r="G94" s="1293"/>
      <c r="H94" s="1293"/>
      <c r="I94" s="1293"/>
      <c r="J94" s="1304"/>
    </row>
    <row r="95" spans="2:10">
      <c r="B95" s="1301" t="s">
        <v>1016</v>
      </c>
      <c r="C95" s="1302"/>
      <c r="D95" s="1321"/>
      <c r="E95" s="1303"/>
      <c r="F95" s="1293"/>
      <c r="G95" s="1293"/>
      <c r="H95" s="1293"/>
      <c r="I95" s="1293"/>
      <c r="J95" s="1304"/>
    </row>
    <row r="96" spans="2:10" ht="5.15" customHeight="1">
      <c r="B96" s="1295"/>
      <c r="C96" s="1296"/>
      <c r="D96" s="1297"/>
      <c r="E96" s="1298"/>
      <c r="F96" s="1298"/>
      <c r="G96" s="1298"/>
      <c r="H96" s="1298"/>
      <c r="I96" s="1298"/>
      <c r="J96" s="1299"/>
    </row>
    <row r="97" spans="2:10" ht="13">
      <c r="B97" s="1322" t="s">
        <v>947</v>
      </c>
      <c r="C97" s="1323"/>
      <c r="D97" s="1297"/>
      <c r="E97" s="1298">
        <f>SUM(E92:E96)+E90</f>
        <v>0</v>
      </c>
      <c r="F97" s="1298">
        <f>SUM(F92:F96)+F90</f>
        <v>0</v>
      </c>
      <c r="G97" s="1298">
        <f>SUM(G92:G96)+G90</f>
        <v>0</v>
      </c>
      <c r="H97" s="1298">
        <f>SUM(H92:H96)+H90</f>
        <v>0</v>
      </c>
      <c r="I97" s="1298">
        <f>SUM(I92:I96)+I90</f>
        <v>0</v>
      </c>
      <c r="J97" s="1299"/>
    </row>
    <row r="98" spans="2:10" ht="13">
      <c r="B98" s="1324"/>
      <c r="C98" s="1325"/>
      <c r="D98" s="1325"/>
      <c r="E98" s="1308"/>
      <c r="F98" s="1298"/>
      <c r="G98" s="1298"/>
      <c r="H98" s="1298"/>
      <c r="I98" s="1298"/>
      <c r="J98" s="1310"/>
    </row>
    <row r="99" spans="2:10" ht="13">
      <c r="B99" s="1326" t="s">
        <v>266</v>
      </c>
      <c r="C99" s="1327"/>
      <c r="D99" s="1307"/>
      <c r="E99" s="1308"/>
      <c r="F99" s="1308"/>
      <c r="G99" s="1308"/>
      <c r="H99" s="1308"/>
      <c r="I99" s="1309">
        <f>I72</f>
        <v>0.13016492184368511</v>
      </c>
      <c r="J99" s="1310"/>
    </row>
    <row r="100" spans="2:10" ht="13">
      <c r="B100" s="1305" t="s">
        <v>238</v>
      </c>
      <c r="C100" s="1306"/>
      <c r="D100" s="1307"/>
      <c r="E100" s="1308"/>
      <c r="F100" s="1308"/>
      <c r="G100" s="1308"/>
      <c r="H100" s="1309">
        <f>H73</f>
        <v>0.38601497499010745</v>
      </c>
      <c r="I100" s="1308"/>
      <c r="J100" s="1310"/>
    </row>
    <row r="101" spans="2:10" ht="13">
      <c r="B101" s="1305" t="s">
        <v>942</v>
      </c>
      <c r="C101" s="1306"/>
      <c r="D101" s="1307"/>
      <c r="E101" s="1308"/>
      <c r="F101" s="1308"/>
      <c r="G101" s="1309">
        <v>1</v>
      </c>
      <c r="H101" s="1308"/>
      <c r="I101" s="1308"/>
      <c r="J101" s="1310"/>
    </row>
    <row r="102" spans="2:10" ht="13">
      <c r="B102" s="1305" t="s">
        <v>943</v>
      </c>
      <c r="C102" s="1306"/>
      <c r="D102" s="1307"/>
      <c r="E102" s="1308"/>
      <c r="F102" s="1309">
        <v>0</v>
      </c>
      <c r="G102" s="1308"/>
      <c r="H102" s="1308"/>
      <c r="I102" s="1308"/>
      <c r="J102" s="1310"/>
    </row>
    <row r="103" spans="2:10" ht="13">
      <c r="B103" s="1311" t="s">
        <v>944</v>
      </c>
      <c r="C103" s="1306"/>
      <c r="D103" s="1307"/>
      <c r="E103" s="1308">
        <f>F103+G103+H103+I103</f>
        <v>0</v>
      </c>
      <c r="F103" s="1308">
        <f>F102*F97</f>
        <v>0</v>
      </c>
      <c r="G103" s="1308">
        <f>G97*G101</f>
        <v>0</v>
      </c>
      <c r="H103" s="1308">
        <f>H97*H100</f>
        <v>0</v>
      </c>
      <c r="I103" s="1308">
        <f>I99*I97</f>
        <v>0</v>
      </c>
      <c r="J103" s="1310"/>
    </row>
    <row r="104" spans="2:10" ht="13">
      <c r="B104" s="1312"/>
      <c r="E104" s="1282"/>
      <c r="F104" s="1282"/>
      <c r="G104" s="1282"/>
      <c r="H104" s="1282"/>
      <c r="I104" s="1282"/>
      <c r="J104" s="1313"/>
    </row>
    <row r="105" spans="2:10" ht="13">
      <c r="B105" s="1312"/>
      <c r="E105" s="1282"/>
      <c r="F105" s="1282"/>
      <c r="G105" s="1282"/>
      <c r="H105" s="1282"/>
      <c r="I105" s="1282"/>
      <c r="J105" s="1313"/>
    </row>
    <row r="106" spans="2:10" ht="13">
      <c r="B106" s="1275" t="s">
        <v>175</v>
      </c>
      <c r="C106" s="1275"/>
      <c r="D106" s="1275"/>
      <c r="E106" s="1275" t="s">
        <v>176</v>
      </c>
      <c r="F106" s="1275" t="s">
        <v>1152</v>
      </c>
      <c r="G106" s="1275" t="s">
        <v>1304</v>
      </c>
      <c r="H106" s="1275" t="s">
        <v>1305</v>
      </c>
      <c r="I106" s="1275" t="s">
        <v>1306</v>
      </c>
      <c r="J106" s="1275" t="s">
        <v>1307</v>
      </c>
    </row>
    <row r="107" spans="2:10" ht="13">
      <c r="B107" s="1283"/>
      <c r="C107" s="350"/>
      <c r="D107" s="350"/>
      <c r="E107" s="1275"/>
      <c r="F107" s="1275" t="s">
        <v>1338</v>
      </c>
      <c r="G107" s="1275" t="s">
        <v>260</v>
      </c>
      <c r="H107" s="1275"/>
      <c r="I107" s="1275"/>
      <c r="J107" s="350"/>
    </row>
    <row r="108" spans="2:10" ht="13">
      <c r="B108" s="1328"/>
      <c r="C108" s="350"/>
      <c r="D108" s="350"/>
      <c r="E108" s="1275"/>
      <c r="F108" s="1275" t="s">
        <v>1339</v>
      </c>
      <c r="G108" s="1275" t="s">
        <v>229</v>
      </c>
      <c r="H108" s="1275" t="s">
        <v>261</v>
      </c>
      <c r="I108" s="1275" t="s">
        <v>262</v>
      </c>
      <c r="J108" s="350"/>
    </row>
    <row r="109" spans="2:10" ht="13">
      <c r="B109" s="1283" t="s">
        <v>1347</v>
      </c>
      <c r="E109" s="1275" t="s">
        <v>44</v>
      </c>
      <c r="F109" s="1278" t="s">
        <v>1340</v>
      </c>
      <c r="G109" s="1275" t="s">
        <v>263</v>
      </c>
      <c r="H109" s="1275" t="s">
        <v>263</v>
      </c>
      <c r="I109" s="1275" t="s">
        <v>263</v>
      </c>
      <c r="J109" s="1275" t="s">
        <v>267</v>
      </c>
    </row>
    <row r="110" spans="2:10">
      <c r="B110" s="1307" t="s">
        <v>939</v>
      </c>
      <c r="C110" s="1307"/>
      <c r="D110" s="1307"/>
      <c r="E110" s="1298">
        <f>SUM(F110:I110)</f>
        <v>198485231.91203931</v>
      </c>
      <c r="F110" s="1308">
        <f>F63</f>
        <v>49031439.668333538</v>
      </c>
      <c r="G110" s="1308">
        <f>G63</f>
        <v>0</v>
      </c>
      <c r="H110" s="1308">
        <f>H63</f>
        <v>140646854.60059533</v>
      </c>
      <c r="I110" s="1308">
        <f>I63</f>
        <v>8806937.6431104504</v>
      </c>
      <c r="J110" s="1310"/>
    </row>
    <row r="111" spans="2:10">
      <c r="B111" s="1307" t="s">
        <v>945</v>
      </c>
      <c r="C111" s="1307"/>
      <c r="D111" s="1307"/>
      <c r="E111" s="1298">
        <f>SUM(F111:I111)</f>
        <v>0</v>
      </c>
      <c r="F111" s="1308">
        <f>F90</f>
        <v>0</v>
      </c>
      <c r="G111" s="1308">
        <f>G90</f>
        <v>0</v>
      </c>
      <c r="H111" s="1308">
        <f>H90</f>
        <v>0</v>
      </c>
      <c r="I111" s="1308">
        <f>I90</f>
        <v>0</v>
      </c>
      <c r="J111" s="1310"/>
    </row>
    <row r="112" spans="2:10" ht="13">
      <c r="B112" s="1329" t="s">
        <v>948</v>
      </c>
      <c r="C112" s="1307"/>
      <c r="D112" s="1307"/>
      <c r="E112" s="1308">
        <f>E110+E111</f>
        <v>198485231.91203931</v>
      </c>
      <c r="F112" s="1308">
        <f>F110+F111</f>
        <v>49031439.668333538</v>
      </c>
      <c r="G112" s="1308">
        <f>G110+G111</f>
        <v>0</v>
      </c>
      <c r="H112" s="1308">
        <f>H110+H111</f>
        <v>140646854.60059533</v>
      </c>
      <c r="I112" s="1308">
        <f>I110+I111</f>
        <v>8806937.6431104504</v>
      </c>
      <c r="J112" s="1310"/>
    </row>
    <row r="113" spans="2:11" ht="13">
      <c r="B113" s="1312"/>
      <c r="E113" s="1282"/>
      <c r="F113" s="1282"/>
      <c r="G113" s="1282"/>
      <c r="H113" s="1282"/>
      <c r="I113" s="1282"/>
      <c r="J113" s="1313"/>
    </row>
    <row r="114" spans="2:11" ht="13">
      <c r="B114" s="1312"/>
      <c r="E114" s="1282"/>
      <c r="F114" s="1282"/>
      <c r="G114" s="1282"/>
      <c r="H114" s="1282"/>
      <c r="I114" s="1282"/>
      <c r="J114" s="1313"/>
    </row>
    <row r="115" spans="2:11" s="350" customFormat="1" ht="12.75" customHeight="1">
      <c r="B115" s="1330" t="s">
        <v>271</v>
      </c>
      <c r="C115" s="1330"/>
      <c r="E115" s="1331"/>
      <c r="G115" s="1331"/>
      <c r="H115" s="1332"/>
      <c r="I115" s="1333"/>
      <c r="J115" s="1334"/>
    </row>
    <row r="116" spans="2:11" s="350" customFormat="1" ht="15.75" customHeight="1">
      <c r="B116" s="1836" t="s">
        <v>1348</v>
      </c>
      <c r="C116" s="1836"/>
      <c r="D116" s="1836"/>
      <c r="E116" s="1836"/>
      <c r="F116" s="1836"/>
      <c r="G116" s="1836"/>
      <c r="H116" s="1836"/>
      <c r="I116" s="1836"/>
      <c r="J116" s="1335"/>
    </row>
    <row r="117" spans="2:11" s="350" customFormat="1" ht="13">
      <c r="B117" s="1336" t="s">
        <v>272</v>
      </c>
      <c r="C117" s="1336"/>
      <c r="H117" s="1333"/>
      <c r="I117" s="1333"/>
      <c r="J117" s="1334"/>
    </row>
    <row r="118" spans="2:11" s="350" customFormat="1" ht="13">
      <c r="B118" s="1336" t="s">
        <v>273</v>
      </c>
      <c r="C118" s="1336"/>
      <c r="H118" s="1333"/>
      <c r="I118" s="1333"/>
      <c r="J118" s="1335"/>
    </row>
    <row r="119" spans="2:11" s="350" customFormat="1" ht="13">
      <c r="B119" s="1336" t="s">
        <v>274</v>
      </c>
      <c r="C119" s="1336"/>
      <c r="H119" s="1333"/>
      <c r="I119" s="1333"/>
      <c r="J119" s="1334"/>
    </row>
    <row r="120" spans="2:11" s="350" customFormat="1" ht="15.75" customHeight="1">
      <c r="B120" s="1836" t="s">
        <v>949</v>
      </c>
      <c r="C120" s="1836"/>
      <c r="D120" s="1836"/>
      <c r="E120" s="1836"/>
      <c r="F120" s="1836"/>
      <c r="G120" s="1836"/>
      <c r="H120" s="1836"/>
      <c r="I120" s="1836"/>
      <c r="K120" s="1337"/>
    </row>
    <row r="121" spans="2:11" s="350" customFormat="1" ht="15.75" customHeight="1">
      <c r="B121" s="1836"/>
      <c r="C121" s="1836"/>
      <c r="D121" s="1836"/>
      <c r="E121" s="1836"/>
      <c r="F121" s="1836"/>
      <c r="G121" s="1836"/>
      <c r="H121" s="1836"/>
      <c r="I121" s="1836"/>
      <c r="K121" s="1337"/>
    </row>
    <row r="122" spans="2:11" s="350" customFormat="1" ht="13">
      <c r="B122" s="1336" t="s">
        <v>950</v>
      </c>
      <c r="C122" s="1336"/>
      <c r="H122" s="1333"/>
      <c r="I122" s="1333"/>
      <c r="J122" s="1334"/>
    </row>
    <row r="123" spans="2:11" ht="13">
      <c r="C123" s="1312"/>
      <c r="E123" s="1284"/>
      <c r="F123" s="1284"/>
      <c r="H123" s="1338"/>
      <c r="I123" s="1339"/>
      <c r="J123" s="1313"/>
    </row>
    <row r="124" spans="2:11" ht="13">
      <c r="B124" s="1312"/>
      <c r="C124" s="1340"/>
    </row>
    <row r="125" spans="2:11" ht="13">
      <c r="B125" s="1275" t="s">
        <v>175</v>
      </c>
      <c r="C125" s="1275"/>
      <c r="D125" s="1275"/>
      <c r="E125" s="1275" t="s">
        <v>176</v>
      </c>
      <c r="F125" s="1275" t="s">
        <v>1152</v>
      </c>
      <c r="G125" s="1275" t="s">
        <v>1304</v>
      </c>
      <c r="H125" s="1275" t="s">
        <v>1305</v>
      </c>
      <c r="I125" s="1275" t="s">
        <v>1306</v>
      </c>
      <c r="J125" s="1275" t="s">
        <v>1307</v>
      </c>
    </row>
    <row r="126" spans="2:11" ht="13">
      <c r="B126" s="1283"/>
      <c r="C126" s="350"/>
      <c r="D126" s="350"/>
      <c r="E126" s="1275"/>
      <c r="F126" s="1275" t="s">
        <v>1338</v>
      </c>
      <c r="G126" s="1275" t="s">
        <v>260</v>
      </c>
      <c r="H126" s="1275"/>
      <c r="I126" s="1275"/>
      <c r="J126" s="350"/>
    </row>
    <row r="127" spans="2:11" ht="13">
      <c r="B127" s="1283"/>
      <c r="C127" s="1291"/>
      <c r="D127" s="350"/>
      <c r="E127" s="1275"/>
      <c r="F127" s="1275" t="s">
        <v>1339</v>
      </c>
      <c r="G127" s="1275" t="s">
        <v>229</v>
      </c>
      <c r="H127" s="1275" t="s">
        <v>261</v>
      </c>
      <c r="I127" s="1275" t="s">
        <v>262</v>
      </c>
      <c r="J127" s="350"/>
    </row>
    <row r="128" spans="2:11" ht="13">
      <c r="B128" s="1283" t="s">
        <v>951</v>
      </c>
      <c r="C128" s="350"/>
      <c r="D128" s="350"/>
      <c r="E128" s="1275" t="s">
        <v>44</v>
      </c>
      <c r="F128" s="1278" t="s">
        <v>1340</v>
      </c>
      <c r="G128" s="1275" t="s">
        <v>263</v>
      </c>
      <c r="H128" s="1275" t="s">
        <v>263</v>
      </c>
      <c r="I128" s="1275" t="s">
        <v>263</v>
      </c>
      <c r="J128" s="1275" t="s">
        <v>267</v>
      </c>
    </row>
    <row r="129" spans="2:10">
      <c r="B129" s="1696" t="s">
        <v>1536</v>
      </c>
      <c r="C129" s="1425"/>
      <c r="D129" s="1426"/>
      <c r="E129" s="1423">
        <f>SUM(F129:I129)</f>
        <v>-496730699.44339979</v>
      </c>
      <c r="F129" s="1423">
        <v>-81134367.408105314</v>
      </c>
      <c r="G129" s="1423">
        <v>0</v>
      </c>
      <c r="H129" s="1423">
        <v>-415596332.03529447</v>
      </c>
      <c r="I129" s="1423">
        <v>0</v>
      </c>
      <c r="J129" s="1450" t="s">
        <v>1553</v>
      </c>
    </row>
    <row r="130" spans="2:10">
      <c r="B130" s="1696" t="s">
        <v>27</v>
      </c>
      <c r="C130" s="1427"/>
      <c r="D130" s="1428"/>
      <c r="E130" s="1423">
        <f>SUM(F130:I130)</f>
        <v>20059725.9306008</v>
      </c>
      <c r="F130" s="1423">
        <v>20059725.9306008</v>
      </c>
      <c r="G130" s="1423">
        <v>0</v>
      </c>
      <c r="H130" s="1423">
        <v>0</v>
      </c>
      <c r="I130" s="1423">
        <v>0</v>
      </c>
      <c r="J130" s="1450" t="s">
        <v>1554</v>
      </c>
    </row>
    <row r="131" spans="2:10" ht="37.5">
      <c r="B131" s="1696" t="s">
        <v>1537</v>
      </c>
      <c r="C131" s="1425"/>
      <c r="D131" s="1428"/>
      <c r="E131" s="1423">
        <f>SUM(F131:I131)</f>
        <v>-11046977.967331998</v>
      </c>
      <c r="F131" s="1423">
        <v>-1958047.5495167002</v>
      </c>
      <c r="G131" s="1423">
        <v>-5421582.196250136</v>
      </c>
      <c r="H131" s="1423">
        <v>-3667348.2215651614</v>
      </c>
      <c r="I131" s="1423">
        <v>0</v>
      </c>
      <c r="J131" s="1450" t="s">
        <v>1555</v>
      </c>
    </row>
    <row r="132" spans="2:10" ht="25">
      <c r="B132" s="1696" t="s">
        <v>1538</v>
      </c>
      <c r="C132" s="1425"/>
      <c r="D132" s="1428"/>
      <c r="E132" s="1423">
        <f>SUM(F132:I132)</f>
        <v>-6972289.6193488017</v>
      </c>
      <c r="F132" s="1423">
        <v>-697228.96193488024</v>
      </c>
      <c r="G132" s="1423">
        <v>0</v>
      </c>
      <c r="H132" s="1423">
        <v>-6275060.6574139213</v>
      </c>
      <c r="I132" s="1423">
        <v>0</v>
      </c>
      <c r="J132" s="1700" t="s">
        <v>1556</v>
      </c>
    </row>
    <row r="133" spans="2:10" ht="25">
      <c r="B133" s="1696" t="s">
        <v>1539</v>
      </c>
      <c r="C133" s="1425"/>
      <c r="D133" s="1428"/>
      <c r="E133" s="1423"/>
      <c r="F133" s="1423">
        <v>19576600.5723993</v>
      </c>
      <c r="G133" s="1423">
        <v>0</v>
      </c>
      <c r="H133" s="1423">
        <v>0</v>
      </c>
      <c r="I133" s="1423"/>
      <c r="J133" s="1700" t="s">
        <v>1557</v>
      </c>
    </row>
    <row r="134" spans="2:10" ht="13">
      <c r="B134" s="1300" t="s">
        <v>952</v>
      </c>
      <c r="C134" s="1297"/>
      <c r="D134" s="1297"/>
      <c r="E134" s="1298">
        <f>SUM(E129:E133)</f>
        <v>-494690241.09947979</v>
      </c>
      <c r="F134" s="1298">
        <f>SUM(F129:F133)</f>
        <v>-44153317.41655679</v>
      </c>
      <c r="G134" s="1298">
        <f>SUM(G129:G133)</f>
        <v>-5421582.196250136</v>
      </c>
      <c r="H134" s="1298">
        <f>SUM(H129:H133)</f>
        <v>-425538740.91427356</v>
      </c>
      <c r="I134" s="1298">
        <f>SUM(I129:I133)</f>
        <v>0</v>
      </c>
      <c r="J134" s="1299"/>
    </row>
    <row r="135" spans="2:10" ht="13">
      <c r="B135" s="1300"/>
      <c r="C135" s="1297"/>
      <c r="D135" s="1297"/>
      <c r="E135" s="1298"/>
      <c r="F135" s="1298"/>
      <c r="G135" s="1298"/>
      <c r="H135" s="1298"/>
      <c r="I135" s="1298"/>
      <c r="J135" s="1299"/>
    </row>
    <row r="136" spans="2:10">
      <c r="B136" s="1699" t="s">
        <v>1344</v>
      </c>
      <c r="C136" s="1320"/>
      <c r="D136" s="1321"/>
      <c r="E136" s="1293">
        <f>SUM(F136:I136)</f>
        <v>-19576600.5723993</v>
      </c>
      <c r="F136" s="1293">
        <f>-F133</f>
        <v>-19576600.5723993</v>
      </c>
      <c r="G136" s="1293">
        <f>-G133</f>
        <v>0</v>
      </c>
      <c r="H136" s="1293">
        <f>-H133</f>
        <v>0</v>
      </c>
      <c r="I136" s="1293">
        <f>-I133</f>
        <v>0</v>
      </c>
      <c r="J136" s="1304"/>
    </row>
    <row r="137" spans="2:10">
      <c r="B137" s="1699" t="s">
        <v>1558</v>
      </c>
      <c r="C137" s="1302"/>
      <c r="D137" s="1321"/>
      <c r="E137" s="1293">
        <f>SUM(F137:I137)</f>
        <v>11046977.967331998</v>
      </c>
      <c r="F137" s="1293">
        <f t="shared" ref="F137:I138" si="1">-F131</f>
        <v>1958047.5495167002</v>
      </c>
      <c r="G137" s="1293">
        <f t="shared" si="1"/>
        <v>5421582.196250136</v>
      </c>
      <c r="H137" s="1293">
        <f t="shared" si="1"/>
        <v>3667348.2215651614</v>
      </c>
      <c r="I137" s="1293">
        <f t="shared" si="1"/>
        <v>0</v>
      </c>
      <c r="J137" s="1304"/>
    </row>
    <row r="138" spans="2:10">
      <c r="B138" s="1699" t="s">
        <v>1346</v>
      </c>
      <c r="C138" s="1302"/>
      <c r="D138" s="1321"/>
      <c r="E138" s="1293">
        <f>SUM(F138:I138)</f>
        <v>6972289.6193488017</v>
      </c>
      <c r="F138" s="1293">
        <f t="shared" si="1"/>
        <v>697228.96193488024</v>
      </c>
      <c r="G138" s="1293">
        <f t="shared" si="1"/>
        <v>0</v>
      </c>
      <c r="H138" s="1293">
        <f t="shared" si="1"/>
        <v>6275060.6574139213</v>
      </c>
      <c r="I138" s="1293">
        <f t="shared" si="1"/>
        <v>0</v>
      </c>
      <c r="J138" s="1304"/>
    </row>
    <row r="139" spans="2:10">
      <c r="B139" s="1698" t="s">
        <v>1016</v>
      </c>
      <c r="C139" s="1302"/>
      <c r="D139" s="1321"/>
      <c r="E139" s="1293">
        <f>SUM(F139:I139)</f>
        <v>0</v>
      </c>
      <c r="F139" s="1293"/>
      <c r="G139" s="1293"/>
      <c r="H139" s="1293"/>
      <c r="I139" s="1293"/>
      <c r="J139" s="1304"/>
    </row>
    <row r="140" spans="2:10" ht="5.15" customHeight="1">
      <c r="B140" s="1295"/>
      <c r="C140" s="1296"/>
      <c r="D140" s="1297"/>
      <c r="E140" s="1298"/>
      <c r="F140" s="1298"/>
      <c r="G140" s="1298"/>
      <c r="H140" s="1298"/>
      <c r="I140" s="1298"/>
      <c r="J140" s="1299"/>
    </row>
    <row r="141" spans="2:10" ht="13">
      <c r="B141" s="1322" t="s">
        <v>953</v>
      </c>
      <c r="C141" s="1323"/>
      <c r="D141" s="1297"/>
      <c r="E141" s="1298">
        <f>SUM(E136:E139)+E134</f>
        <v>-496247574.08519828</v>
      </c>
      <c r="F141" s="1298">
        <f>SUM(F136:F139)+F134</f>
        <v>-61074641.477504507</v>
      </c>
      <c r="G141" s="1298">
        <f>SUM(G136:G139)+G134</f>
        <v>0</v>
      </c>
      <c r="H141" s="1298">
        <f>SUM(H136:H139)+H134</f>
        <v>-415596332.03529447</v>
      </c>
      <c r="I141" s="1298">
        <f>SUM(I136:I139)+I134</f>
        <v>0</v>
      </c>
      <c r="J141" s="1299"/>
    </row>
    <row r="142" spans="2:10" ht="13">
      <c r="B142" s="1324"/>
      <c r="C142" s="1325"/>
      <c r="D142" s="1325"/>
      <c r="E142" s="1308"/>
      <c r="F142" s="1298"/>
      <c r="G142" s="1298"/>
      <c r="H142" s="1298"/>
      <c r="I142" s="1298"/>
      <c r="J142" s="1310"/>
    </row>
    <row r="143" spans="2:10" ht="13">
      <c r="B143" s="1326" t="s">
        <v>266</v>
      </c>
      <c r="C143" s="1327"/>
      <c r="D143" s="1307"/>
      <c r="E143" s="1308"/>
      <c r="F143" s="1308"/>
      <c r="G143" s="1308"/>
      <c r="H143" s="1308"/>
      <c r="I143" s="1309">
        <f>I99</f>
        <v>0.13016492184368511</v>
      </c>
      <c r="J143" s="1310"/>
    </row>
    <row r="144" spans="2:10" ht="13">
      <c r="B144" s="1305" t="s">
        <v>238</v>
      </c>
      <c r="C144" s="1306"/>
      <c r="D144" s="1307"/>
      <c r="E144" s="1308"/>
      <c r="F144" s="1308"/>
      <c r="G144" s="1308"/>
      <c r="H144" s="1309">
        <f>H100</f>
        <v>0.38601497499010745</v>
      </c>
      <c r="I144" s="1308"/>
      <c r="J144" s="1310"/>
    </row>
    <row r="145" spans="2:10" ht="13">
      <c r="B145" s="1305" t="s">
        <v>942</v>
      </c>
      <c r="C145" s="1306"/>
      <c r="D145" s="1307"/>
      <c r="E145" s="1308"/>
      <c r="F145" s="1308"/>
      <c r="G145" s="1309">
        <v>1</v>
      </c>
      <c r="H145" s="1308"/>
      <c r="I145" s="1308"/>
      <c r="J145" s="1310"/>
    </row>
    <row r="146" spans="2:10" ht="13">
      <c r="B146" s="1305" t="s">
        <v>943</v>
      </c>
      <c r="C146" s="1306"/>
      <c r="D146" s="1307"/>
      <c r="E146" s="1308"/>
      <c r="F146" s="1309">
        <v>0</v>
      </c>
      <c r="G146" s="1308"/>
      <c r="H146" s="1308"/>
      <c r="I146" s="1308"/>
      <c r="J146" s="1310"/>
    </row>
    <row r="147" spans="2:10" ht="13">
      <c r="B147" s="1311" t="s">
        <v>944</v>
      </c>
      <c r="C147" s="1306"/>
      <c r="D147" s="1307"/>
      <c r="E147" s="1308">
        <f>F147+G147+H147+I147</f>
        <v>-160426407.71658459</v>
      </c>
      <c r="F147" s="1308">
        <f>F146*F141</f>
        <v>0</v>
      </c>
      <c r="G147" s="1308">
        <f>G141*G145</f>
        <v>0</v>
      </c>
      <c r="H147" s="1308">
        <f>H141*H144</f>
        <v>-160426407.71658459</v>
      </c>
      <c r="I147" s="1308">
        <f>I143*I141</f>
        <v>0</v>
      </c>
      <c r="J147" s="1310"/>
    </row>
    <row r="148" spans="2:10" ht="17.25" customHeight="1">
      <c r="B148" s="1291"/>
      <c r="C148" s="1291"/>
      <c r="E148" s="1282"/>
      <c r="F148" s="1282"/>
      <c r="G148" s="1282"/>
      <c r="H148" s="1282"/>
      <c r="I148" s="1282"/>
      <c r="J148" s="1313"/>
    </row>
    <row r="149" spans="2:10" ht="13">
      <c r="B149" s="1312"/>
      <c r="E149" s="1282"/>
      <c r="F149" s="1282"/>
      <c r="G149" s="1282"/>
      <c r="H149" s="1282"/>
      <c r="I149" s="1282"/>
      <c r="J149" s="1313"/>
    </row>
    <row r="150" spans="2:10" ht="13">
      <c r="B150" s="1275" t="s">
        <v>175</v>
      </c>
      <c r="C150" s="1275"/>
      <c r="D150" s="1275"/>
      <c r="E150" s="1275" t="s">
        <v>176</v>
      </c>
      <c r="F150" s="1275" t="s">
        <v>1152</v>
      </c>
      <c r="G150" s="1275" t="s">
        <v>1304</v>
      </c>
      <c r="H150" s="1275" t="s">
        <v>1305</v>
      </c>
      <c r="I150" s="1275" t="s">
        <v>1306</v>
      </c>
      <c r="J150" s="1275" t="s">
        <v>1307</v>
      </c>
    </row>
    <row r="151" spans="2:10" ht="13">
      <c r="B151" s="1283"/>
      <c r="C151" s="350"/>
      <c r="D151" s="350"/>
      <c r="E151" s="1275"/>
      <c r="F151" s="1275" t="s">
        <v>1338</v>
      </c>
      <c r="G151" s="1275" t="s">
        <v>260</v>
      </c>
      <c r="H151" s="1275"/>
      <c r="I151" s="1275"/>
      <c r="J151" s="350"/>
    </row>
    <row r="152" spans="2:10" ht="13">
      <c r="B152" s="1283"/>
      <c r="C152" s="350"/>
      <c r="D152" s="350"/>
      <c r="E152" s="1275"/>
      <c r="F152" s="1275" t="s">
        <v>1339</v>
      </c>
      <c r="G152" s="1275" t="s">
        <v>229</v>
      </c>
      <c r="H152" s="1275" t="s">
        <v>261</v>
      </c>
      <c r="I152" s="1275" t="s">
        <v>262</v>
      </c>
      <c r="J152" s="350"/>
    </row>
    <row r="153" spans="2:10" ht="13">
      <c r="B153" s="1283" t="s">
        <v>954</v>
      </c>
      <c r="C153" s="350"/>
      <c r="D153" s="350"/>
      <c r="E153" s="1275" t="s">
        <v>44</v>
      </c>
      <c r="F153" s="1278" t="s">
        <v>1340</v>
      </c>
      <c r="G153" s="1275" t="s">
        <v>263</v>
      </c>
      <c r="H153" s="1275" t="s">
        <v>263</v>
      </c>
      <c r="I153" s="1275" t="s">
        <v>263</v>
      </c>
      <c r="J153" s="1275" t="s">
        <v>267</v>
      </c>
    </row>
    <row r="154" spans="2:10">
      <c r="B154" s="1424" t="s">
        <v>1536</v>
      </c>
      <c r="C154" s="1314"/>
      <c r="D154" s="1316"/>
      <c r="E154" s="1293">
        <f>F154+G154+H154+I154</f>
        <v>-331903996.88669997</v>
      </c>
      <c r="F154" s="1293">
        <v>0</v>
      </c>
      <c r="G154" s="1293">
        <v>0</v>
      </c>
      <c r="H154" s="1293">
        <v>-331903996.88669997</v>
      </c>
      <c r="I154" s="1293">
        <v>0</v>
      </c>
      <c r="J154" s="1450" t="s">
        <v>1553</v>
      </c>
    </row>
    <row r="155" spans="2:10">
      <c r="B155" s="1341"/>
      <c r="C155" s="1314"/>
      <c r="D155" s="1316"/>
      <c r="E155" s="1293"/>
      <c r="F155" s="1293"/>
      <c r="G155" s="1293"/>
      <c r="H155" s="1293"/>
      <c r="I155" s="1293"/>
      <c r="J155" s="1294"/>
    </row>
    <row r="156" spans="2:10">
      <c r="B156" s="1341"/>
      <c r="C156" s="1314"/>
      <c r="D156" s="1316"/>
      <c r="E156" s="1293"/>
      <c r="F156" s="1293"/>
      <c r="G156" s="1293"/>
      <c r="H156" s="1293"/>
      <c r="I156" s="1293"/>
      <c r="J156" s="1294"/>
    </row>
    <row r="157" spans="2:10">
      <c r="B157" s="1341"/>
      <c r="C157" s="1314"/>
      <c r="D157" s="1316"/>
      <c r="E157" s="1293"/>
      <c r="F157" s="1293"/>
      <c r="G157" s="1293"/>
      <c r="H157" s="1293"/>
      <c r="I157" s="1293"/>
      <c r="J157" s="1294"/>
    </row>
    <row r="158" spans="2:10">
      <c r="B158" s="1341"/>
      <c r="C158" s="1314"/>
      <c r="D158" s="1316"/>
      <c r="E158" s="1293"/>
      <c r="F158" s="1293"/>
      <c r="G158" s="1293"/>
      <c r="H158" s="1293"/>
      <c r="I158" s="1293"/>
      <c r="J158" s="1294"/>
    </row>
    <row r="159" spans="2:10">
      <c r="B159" s="1341"/>
      <c r="C159" s="1314"/>
      <c r="D159" s="1316"/>
      <c r="E159" s="1293"/>
      <c r="F159" s="1293"/>
      <c r="G159" s="1293"/>
      <c r="H159" s="1293"/>
      <c r="I159" s="1293"/>
      <c r="J159" s="1294"/>
    </row>
    <row r="160" spans="2:10">
      <c r="B160" s="1341"/>
      <c r="C160" s="1314"/>
      <c r="D160" s="1315"/>
      <c r="E160" s="1317"/>
      <c r="F160" s="1317"/>
      <c r="G160" s="1317"/>
      <c r="H160" s="1317"/>
      <c r="I160" s="1317"/>
      <c r="J160" s="1318"/>
    </row>
    <row r="161" spans="2:10" ht="13">
      <c r="B161" s="1300" t="s">
        <v>955</v>
      </c>
      <c r="C161" s="1297"/>
      <c r="D161" s="1297"/>
      <c r="E161" s="1298">
        <f>SUM(E154:E160)</f>
        <v>-331903996.88669997</v>
      </c>
      <c r="F161" s="1298">
        <f>SUM(F154:F160)</f>
        <v>0</v>
      </c>
      <c r="G161" s="1298">
        <f>SUM(G154:G160)</f>
        <v>0</v>
      </c>
      <c r="H161" s="1298">
        <f>SUM(H154:H160)</f>
        <v>-331903996.88669997</v>
      </c>
      <c r="I161" s="1298">
        <f>SUM(I154:I160)</f>
        <v>0</v>
      </c>
      <c r="J161" s="1299"/>
    </row>
    <row r="162" spans="2:10" ht="13">
      <c r="B162" s="1300"/>
      <c r="C162" s="1297"/>
      <c r="D162" s="1297"/>
      <c r="E162" s="1298"/>
      <c r="F162" s="1298"/>
      <c r="G162" s="1298"/>
      <c r="H162" s="1298"/>
      <c r="I162" s="1298"/>
      <c r="J162" s="1299"/>
    </row>
    <row r="163" spans="2:10">
      <c r="B163" s="1319" t="s">
        <v>1344</v>
      </c>
      <c r="C163" s="1320"/>
      <c r="D163" s="1321"/>
      <c r="E163" s="1303"/>
      <c r="F163" s="1293"/>
      <c r="G163" s="1293"/>
      <c r="H163" s="1293"/>
      <c r="I163" s="1293"/>
      <c r="J163" s="1304"/>
    </row>
    <row r="164" spans="2:10">
      <c r="B164" s="1301" t="s">
        <v>1345</v>
      </c>
      <c r="C164" s="1302"/>
      <c r="D164" s="1321"/>
      <c r="E164" s="1303"/>
      <c r="F164" s="1293"/>
      <c r="G164" s="1293"/>
      <c r="H164" s="1293"/>
      <c r="I164" s="1293"/>
      <c r="J164" s="1304"/>
    </row>
    <row r="165" spans="2:10">
      <c r="B165" s="1301" t="s">
        <v>1346</v>
      </c>
      <c r="C165" s="1302"/>
      <c r="D165" s="1321"/>
      <c r="E165" s="1303"/>
      <c r="F165" s="1293"/>
      <c r="G165" s="1293"/>
      <c r="H165" s="1293"/>
      <c r="I165" s="1293"/>
      <c r="J165" s="1304"/>
    </row>
    <row r="166" spans="2:10">
      <c r="B166" s="1301" t="s">
        <v>1016</v>
      </c>
      <c r="C166" s="1302"/>
      <c r="D166" s="1321"/>
      <c r="E166" s="1303"/>
      <c r="F166" s="1293"/>
      <c r="G166" s="1293"/>
      <c r="H166" s="1293"/>
      <c r="I166" s="1293"/>
      <c r="J166" s="1304"/>
    </row>
    <row r="167" spans="2:10" ht="5.15" customHeight="1">
      <c r="B167" s="1295"/>
      <c r="C167" s="1296"/>
      <c r="D167" s="1297"/>
      <c r="E167" s="1298"/>
      <c r="F167" s="1298"/>
      <c r="G167" s="1298"/>
      <c r="H167" s="1298"/>
      <c r="I167" s="1298"/>
      <c r="J167" s="1299"/>
    </row>
    <row r="168" spans="2:10" ht="13">
      <c r="B168" s="1322" t="s">
        <v>953</v>
      </c>
      <c r="C168" s="1323"/>
      <c r="D168" s="1297"/>
      <c r="E168" s="1298">
        <f>SUM(E163:E166)+E161</f>
        <v>-331903996.88669997</v>
      </c>
      <c r="F168" s="1298">
        <f>SUM(F163:F166)+F161</f>
        <v>0</v>
      </c>
      <c r="G168" s="1298">
        <f>SUM(G163:G166)+G161</f>
        <v>0</v>
      </c>
      <c r="H168" s="1298">
        <f>SUM(H163:H166)+H161</f>
        <v>-331903996.88669997</v>
      </c>
      <c r="I168" s="1298">
        <f>SUM(I163:I166)+I161</f>
        <v>0</v>
      </c>
      <c r="J168" s="1299"/>
    </row>
    <row r="169" spans="2:10" ht="13">
      <c r="B169" s="1324"/>
      <c r="C169" s="1325"/>
      <c r="D169" s="1325"/>
      <c r="E169" s="1308"/>
      <c r="F169" s="1298"/>
      <c r="G169" s="1298"/>
      <c r="H169" s="1298"/>
      <c r="I169" s="1298"/>
      <c r="J169" s="1310"/>
    </row>
    <row r="170" spans="2:10" ht="13">
      <c r="B170" s="1326" t="s">
        <v>266</v>
      </c>
      <c r="C170" s="1327"/>
      <c r="D170" s="1307"/>
      <c r="E170" s="1308"/>
      <c r="F170" s="1308"/>
      <c r="G170" s="1308"/>
      <c r="H170" s="1308"/>
      <c r="I170" s="1309">
        <f>I143</f>
        <v>0.13016492184368511</v>
      </c>
      <c r="J170" s="1310"/>
    </row>
    <row r="171" spans="2:10" ht="13">
      <c r="B171" s="1305" t="s">
        <v>238</v>
      </c>
      <c r="C171" s="1306"/>
      <c r="D171" s="1307"/>
      <c r="E171" s="1308"/>
      <c r="F171" s="1308"/>
      <c r="G171" s="1308"/>
      <c r="H171" s="1309">
        <f>H144</f>
        <v>0.38601497499010745</v>
      </c>
      <c r="I171" s="1308"/>
      <c r="J171" s="1310"/>
    </row>
    <row r="172" spans="2:10" ht="13">
      <c r="B172" s="1305" t="s">
        <v>942</v>
      </c>
      <c r="C172" s="1306"/>
      <c r="D172" s="1307"/>
      <c r="E172" s="1308"/>
      <c r="F172" s="1308"/>
      <c r="G172" s="1309">
        <v>1</v>
      </c>
      <c r="H172" s="1308"/>
      <c r="I172" s="1308"/>
      <c r="J172" s="1310"/>
    </row>
    <row r="173" spans="2:10" ht="13">
      <c r="B173" s="1305" t="s">
        <v>943</v>
      </c>
      <c r="C173" s="1306"/>
      <c r="D173" s="1307"/>
      <c r="E173" s="1308"/>
      <c r="F173" s="1309">
        <v>0</v>
      </c>
      <c r="G173" s="1308"/>
      <c r="H173" s="1308"/>
      <c r="I173" s="1308"/>
      <c r="J173" s="1310"/>
    </row>
    <row r="174" spans="2:10" ht="13">
      <c r="B174" s="1311" t="s">
        <v>944</v>
      </c>
      <c r="C174" s="1306"/>
      <c r="D174" s="1307"/>
      <c r="E174" s="1308">
        <f>F174+G174+H174+I174</f>
        <v>-128119913.0573362</v>
      </c>
      <c r="F174" s="1308">
        <f>F173*F168</f>
        <v>0</v>
      </c>
      <c r="G174" s="1308">
        <f>G168*G172</f>
        <v>0</v>
      </c>
      <c r="H174" s="1308">
        <f>H168*H171</f>
        <v>-128119913.0573362</v>
      </c>
      <c r="I174" s="1308">
        <f>I170*I168</f>
        <v>0</v>
      </c>
      <c r="J174" s="1310"/>
    </row>
    <row r="175" spans="2:10" ht="13">
      <c r="B175" s="1312"/>
      <c r="E175" s="1282"/>
      <c r="F175" s="1282"/>
      <c r="G175" s="1282"/>
      <c r="H175" s="1282"/>
      <c r="I175" s="1282">
        <f>H175/H171</f>
        <v>0</v>
      </c>
      <c r="J175" s="1313"/>
    </row>
    <row r="176" spans="2:10" ht="13">
      <c r="B176" s="1312"/>
      <c r="E176" s="1282"/>
      <c r="F176" s="1282"/>
      <c r="G176" s="1282"/>
      <c r="H176" s="1282"/>
      <c r="I176" s="1282"/>
      <c r="J176" s="1313"/>
    </row>
    <row r="177" spans="2:11" ht="13">
      <c r="B177" s="1275" t="s">
        <v>175</v>
      </c>
      <c r="C177" s="1275"/>
      <c r="D177" s="1275"/>
      <c r="E177" s="1275" t="s">
        <v>176</v>
      </c>
      <c r="F177" s="1275" t="s">
        <v>1152</v>
      </c>
      <c r="G177" s="1275" t="s">
        <v>1304</v>
      </c>
      <c r="H177" s="1275" t="s">
        <v>1305</v>
      </c>
      <c r="I177" s="1275" t="s">
        <v>1306</v>
      </c>
      <c r="J177" s="1275" t="s">
        <v>1307</v>
      </c>
    </row>
    <row r="178" spans="2:11" ht="13">
      <c r="B178" s="1283"/>
      <c r="C178" s="350"/>
      <c r="D178" s="350"/>
      <c r="E178" s="1275"/>
      <c r="F178" s="1275" t="s">
        <v>1338</v>
      </c>
      <c r="G178" s="1275" t="s">
        <v>260</v>
      </c>
      <c r="H178" s="1275"/>
      <c r="I178" s="1275"/>
      <c r="J178" s="350"/>
    </row>
    <row r="179" spans="2:11" ht="13">
      <c r="B179" s="1283"/>
      <c r="C179" s="350"/>
      <c r="D179" s="350"/>
      <c r="E179" s="1275"/>
      <c r="F179" s="1275" t="s">
        <v>1339</v>
      </c>
      <c r="G179" s="1275" t="s">
        <v>229</v>
      </c>
      <c r="H179" s="1275" t="s">
        <v>261</v>
      </c>
      <c r="I179" s="1275" t="s">
        <v>262</v>
      </c>
      <c r="J179" s="350"/>
    </row>
    <row r="180" spans="2:11" ht="13">
      <c r="B180" s="1283" t="s">
        <v>956</v>
      </c>
      <c r="C180" s="350"/>
      <c r="D180" s="350"/>
      <c r="E180" s="1275" t="s">
        <v>44</v>
      </c>
      <c r="F180" s="1278" t="s">
        <v>1340</v>
      </c>
      <c r="G180" s="1275" t="s">
        <v>263</v>
      </c>
      <c r="H180" s="1275" t="s">
        <v>263</v>
      </c>
      <c r="I180" s="1275" t="s">
        <v>263</v>
      </c>
      <c r="J180" s="1275" t="s">
        <v>267</v>
      </c>
    </row>
    <row r="181" spans="2:11">
      <c r="B181" s="1307" t="s">
        <v>957</v>
      </c>
      <c r="C181" s="1307"/>
      <c r="D181" s="1307"/>
      <c r="E181" s="1298">
        <f>SUM(F181:I181)</f>
        <v>-475113640.52708048</v>
      </c>
      <c r="F181" s="1308">
        <f>F134</f>
        <v>-44153317.41655679</v>
      </c>
      <c r="G181" s="1308">
        <f>G134</f>
        <v>-5421582.196250136</v>
      </c>
      <c r="H181" s="1308">
        <f>H134</f>
        <v>-425538740.91427356</v>
      </c>
      <c r="I181" s="1308">
        <f>I134</f>
        <v>0</v>
      </c>
      <c r="J181" s="1310"/>
    </row>
    <row r="182" spans="2:11">
      <c r="B182" s="1307" t="s">
        <v>954</v>
      </c>
      <c r="C182" s="1307"/>
      <c r="D182" s="1307"/>
      <c r="E182" s="1298">
        <f>SUM(F182:I182)</f>
        <v>-331903996.88669997</v>
      </c>
      <c r="F182" s="1308">
        <f>F161</f>
        <v>0</v>
      </c>
      <c r="G182" s="1308">
        <f>G161</f>
        <v>0</v>
      </c>
      <c r="H182" s="1308">
        <f>H161</f>
        <v>-331903996.88669997</v>
      </c>
      <c r="I182" s="1308">
        <f>I161</f>
        <v>0</v>
      </c>
      <c r="J182" s="1310"/>
    </row>
    <row r="183" spans="2:11" ht="13">
      <c r="B183" s="1300" t="s">
        <v>958</v>
      </c>
      <c r="C183" s="1307"/>
      <c r="D183" s="1307"/>
      <c r="E183" s="1308">
        <f>E181+E182</f>
        <v>-807017637.41378045</v>
      </c>
      <c r="F183" s="1308">
        <f>F181+F182</f>
        <v>-44153317.41655679</v>
      </c>
      <c r="G183" s="1308">
        <f>G181+G182</f>
        <v>-5421582.196250136</v>
      </c>
      <c r="H183" s="1308">
        <f>H181+H182</f>
        <v>-757442737.80097353</v>
      </c>
      <c r="I183" s="1308">
        <f>I181+I182</f>
        <v>0</v>
      </c>
      <c r="J183" s="1310"/>
    </row>
    <row r="184" spans="2:11" ht="13">
      <c r="B184" s="1312"/>
      <c r="E184" s="1282"/>
      <c r="F184" s="1282"/>
      <c r="G184" s="1282"/>
      <c r="H184" s="1282"/>
      <c r="I184" s="1282"/>
      <c r="J184" s="1313"/>
    </row>
    <row r="185" spans="2:11" s="350" customFormat="1" ht="13">
      <c r="B185" s="1283" t="s">
        <v>276</v>
      </c>
      <c r="G185" s="1333"/>
      <c r="H185" s="1333"/>
      <c r="I185" s="1333"/>
      <c r="J185" s="1334"/>
    </row>
    <row r="186" spans="2:11" s="350" customFormat="1" ht="12.75" customHeight="1">
      <c r="B186" s="1836" t="s">
        <v>1348</v>
      </c>
      <c r="C186" s="1836"/>
      <c r="D186" s="1836"/>
      <c r="E186" s="1836"/>
      <c r="F186" s="1836"/>
      <c r="G186" s="1836"/>
      <c r="H186" s="1836"/>
      <c r="I186" s="1836"/>
      <c r="J186" s="1334"/>
    </row>
    <row r="187" spans="2:11" s="350" customFormat="1" ht="13">
      <c r="B187" s="1336" t="s">
        <v>272</v>
      </c>
      <c r="C187" s="1336"/>
      <c r="H187" s="1333"/>
      <c r="I187" s="1333"/>
      <c r="J187" s="1334"/>
    </row>
    <row r="188" spans="2:11" s="350" customFormat="1" ht="13">
      <c r="B188" s="1336" t="s">
        <v>273</v>
      </c>
      <c r="C188" s="1336"/>
      <c r="H188" s="1333"/>
      <c r="I188" s="1333"/>
      <c r="J188" s="1334"/>
    </row>
    <row r="189" spans="2:11" s="350" customFormat="1" ht="13">
      <c r="B189" s="1336" t="s">
        <v>274</v>
      </c>
      <c r="C189" s="1336"/>
      <c r="H189" s="1333"/>
      <c r="I189" s="1333"/>
      <c r="J189" s="1334"/>
    </row>
    <row r="190" spans="2:11" s="350" customFormat="1" ht="15.75" customHeight="1">
      <c r="B190" s="1836" t="s">
        <v>949</v>
      </c>
      <c r="C190" s="1836"/>
      <c r="D190" s="1836"/>
      <c r="E190" s="1836"/>
      <c r="F190" s="1836"/>
      <c r="G190" s="1836"/>
      <c r="H190" s="1836"/>
      <c r="I190" s="1836"/>
      <c r="K190" s="1337"/>
    </row>
    <row r="191" spans="2:11" s="350" customFormat="1" ht="15.75" customHeight="1">
      <c r="B191" s="1836"/>
      <c r="C191" s="1836"/>
      <c r="D191" s="1836"/>
      <c r="E191" s="1836"/>
      <c r="F191" s="1836"/>
      <c r="G191" s="1836"/>
      <c r="H191" s="1836"/>
      <c r="I191" s="1836"/>
      <c r="K191" s="1337"/>
    </row>
    <row r="192" spans="2:11" s="350" customFormat="1" ht="13">
      <c r="B192" s="1336" t="s">
        <v>959</v>
      </c>
      <c r="G192" s="1333"/>
      <c r="H192" s="1333"/>
      <c r="I192" s="1333"/>
      <c r="J192" s="1334"/>
    </row>
    <row r="193" spans="2:12" ht="13">
      <c r="B193" s="1342" t="s">
        <v>960</v>
      </c>
    </row>
    <row r="194" spans="2:12" ht="12" customHeight="1">
      <c r="B194" s="1343"/>
      <c r="C194" s="1344"/>
      <c r="D194" s="1345"/>
      <c r="E194" s="1345"/>
      <c r="F194" s="1345"/>
      <c r="G194" s="1345"/>
      <c r="H194" s="1345"/>
      <c r="I194" s="1345"/>
      <c r="J194" s="1345"/>
    </row>
    <row r="195" spans="2:12" ht="13">
      <c r="B195" s="1272"/>
    </row>
    <row r="196" spans="2:12" ht="13">
      <c r="B196" s="1275" t="s">
        <v>175</v>
      </c>
      <c r="C196" s="1275"/>
      <c r="D196" s="1275"/>
      <c r="E196" s="1275" t="s">
        <v>176</v>
      </c>
      <c r="F196" s="1275" t="s">
        <v>1152</v>
      </c>
      <c r="G196" s="1275" t="s">
        <v>1304</v>
      </c>
      <c r="H196" s="1275" t="s">
        <v>1305</v>
      </c>
      <c r="I196" s="1275" t="s">
        <v>1306</v>
      </c>
      <c r="J196" s="1275" t="s">
        <v>1307</v>
      </c>
    </row>
    <row r="197" spans="2:12" ht="13">
      <c r="B197" s="1283"/>
      <c r="C197" s="350"/>
      <c r="D197" s="350"/>
      <c r="E197" s="1275"/>
      <c r="F197" s="1275" t="s">
        <v>1338</v>
      </c>
      <c r="G197" s="1275" t="s">
        <v>260</v>
      </c>
      <c r="H197" s="1275"/>
      <c r="I197" s="1275"/>
      <c r="J197" s="350"/>
    </row>
    <row r="198" spans="2:12" ht="13">
      <c r="B198" s="1283"/>
      <c r="C198" s="1291"/>
      <c r="D198" s="350"/>
      <c r="E198" s="1275"/>
      <c r="F198" s="1275" t="s">
        <v>1339</v>
      </c>
      <c r="G198" s="1275" t="s">
        <v>229</v>
      </c>
      <c r="H198" s="1275" t="s">
        <v>261</v>
      </c>
      <c r="I198" s="1275" t="s">
        <v>262</v>
      </c>
      <c r="J198" s="350"/>
      <c r="L198" s="1271" t="s">
        <v>85</v>
      </c>
    </row>
    <row r="199" spans="2:12" ht="13">
      <c r="B199" s="1283" t="s">
        <v>961</v>
      </c>
      <c r="C199" s="350"/>
      <c r="D199" s="350"/>
      <c r="E199" s="1275" t="s">
        <v>44</v>
      </c>
      <c r="F199" s="1278" t="s">
        <v>1340</v>
      </c>
      <c r="G199" s="1275" t="s">
        <v>263</v>
      </c>
      <c r="H199" s="1275" t="s">
        <v>263</v>
      </c>
      <c r="I199" s="1275" t="s">
        <v>263</v>
      </c>
      <c r="J199" s="1275" t="s">
        <v>267</v>
      </c>
    </row>
    <row r="200" spans="2:12" ht="25">
      <c r="B200" s="1420" t="s">
        <v>1540</v>
      </c>
      <c r="C200" s="1425"/>
      <c r="D200" s="1429"/>
      <c r="E200" s="1423">
        <f t="shared" ref="E200:E208" si="2">SUM(F200:I200)</f>
        <v>-5556353.1241443921</v>
      </c>
      <c r="F200" s="1693">
        <v>-777889.43738021492</v>
      </c>
      <c r="G200" s="1693">
        <v>0</v>
      </c>
      <c r="H200" s="1693">
        <v>-4778463.6867641769</v>
      </c>
      <c r="I200" s="1693">
        <v>0</v>
      </c>
      <c r="J200" s="1450" t="s">
        <v>1559</v>
      </c>
    </row>
    <row r="201" spans="2:12">
      <c r="B201" s="1420" t="s">
        <v>1710</v>
      </c>
      <c r="C201" s="1425"/>
      <c r="D201" s="1429"/>
      <c r="E201" s="1423">
        <f t="shared" si="2"/>
        <v>99964.485195000001</v>
      </c>
      <c r="F201" s="1693">
        <v>13995.027927300001</v>
      </c>
      <c r="G201" s="1693">
        <v>0</v>
      </c>
      <c r="H201" s="1693">
        <v>85969.457267699996</v>
      </c>
      <c r="I201" s="1693">
        <v>0</v>
      </c>
      <c r="J201" s="1450" t="s">
        <v>1709</v>
      </c>
    </row>
    <row r="202" spans="2:12">
      <c r="B202" s="1420" t="s">
        <v>1541</v>
      </c>
      <c r="C202" s="1425"/>
      <c r="D202" s="1429"/>
      <c r="E202" s="1423">
        <f t="shared" si="2"/>
        <v>-3029894.3144185003</v>
      </c>
      <c r="F202" s="1693">
        <v>-3029894.3144185003</v>
      </c>
      <c r="G202" s="1693">
        <v>0</v>
      </c>
      <c r="H202" s="1693">
        <v>0</v>
      </c>
      <c r="I202" s="1693">
        <v>0</v>
      </c>
      <c r="J202" s="1450" t="s">
        <v>1548</v>
      </c>
    </row>
    <row r="203" spans="2:12" ht="25">
      <c r="B203" s="1420" t="s">
        <v>1542</v>
      </c>
      <c r="C203" s="1425"/>
      <c r="D203" s="1429"/>
      <c r="E203" s="1423">
        <f t="shared" si="2"/>
        <v>-44862421.167054497</v>
      </c>
      <c r="F203" s="1693">
        <v>-6280738.9633876299</v>
      </c>
      <c r="G203" s="1693">
        <v>0</v>
      </c>
      <c r="H203" s="1693">
        <v>0</v>
      </c>
      <c r="I203" s="1693">
        <v>-38581682.203666866</v>
      </c>
      <c r="J203" s="1697" t="s">
        <v>1708</v>
      </c>
    </row>
    <row r="204" spans="2:12">
      <c r="B204" s="1420" t="s">
        <v>1543</v>
      </c>
      <c r="C204" s="1425"/>
      <c r="D204" s="1429"/>
      <c r="E204" s="1423">
        <f t="shared" si="2"/>
        <v>-46428502.5616225</v>
      </c>
      <c r="F204" s="1693">
        <v>-46428502.5616225</v>
      </c>
      <c r="G204" s="1693">
        <v>0</v>
      </c>
      <c r="H204" s="1693">
        <v>0</v>
      </c>
      <c r="I204" s="1693">
        <v>0</v>
      </c>
      <c r="J204" s="1450" t="s">
        <v>1548</v>
      </c>
    </row>
    <row r="205" spans="2:12">
      <c r="B205" s="1420" t="s">
        <v>1707</v>
      </c>
      <c r="C205" s="1425"/>
      <c r="D205" s="1429"/>
      <c r="E205" s="1423">
        <f t="shared" si="2"/>
        <v>-865481.57553700032</v>
      </c>
      <c r="F205" s="1693">
        <v>-865481.57553700032</v>
      </c>
      <c r="G205" s="1693">
        <v>0</v>
      </c>
      <c r="H205" s="1693">
        <v>0</v>
      </c>
      <c r="I205" s="1693">
        <v>0</v>
      </c>
      <c r="J205" s="1450" t="s">
        <v>1548</v>
      </c>
    </row>
    <row r="206" spans="2:12" ht="25">
      <c r="B206" s="1420" t="s">
        <v>1544</v>
      </c>
      <c r="C206" s="1425"/>
      <c r="D206" s="1429"/>
      <c r="E206" s="1423">
        <f t="shared" si="2"/>
        <v>-462758.34719700005</v>
      </c>
      <c r="F206" s="1693">
        <v>0</v>
      </c>
      <c r="G206" s="1693">
        <v>-462758.34719700005</v>
      </c>
      <c r="H206" s="1693">
        <v>0</v>
      </c>
      <c r="I206" s="1693">
        <v>0</v>
      </c>
      <c r="J206" s="1450" t="s">
        <v>1560</v>
      </c>
    </row>
    <row r="207" spans="2:12">
      <c r="B207" s="1420" t="s">
        <v>1706</v>
      </c>
      <c r="C207" s="1425"/>
      <c r="D207" s="1429"/>
      <c r="E207" s="1423">
        <f t="shared" si="2"/>
        <v>-2702757.7593670003</v>
      </c>
      <c r="F207" s="1693">
        <v>-2702757.7593670003</v>
      </c>
      <c r="G207" s="1693">
        <v>0</v>
      </c>
      <c r="H207" s="1693">
        <v>0</v>
      </c>
      <c r="I207" s="1693">
        <v>0</v>
      </c>
      <c r="J207" s="1450" t="s">
        <v>1548</v>
      </c>
    </row>
    <row r="208" spans="2:12" ht="25">
      <c r="B208" s="1420" t="s">
        <v>1545</v>
      </c>
      <c r="C208" s="1425"/>
      <c r="D208" s="1429"/>
      <c r="E208" s="1423">
        <f t="shared" si="2"/>
        <v>-1477759.8783274998</v>
      </c>
      <c r="F208" s="1693">
        <v>-1477759.8783274998</v>
      </c>
      <c r="G208" s="1693">
        <v>0</v>
      </c>
      <c r="H208" s="1693">
        <v>0</v>
      </c>
      <c r="I208" s="1693">
        <v>0</v>
      </c>
      <c r="J208" s="1450" t="s">
        <v>1561</v>
      </c>
    </row>
    <row r="209" spans="2:10" ht="13">
      <c r="B209" s="1300" t="s">
        <v>962</v>
      </c>
      <c r="C209" s="1297"/>
      <c r="D209" s="1297"/>
      <c r="E209" s="1298">
        <f>SUM(E200:E208)</f>
        <v>-105285964.24247339</v>
      </c>
      <c r="F209" s="1298">
        <f>SUM(F200:F208)</f>
        <v>-61549029.462113045</v>
      </c>
      <c r="G209" s="1298">
        <f>SUM(G200:G208)</f>
        <v>-462758.34719700005</v>
      </c>
      <c r="H209" s="1298">
        <f>SUM(H200:H208)</f>
        <v>-4692494.2294964772</v>
      </c>
      <c r="I209" s="1298">
        <f>SUM(I200:I208)</f>
        <v>-38581682.203666866</v>
      </c>
      <c r="J209" s="1299"/>
    </row>
    <row r="210" spans="2:10" ht="13">
      <c r="B210" s="1300"/>
      <c r="C210" s="1297"/>
      <c r="D210" s="1297"/>
      <c r="E210" s="1298"/>
      <c r="F210" s="1298"/>
      <c r="G210" s="1298"/>
      <c r="H210" s="1298"/>
      <c r="I210" s="1298"/>
      <c r="J210" s="1299"/>
    </row>
    <row r="211" spans="2:10">
      <c r="B211" s="1319" t="s">
        <v>1344</v>
      </c>
      <c r="C211" s="1320"/>
      <c r="D211" s="1321"/>
      <c r="E211" s="1303">
        <f>SUM(F211:I211)</f>
        <v>0</v>
      </c>
      <c r="F211" s="1293"/>
      <c r="G211" s="1293"/>
      <c r="H211" s="1293"/>
      <c r="I211" s="1293"/>
      <c r="J211" s="1304"/>
    </row>
    <row r="212" spans="2:10">
      <c r="B212" s="1301" t="s">
        <v>1345</v>
      </c>
      <c r="C212" s="1302"/>
      <c r="D212" s="1321"/>
      <c r="E212" s="1303">
        <f>SUM(F212:I212)</f>
        <v>0</v>
      </c>
      <c r="F212" s="1293"/>
      <c r="G212" s="1293"/>
      <c r="H212" s="1293"/>
      <c r="I212" s="1293"/>
      <c r="J212" s="1304"/>
    </row>
    <row r="213" spans="2:10">
      <c r="B213" s="1301" t="s">
        <v>1346</v>
      </c>
      <c r="C213" s="1302"/>
      <c r="D213" s="1321"/>
      <c r="E213" s="1303">
        <f>SUM(F213:I213)</f>
        <v>0</v>
      </c>
      <c r="F213" s="1293"/>
      <c r="G213" s="1293"/>
      <c r="H213" s="1293"/>
      <c r="I213" s="1293"/>
      <c r="J213" s="1304"/>
    </row>
    <row r="214" spans="2:10">
      <c r="B214" s="1301" t="s">
        <v>1016</v>
      </c>
      <c r="C214" s="1302"/>
      <c r="D214" s="1321"/>
      <c r="E214" s="1303">
        <f>SUM(F214:I214)</f>
        <v>0</v>
      </c>
      <c r="F214" s="1293"/>
      <c r="G214" s="1293"/>
      <c r="H214" s="1293"/>
      <c r="I214" s="1293"/>
      <c r="J214" s="1304"/>
    </row>
    <row r="215" spans="2:10" ht="5.15" customHeight="1">
      <c r="B215" s="1295"/>
      <c r="C215" s="1296"/>
      <c r="D215" s="1297"/>
      <c r="E215" s="1298"/>
      <c r="F215" s="1298"/>
      <c r="G215" s="1298"/>
      <c r="H215" s="1298"/>
      <c r="I215" s="1298"/>
      <c r="J215" s="1299"/>
    </row>
    <row r="216" spans="2:10" ht="13">
      <c r="B216" s="1322" t="s">
        <v>963</v>
      </c>
      <c r="C216" s="1323"/>
      <c r="D216" s="1297"/>
      <c r="E216" s="1298">
        <f>SUM(E211:E214)+E209</f>
        <v>-105285964.24247339</v>
      </c>
      <c r="F216" s="1298">
        <f>SUM(F211:F214)+F209</f>
        <v>-61549029.462113045</v>
      </c>
      <c r="G216" s="1298">
        <f>SUM(G211:G214)+G209</f>
        <v>-462758.34719700005</v>
      </c>
      <c r="H216" s="1298">
        <f>SUM(H211:H214)+H209</f>
        <v>-4692494.2294964772</v>
      </c>
      <c r="I216" s="1298">
        <f>SUM(I211:I214)+I209</f>
        <v>-38581682.203666866</v>
      </c>
      <c r="J216" s="1299"/>
    </row>
    <row r="217" spans="2:10" ht="13">
      <c r="B217" s="1324"/>
      <c r="C217" s="1325"/>
      <c r="D217" s="1325"/>
      <c r="E217" s="1308"/>
      <c r="F217" s="1298"/>
      <c r="G217" s="1298"/>
      <c r="H217" s="1298"/>
      <c r="I217" s="1298"/>
      <c r="J217" s="1310"/>
    </row>
    <row r="218" spans="2:10" ht="13">
      <c r="B218" s="1326" t="s">
        <v>266</v>
      </c>
      <c r="C218" s="1327"/>
      <c r="D218" s="1307"/>
      <c r="E218" s="1308"/>
      <c r="F218" s="1308"/>
      <c r="G218" s="1308"/>
      <c r="H218" s="1308"/>
      <c r="I218" s="1309">
        <f>I170</f>
        <v>0.13016492184368511</v>
      </c>
      <c r="J218" s="1310"/>
    </row>
    <row r="219" spans="2:10" ht="13">
      <c r="B219" s="1305" t="s">
        <v>238</v>
      </c>
      <c r="C219" s="1306"/>
      <c r="D219" s="1307"/>
      <c r="E219" s="1308"/>
      <c r="F219" s="1308"/>
      <c r="G219" s="1308"/>
      <c r="H219" s="1309">
        <f>H171</f>
        <v>0.38601497499010745</v>
      </c>
      <c r="I219" s="1308"/>
      <c r="J219" s="1310"/>
    </row>
    <row r="220" spans="2:10" ht="13">
      <c r="B220" s="1305" t="s">
        <v>942</v>
      </c>
      <c r="C220" s="1306"/>
      <c r="D220" s="1307"/>
      <c r="E220" s="1308"/>
      <c r="F220" s="1308"/>
      <c r="G220" s="1309">
        <v>1</v>
      </c>
      <c r="H220" s="1308"/>
      <c r="I220" s="1308"/>
      <c r="J220" s="1310"/>
    </row>
    <row r="221" spans="2:10" ht="13">
      <c r="B221" s="1305" t="s">
        <v>943</v>
      </c>
      <c r="C221" s="1306"/>
      <c r="D221" s="1307"/>
      <c r="E221" s="1308"/>
      <c r="F221" s="1309">
        <v>0</v>
      </c>
      <c r="G221" s="1308"/>
      <c r="H221" s="1308"/>
      <c r="I221" s="1308"/>
      <c r="J221" s="1310"/>
    </row>
    <row r="222" spans="2:10" ht="17.25" customHeight="1">
      <c r="B222" s="1311" t="s">
        <v>944</v>
      </c>
      <c r="C222" s="1306"/>
      <c r="D222" s="1307"/>
      <c r="E222" s="1308">
        <f>F222+G222+H222+I222</f>
        <v>-7296113.0384755004</v>
      </c>
      <c r="F222" s="1308">
        <f>F221*F216</f>
        <v>0</v>
      </c>
      <c r="G222" s="1308">
        <f>G216*G220</f>
        <v>-462758.34719700005</v>
      </c>
      <c r="H222" s="1308">
        <f>H216*H219</f>
        <v>-1811373.0426403061</v>
      </c>
      <c r="I222" s="1308">
        <f>I218*I216</f>
        <v>-5021981.6486381944</v>
      </c>
      <c r="J222" s="1310"/>
    </row>
    <row r="223" spans="2:10" ht="12.75" customHeight="1">
      <c r="B223" s="1343"/>
      <c r="C223" s="1345"/>
      <c r="D223" s="1345"/>
      <c r="E223" s="1345"/>
      <c r="F223" s="1345"/>
      <c r="G223" s="1345"/>
      <c r="H223" s="1345"/>
      <c r="I223" s="1345"/>
      <c r="J223" s="1345"/>
    </row>
    <row r="224" spans="2:10" ht="13">
      <c r="B224" s="1275"/>
      <c r="C224" s="1275"/>
      <c r="D224" s="1275"/>
      <c r="E224" s="1275"/>
      <c r="F224" s="1275"/>
      <c r="G224" s="1275"/>
      <c r="H224" s="1275"/>
      <c r="I224" s="1275"/>
      <c r="J224" s="1275"/>
    </row>
    <row r="225" spans="2:10" ht="13">
      <c r="B225" s="1275" t="s">
        <v>175</v>
      </c>
      <c r="C225" s="350"/>
      <c r="D225" s="350"/>
      <c r="E225" s="1275" t="s">
        <v>176</v>
      </c>
      <c r="F225" s="1275" t="s">
        <v>1152</v>
      </c>
      <c r="G225" s="1275" t="s">
        <v>1304</v>
      </c>
      <c r="H225" s="1275" t="s">
        <v>1305</v>
      </c>
      <c r="I225" s="1275" t="s">
        <v>1306</v>
      </c>
      <c r="J225" s="1275" t="s">
        <v>1307</v>
      </c>
    </row>
    <row r="226" spans="2:10" ht="13">
      <c r="B226" s="1283"/>
      <c r="C226" s="350"/>
      <c r="D226" s="350"/>
      <c r="E226" s="1275"/>
      <c r="F226" s="1275" t="s">
        <v>1338</v>
      </c>
      <c r="G226" s="1275" t="s">
        <v>260</v>
      </c>
      <c r="H226" s="1275"/>
      <c r="I226" s="1275"/>
      <c r="J226" s="350"/>
    </row>
    <row r="227" spans="2:10" ht="13">
      <c r="B227" s="1328"/>
      <c r="C227" s="350"/>
      <c r="D227" s="350"/>
      <c r="E227" s="1275"/>
      <c r="F227" s="1275" t="s">
        <v>1339</v>
      </c>
      <c r="G227" s="1275" t="s">
        <v>229</v>
      </c>
      <c r="H227" s="1275" t="s">
        <v>261</v>
      </c>
      <c r="I227" s="1275" t="s">
        <v>262</v>
      </c>
      <c r="J227" s="350"/>
    </row>
    <row r="228" spans="2:10" ht="13">
      <c r="B228" s="1283" t="s">
        <v>964</v>
      </c>
      <c r="E228" s="1275" t="s">
        <v>44</v>
      </c>
      <c r="F228" s="1278" t="s">
        <v>1340</v>
      </c>
      <c r="G228" s="1275" t="s">
        <v>263</v>
      </c>
      <c r="H228" s="1275" t="s">
        <v>263</v>
      </c>
      <c r="I228" s="1275" t="s">
        <v>263</v>
      </c>
      <c r="J228" s="1275" t="s">
        <v>267</v>
      </c>
    </row>
    <row r="229" spans="2:10">
      <c r="B229" s="1292"/>
      <c r="C229" s="1347"/>
      <c r="D229" s="1316"/>
      <c r="E229" s="1293"/>
      <c r="F229" s="1293"/>
      <c r="G229" s="1293"/>
      <c r="H229" s="1293"/>
      <c r="I229" s="1293"/>
      <c r="J229" s="1294"/>
    </row>
    <row r="230" spans="2:10">
      <c r="B230" s="1292"/>
      <c r="C230" s="1347"/>
      <c r="D230" s="1316"/>
      <c r="E230" s="1293"/>
      <c r="F230" s="1293"/>
      <c r="G230" s="1293"/>
      <c r="H230" s="1293"/>
      <c r="I230" s="1293"/>
      <c r="J230" s="1294"/>
    </row>
    <row r="231" spans="2:10">
      <c r="B231" s="1292"/>
      <c r="C231" s="1347"/>
      <c r="D231" s="1316"/>
      <c r="E231" s="1293"/>
      <c r="F231" s="1293"/>
      <c r="G231" s="1293"/>
      <c r="H231" s="1293"/>
      <c r="I231" s="1293"/>
      <c r="J231" s="1294"/>
    </row>
    <row r="232" spans="2:10">
      <c r="B232" s="1292"/>
      <c r="C232" s="1347"/>
      <c r="D232" s="1316"/>
      <c r="E232" s="1293"/>
      <c r="F232" s="1293"/>
      <c r="G232" s="1293"/>
      <c r="H232" s="1293"/>
      <c r="I232" s="1293"/>
      <c r="J232" s="1294"/>
    </row>
    <row r="233" spans="2:10">
      <c r="B233" s="1292"/>
      <c r="C233" s="1347"/>
      <c r="D233" s="1316"/>
      <c r="E233" s="1293"/>
      <c r="F233" s="1293"/>
      <c r="G233" s="1293"/>
      <c r="H233" s="1293"/>
      <c r="I233" s="1293"/>
      <c r="J233" s="1294"/>
    </row>
    <row r="234" spans="2:10">
      <c r="B234" s="1292"/>
      <c r="C234" s="1347"/>
      <c r="D234" s="1316"/>
      <c r="E234" s="1293"/>
      <c r="F234" s="1293"/>
      <c r="G234" s="1293"/>
      <c r="H234" s="1293"/>
      <c r="I234" s="1293"/>
      <c r="J234" s="1294"/>
    </row>
    <row r="235" spans="2:10">
      <c r="B235" s="1292"/>
      <c r="C235" s="1347"/>
      <c r="D235" s="1315"/>
      <c r="E235" s="1317"/>
      <c r="F235" s="1317"/>
      <c r="G235" s="1317"/>
      <c r="H235" s="1317"/>
      <c r="I235" s="1317"/>
      <c r="J235" s="1318"/>
    </row>
    <row r="236" spans="2:10" ht="13">
      <c r="B236" s="1300" t="s">
        <v>1017</v>
      </c>
      <c r="C236" s="1297"/>
      <c r="D236" s="1298"/>
      <c r="E236" s="1298">
        <f>SUM(E229:E235)</f>
        <v>0</v>
      </c>
      <c r="F236" s="1298">
        <f>SUM(F229:F235)</f>
        <v>0</v>
      </c>
      <c r="G236" s="1298">
        <f>SUM(G229:G235)</f>
        <v>0</v>
      </c>
      <c r="H236" s="1298">
        <f>SUM(H229:H235)</f>
        <v>0</v>
      </c>
      <c r="I236" s="1298">
        <f>SUM(I229:I235)</f>
        <v>0</v>
      </c>
      <c r="J236" s="1299"/>
    </row>
    <row r="237" spans="2:10" ht="13">
      <c r="B237" s="1300"/>
      <c r="C237" s="1297"/>
      <c r="D237" s="1297"/>
      <c r="E237" s="1298"/>
      <c r="F237" s="1298"/>
      <c r="G237" s="1298"/>
      <c r="H237" s="1298"/>
      <c r="I237" s="1298"/>
      <c r="J237" s="1299"/>
    </row>
    <row r="238" spans="2:10">
      <c r="B238" s="1319" t="s">
        <v>1344</v>
      </c>
      <c r="C238" s="1320"/>
      <c r="D238" s="1321"/>
      <c r="E238" s="1303"/>
      <c r="F238" s="1293"/>
      <c r="G238" s="1293"/>
      <c r="H238" s="1293"/>
      <c r="I238" s="1293"/>
      <c r="J238" s="1304"/>
    </row>
    <row r="239" spans="2:10">
      <c r="B239" s="1301" t="s">
        <v>1345</v>
      </c>
      <c r="C239" s="1302"/>
      <c r="D239" s="1321"/>
      <c r="E239" s="1303"/>
      <c r="F239" s="1293"/>
      <c r="G239" s="1293"/>
      <c r="H239" s="1293"/>
      <c r="I239" s="1293"/>
      <c r="J239" s="1304"/>
    </row>
    <row r="240" spans="2:10">
      <c r="B240" s="1301" t="s">
        <v>1346</v>
      </c>
      <c r="C240" s="1302"/>
      <c r="D240" s="1321"/>
      <c r="E240" s="1303"/>
      <c r="F240" s="1293"/>
      <c r="G240" s="1293"/>
      <c r="H240" s="1293"/>
      <c r="I240" s="1293"/>
      <c r="J240" s="1304"/>
    </row>
    <row r="241" spans="2:10">
      <c r="B241" s="1301" t="s">
        <v>1016</v>
      </c>
      <c r="C241" s="1302"/>
      <c r="D241" s="1321"/>
      <c r="E241" s="1303"/>
      <c r="F241" s="1293"/>
      <c r="G241" s="1293"/>
      <c r="H241" s="1293"/>
      <c r="I241" s="1293"/>
      <c r="J241" s="1304"/>
    </row>
    <row r="242" spans="2:10" ht="5.15" customHeight="1">
      <c r="B242" s="1295"/>
      <c r="C242" s="1296"/>
      <c r="D242" s="1297"/>
      <c r="E242" s="1298"/>
      <c r="F242" s="1298"/>
      <c r="G242" s="1298"/>
      <c r="H242" s="1298"/>
      <c r="I242" s="1298"/>
      <c r="J242" s="1299"/>
    </row>
    <row r="243" spans="2:10" ht="13">
      <c r="B243" s="1322" t="s">
        <v>965</v>
      </c>
      <c r="C243" s="1323"/>
      <c r="D243" s="1297"/>
      <c r="E243" s="1298">
        <f>SUM(E238:E241)+E236</f>
        <v>0</v>
      </c>
      <c r="F243" s="1298">
        <f>SUM(F238:F241)+F236</f>
        <v>0</v>
      </c>
      <c r="G243" s="1298">
        <f>SUM(G238:G241)+G236</f>
        <v>0</v>
      </c>
      <c r="H243" s="1298">
        <f>SUM(H238:H241)+H236</f>
        <v>0</v>
      </c>
      <c r="I243" s="1298">
        <f>SUM(I238:I241)+I236</f>
        <v>0</v>
      </c>
      <c r="J243" s="1299"/>
    </row>
    <row r="244" spans="2:10" ht="13">
      <c r="B244" s="1324"/>
      <c r="C244" s="1325"/>
      <c r="D244" s="1325"/>
      <c r="E244" s="1308"/>
      <c r="F244" s="1298"/>
      <c r="G244" s="1298"/>
      <c r="H244" s="1298"/>
      <c r="I244" s="1298"/>
      <c r="J244" s="1310"/>
    </row>
    <row r="245" spans="2:10" ht="13">
      <c r="B245" s="1326" t="s">
        <v>266</v>
      </c>
      <c r="C245" s="1327"/>
      <c r="D245" s="1307"/>
      <c r="E245" s="1308"/>
      <c r="F245" s="1308"/>
      <c r="G245" s="1308"/>
      <c r="H245" s="1308"/>
      <c r="I245" s="1309">
        <f>I218</f>
        <v>0.13016492184368511</v>
      </c>
      <c r="J245" s="1310"/>
    </row>
    <row r="246" spans="2:10" ht="13">
      <c r="B246" s="1305" t="s">
        <v>238</v>
      </c>
      <c r="C246" s="1306"/>
      <c r="D246" s="1307"/>
      <c r="E246" s="1308"/>
      <c r="F246" s="1308"/>
      <c r="G246" s="1308"/>
      <c r="H246" s="1309">
        <f>H219</f>
        <v>0.38601497499010745</v>
      </c>
      <c r="I246" s="1308"/>
      <c r="J246" s="1310"/>
    </row>
    <row r="247" spans="2:10" ht="13">
      <c r="B247" s="1305" t="s">
        <v>942</v>
      </c>
      <c r="C247" s="1306"/>
      <c r="D247" s="1307"/>
      <c r="E247" s="1308"/>
      <c r="F247" s="1308"/>
      <c r="G247" s="1309">
        <v>1</v>
      </c>
      <c r="H247" s="1308"/>
      <c r="I247" s="1308"/>
      <c r="J247" s="1310"/>
    </row>
    <row r="248" spans="2:10" ht="13">
      <c r="B248" s="1305" t="s">
        <v>943</v>
      </c>
      <c r="C248" s="1306"/>
      <c r="D248" s="1307"/>
      <c r="E248" s="1308"/>
      <c r="F248" s="1309">
        <v>0</v>
      </c>
      <c r="G248" s="1308"/>
      <c r="H248" s="1308"/>
      <c r="I248" s="1308"/>
      <c r="J248" s="1310"/>
    </row>
    <row r="249" spans="2:10" ht="13">
      <c r="B249" s="1311" t="s">
        <v>944</v>
      </c>
      <c r="C249" s="1306"/>
      <c r="D249" s="1307"/>
      <c r="E249" s="1308">
        <f>F249+G249+H249+I249</f>
        <v>0</v>
      </c>
      <c r="F249" s="1308">
        <f>F248*F243</f>
        <v>0</v>
      </c>
      <c r="G249" s="1308">
        <f>G243*G247</f>
        <v>0</v>
      </c>
      <c r="H249" s="1308">
        <f>H243*H246</f>
        <v>0</v>
      </c>
      <c r="I249" s="1308">
        <f>I245*I243</f>
        <v>0</v>
      </c>
      <c r="J249" s="1310"/>
    </row>
    <row r="250" spans="2:10" ht="13">
      <c r="B250" s="1312"/>
      <c r="E250" s="1282"/>
      <c r="F250" s="1282"/>
      <c r="G250" s="1282"/>
      <c r="H250" s="1282"/>
      <c r="I250" s="1282"/>
      <c r="J250" s="1313"/>
    </row>
    <row r="251" spans="2:10" ht="13">
      <c r="B251" s="1312"/>
      <c r="E251" s="1282"/>
      <c r="F251" s="1282"/>
      <c r="G251" s="1282"/>
      <c r="H251" s="1282"/>
      <c r="I251" s="1282"/>
      <c r="J251" s="1313"/>
    </row>
    <row r="252" spans="2:10" ht="13">
      <c r="B252" s="1275"/>
      <c r="C252" s="1275"/>
      <c r="D252" s="1275"/>
      <c r="E252" s="1275"/>
      <c r="F252" s="1275"/>
      <c r="G252" s="1275"/>
      <c r="H252" s="1275"/>
      <c r="I252" s="1275"/>
      <c r="J252" s="1275"/>
    </row>
    <row r="253" spans="2:10" ht="13">
      <c r="B253" s="1275" t="s">
        <v>175</v>
      </c>
      <c r="C253" s="350"/>
      <c r="D253" s="350"/>
      <c r="E253" s="1275" t="s">
        <v>176</v>
      </c>
      <c r="F253" s="1275" t="s">
        <v>1152</v>
      </c>
      <c r="G253" s="1275" t="s">
        <v>1304</v>
      </c>
      <c r="H253" s="1275" t="s">
        <v>1305</v>
      </c>
      <c r="I253" s="1275" t="s">
        <v>1306</v>
      </c>
      <c r="J253" s="1275" t="s">
        <v>1307</v>
      </c>
    </row>
    <row r="254" spans="2:10" ht="13">
      <c r="B254" s="1283"/>
      <c r="C254" s="350"/>
      <c r="D254" s="350"/>
      <c r="E254" s="1275"/>
      <c r="F254" s="1275" t="s">
        <v>1338</v>
      </c>
      <c r="G254" s="1275" t="s">
        <v>260</v>
      </c>
      <c r="H254" s="1275"/>
      <c r="I254" s="1275"/>
      <c r="J254" s="350"/>
    </row>
    <row r="255" spans="2:10" ht="13">
      <c r="B255" s="1328"/>
      <c r="C255" s="350"/>
      <c r="D255" s="350"/>
      <c r="E255" s="1275"/>
      <c r="F255" s="1275" t="s">
        <v>1339</v>
      </c>
      <c r="G255" s="1275" t="s">
        <v>229</v>
      </c>
      <c r="H255" s="1275" t="s">
        <v>261</v>
      </c>
      <c r="I255" s="1275" t="s">
        <v>262</v>
      </c>
      <c r="J255" s="350"/>
    </row>
    <row r="256" spans="2:10" ht="13">
      <c r="B256" s="1283" t="s">
        <v>964</v>
      </c>
      <c r="E256" s="1275" t="s">
        <v>44</v>
      </c>
      <c r="F256" s="1278" t="s">
        <v>1340</v>
      </c>
      <c r="G256" s="1275" t="s">
        <v>263</v>
      </c>
      <c r="H256" s="1275" t="s">
        <v>263</v>
      </c>
      <c r="I256" s="1275" t="s">
        <v>263</v>
      </c>
      <c r="J256" s="1275" t="s">
        <v>267</v>
      </c>
    </row>
    <row r="257" spans="2:11">
      <c r="B257" s="1307" t="s">
        <v>1015</v>
      </c>
      <c r="C257" s="1307"/>
      <c r="D257" s="1307"/>
      <c r="E257" s="1298">
        <f>SUM(F257:I257)</f>
        <v>-105285964.24247339</v>
      </c>
      <c r="F257" s="1308">
        <f>F209</f>
        <v>-61549029.462113045</v>
      </c>
      <c r="G257" s="1308">
        <f>G209</f>
        <v>-462758.34719700005</v>
      </c>
      <c r="H257" s="1308">
        <f>H209</f>
        <v>-4692494.2294964772</v>
      </c>
      <c r="I257" s="1308">
        <f>I209</f>
        <v>-38581682.203666866</v>
      </c>
      <c r="J257" s="1310"/>
    </row>
    <row r="258" spans="2:11">
      <c r="B258" s="1307" t="s">
        <v>964</v>
      </c>
      <c r="C258" s="1307"/>
      <c r="D258" s="1307"/>
      <c r="E258" s="1298">
        <f>SUM(F258:I258)</f>
        <v>0</v>
      </c>
      <c r="F258" s="1308">
        <f>F236</f>
        <v>0</v>
      </c>
      <c r="G258" s="1308">
        <f>G236</f>
        <v>0</v>
      </c>
      <c r="H258" s="1308">
        <f>H236</f>
        <v>0</v>
      </c>
      <c r="I258" s="1308">
        <f>I236</f>
        <v>0</v>
      </c>
      <c r="J258" s="1310"/>
    </row>
    <row r="259" spans="2:11" ht="13">
      <c r="B259" s="1300" t="s">
        <v>958</v>
      </c>
      <c r="C259" s="1307"/>
      <c r="D259" s="1307"/>
      <c r="E259" s="1308">
        <f>E257+E258</f>
        <v>-105285964.24247339</v>
      </c>
      <c r="F259" s="1308">
        <f>F257+F258</f>
        <v>-61549029.462113045</v>
      </c>
      <c r="G259" s="1308">
        <f>G257+G258</f>
        <v>-462758.34719700005</v>
      </c>
      <c r="H259" s="1308">
        <f>H257+H258</f>
        <v>-4692494.2294964772</v>
      </c>
      <c r="I259" s="1308">
        <f>I257+I258</f>
        <v>-38581682.203666866</v>
      </c>
      <c r="J259" s="1310"/>
    </row>
    <row r="260" spans="2:11" ht="13">
      <c r="B260" s="1312"/>
      <c r="E260" s="1282"/>
      <c r="F260" s="1282"/>
      <c r="G260" s="1282"/>
      <c r="H260" s="1282"/>
      <c r="I260" s="1282"/>
      <c r="J260" s="1313"/>
    </row>
    <row r="261" spans="2:11" s="350" customFormat="1" ht="13">
      <c r="B261" s="1283" t="s">
        <v>277</v>
      </c>
      <c r="G261" s="1333"/>
      <c r="H261" s="1333"/>
      <c r="I261" s="1333"/>
      <c r="J261" s="1334"/>
    </row>
    <row r="262" spans="2:11" s="350" customFormat="1" ht="13">
      <c r="B262" s="1836" t="s">
        <v>1348</v>
      </c>
      <c r="C262" s="1836"/>
      <c r="D262" s="1836"/>
      <c r="E262" s="1836"/>
      <c r="F262" s="1836"/>
      <c r="G262" s="1836"/>
      <c r="H262" s="1836"/>
      <c r="I262" s="1836"/>
      <c r="J262" s="1334"/>
    </row>
    <row r="263" spans="2:11" s="350" customFormat="1" ht="13">
      <c r="B263" s="1342" t="s">
        <v>272</v>
      </c>
      <c r="G263" s="1333"/>
      <c r="H263" s="1333"/>
      <c r="I263" s="1333"/>
      <c r="J263" s="1334"/>
    </row>
    <row r="264" spans="2:11" s="350" customFormat="1" ht="13">
      <c r="B264" s="1342" t="s">
        <v>273</v>
      </c>
      <c r="G264" s="1333"/>
      <c r="H264" s="1333"/>
      <c r="I264" s="1333"/>
      <c r="J264" s="1334"/>
    </row>
    <row r="265" spans="2:11" s="350" customFormat="1" ht="13">
      <c r="B265" s="1342" t="s">
        <v>274</v>
      </c>
      <c r="G265" s="1333"/>
      <c r="H265" s="1333"/>
      <c r="I265" s="1333"/>
      <c r="J265" s="1334"/>
    </row>
    <row r="266" spans="2:11" s="350" customFormat="1" ht="15.75" customHeight="1">
      <c r="B266" s="1837" t="s">
        <v>275</v>
      </c>
      <c r="C266" s="1837"/>
      <c r="D266" s="1837"/>
      <c r="E266" s="1837"/>
      <c r="F266" s="1837"/>
      <c r="G266" s="1837"/>
      <c r="H266" s="1837"/>
      <c r="I266" s="1837"/>
      <c r="K266" s="1337"/>
    </row>
    <row r="267" spans="2:11" s="350" customFormat="1" ht="15.75" customHeight="1">
      <c r="B267" s="1837"/>
      <c r="C267" s="1837"/>
      <c r="D267" s="1837"/>
      <c r="E267" s="1837"/>
      <c r="F267" s="1837"/>
      <c r="G267" s="1837"/>
      <c r="H267" s="1837"/>
      <c r="I267" s="1837"/>
      <c r="K267" s="1337"/>
    </row>
    <row r="268" spans="2:11" s="350" customFormat="1" ht="13">
      <c r="B268" s="1336" t="s">
        <v>966</v>
      </c>
      <c r="G268" s="1333"/>
      <c r="H268" s="1333"/>
      <c r="I268" s="1333"/>
      <c r="J268" s="1334"/>
    </row>
    <row r="269" spans="2:11" ht="13">
      <c r="B269" s="1342" t="s">
        <v>960</v>
      </c>
    </row>
    <row r="270" spans="2:11" ht="12" customHeight="1">
      <c r="B270" s="1343"/>
      <c r="C270" s="1344"/>
      <c r="D270" s="1345"/>
      <c r="E270" s="1345"/>
      <c r="F270" s="1345"/>
      <c r="G270" s="1345"/>
      <c r="H270" s="1345"/>
      <c r="I270" s="1345"/>
      <c r="J270" s="1345"/>
    </row>
    <row r="271" spans="2:11" ht="12.75" customHeight="1">
      <c r="B271" s="1343"/>
      <c r="C271" s="1345"/>
      <c r="D271" s="1345"/>
      <c r="E271" s="1345"/>
      <c r="F271" s="1345"/>
      <c r="G271" s="1345"/>
      <c r="H271" s="1345"/>
      <c r="I271" s="1345"/>
      <c r="J271" s="1345"/>
    </row>
    <row r="272" spans="2:11" ht="13">
      <c r="B272" s="1275" t="s">
        <v>175</v>
      </c>
      <c r="C272" s="350"/>
      <c r="D272" s="350"/>
      <c r="E272" s="1275" t="s">
        <v>176</v>
      </c>
      <c r="F272" s="1275" t="s">
        <v>1152</v>
      </c>
      <c r="G272" s="1275" t="s">
        <v>1304</v>
      </c>
      <c r="H272" s="1275" t="s">
        <v>1305</v>
      </c>
      <c r="I272" s="1275" t="s">
        <v>1306</v>
      </c>
      <c r="J272" s="1275" t="s">
        <v>1307</v>
      </c>
    </row>
    <row r="273" spans="2:10" ht="13">
      <c r="B273" s="1283"/>
      <c r="C273" s="350"/>
      <c r="D273" s="350"/>
      <c r="E273" s="1275"/>
      <c r="F273" s="1275" t="s">
        <v>1338</v>
      </c>
      <c r="G273" s="1275" t="s">
        <v>260</v>
      </c>
      <c r="H273" s="1275"/>
      <c r="I273" s="1275"/>
      <c r="J273" s="350"/>
    </row>
    <row r="274" spans="2:10" ht="13">
      <c r="B274" s="1328"/>
      <c r="C274" s="350"/>
      <c r="D274" s="350"/>
      <c r="E274" s="1275"/>
      <c r="F274" s="1275" t="s">
        <v>1339</v>
      </c>
      <c r="G274" s="1275" t="s">
        <v>229</v>
      </c>
      <c r="H274" s="1275" t="s">
        <v>261</v>
      </c>
      <c r="I274" s="1275" t="s">
        <v>262</v>
      </c>
      <c r="J274" s="350"/>
    </row>
    <row r="275" spans="2:10" ht="13">
      <c r="B275" s="1283" t="s">
        <v>1359</v>
      </c>
      <c r="E275" s="1275" t="s">
        <v>44</v>
      </c>
      <c r="F275" s="1278" t="s">
        <v>1340</v>
      </c>
      <c r="G275" s="1275" t="s">
        <v>263</v>
      </c>
      <c r="H275" s="1275" t="s">
        <v>263</v>
      </c>
      <c r="I275" s="1275" t="s">
        <v>263</v>
      </c>
      <c r="J275" s="1275" t="s">
        <v>267</v>
      </c>
    </row>
    <row r="276" spans="2:10">
      <c r="B276" s="1292"/>
      <c r="C276" s="1314"/>
      <c r="D276" s="1316"/>
      <c r="E276" s="1293"/>
      <c r="F276" s="1293"/>
      <c r="G276" s="1293"/>
      <c r="H276" s="1293"/>
      <c r="I276" s="1293"/>
      <c r="J276" s="1346"/>
    </row>
    <row r="277" spans="2:10" ht="50">
      <c r="B277" s="1420" t="s">
        <v>1351</v>
      </c>
      <c r="C277" s="1425"/>
      <c r="D277" s="1429"/>
      <c r="E277" s="1423">
        <f>SUM(F277:I277)</f>
        <v>-1691515.0381931458</v>
      </c>
      <c r="F277" s="1423">
        <v>-169765.60000000009</v>
      </c>
      <c r="G277" s="1423">
        <v>0</v>
      </c>
      <c r="H277" s="1423">
        <v>-1521749.4381931457</v>
      </c>
      <c r="I277" s="1423"/>
      <c r="J277" s="1346" t="s">
        <v>1859</v>
      </c>
    </row>
    <row r="278" spans="2:10">
      <c r="B278" s="1292"/>
      <c r="C278" s="1314"/>
      <c r="D278" s="1316"/>
      <c r="E278" s="1293"/>
      <c r="F278" s="1293"/>
      <c r="G278" s="1293"/>
      <c r="H278" s="1293"/>
      <c r="I278" s="1293"/>
      <c r="J278" s="1346"/>
    </row>
    <row r="279" spans="2:10">
      <c r="B279" s="1292"/>
      <c r="C279" s="1314"/>
      <c r="D279" s="1316"/>
      <c r="E279" s="1293"/>
      <c r="F279" s="1293"/>
      <c r="G279" s="1293"/>
      <c r="H279" s="1293"/>
      <c r="I279" s="1293"/>
      <c r="J279" s="1346"/>
    </row>
    <row r="280" spans="2:10">
      <c r="B280" s="1292"/>
      <c r="C280" s="1314"/>
      <c r="D280" s="1316"/>
      <c r="E280" s="1293"/>
      <c r="F280" s="1293"/>
      <c r="G280" s="1293"/>
      <c r="H280" s="1293"/>
      <c r="I280" s="1293"/>
      <c r="J280" s="1346"/>
    </row>
    <row r="281" spans="2:10">
      <c r="B281" s="1292"/>
      <c r="C281" s="1314"/>
      <c r="D281" s="1316"/>
      <c r="E281" s="1293"/>
      <c r="F281" s="1293"/>
      <c r="G281" s="1293"/>
      <c r="H281" s="1293"/>
      <c r="I281" s="1293"/>
      <c r="J281" s="1346"/>
    </row>
    <row r="282" spans="2:10">
      <c r="B282" s="1292"/>
      <c r="C282" s="1314"/>
      <c r="D282" s="1316"/>
      <c r="E282" s="1293"/>
      <c r="F282" s="1293"/>
      <c r="G282" s="1293"/>
      <c r="H282" s="1293"/>
      <c r="I282" s="1293"/>
      <c r="J282" s="1346"/>
    </row>
    <row r="283" spans="2:10" ht="13">
      <c r="B283" s="1300" t="s">
        <v>1352</v>
      </c>
      <c r="C283" s="1323"/>
      <c r="D283" s="1297"/>
      <c r="E283" s="1298">
        <f>SUM(E276:E282)</f>
        <v>-1691515.0381931458</v>
      </c>
      <c r="F283" s="1298">
        <f>SUM(F276:F282)</f>
        <v>-169765.60000000009</v>
      </c>
      <c r="G283" s="1298">
        <f>SUM(G276:G282)</f>
        <v>0</v>
      </c>
      <c r="H283" s="1298">
        <f>SUM(H276:H282)</f>
        <v>-1521749.4381931457</v>
      </c>
      <c r="I283" s="1298">
        <f>SUM(I276:I282)</f>
        <v>0</v>
      </c>
      <c r="J283" s="1299"/>
    </row>
    <row r="284" spans="2:10" ht="13">
      <c r="B284" s="1300"/>
      <c r="C284" s="1297"/>
      <c r="D284" s="1297"/>
      <c r="E284" s="1298"/>
      <c r="F284" s="1298"/>
      <c r="G284" s="1298"/>
      <c r="H284" s="1298"/>
      <c r="I284" s="1298"/>
      <c r="J284" s="1299"/>
    </row>
    <row r="285" spans="2:10">
      <c r="B285" s="1301" t="s">
        <v>1353</v>
      </c>
      <c r="C285" s="1302"/>
      <c r="D285" s="1321"/>
      <c r="E285" s="1303"/>
      <c r="F285" s="1293"/>
      <c r="G285" s="1293"/>
      <c r="H285" s="1293">
        <v>0</v>
      </c>
      <c r="I285" s="1293"/>
      <c r="J285" s="1304"/>
    </row>
    <row r="286" spans="2:10" ht="5.15" customHeight="1">
      <c r="B286" s="1295"/>
      <c r="C286" s="1296"/>
      <c r="D286" s="1297"/>
      <c r="E286" s="1298"/>
      <c r="F286" s="1298"/>
      <c r="G286" s="1298"/>
      <c r="H286" s="1298"/>
      <c r="I286" s="1298"/>
      <c r="J286" s="1299"/>
    </row>
    <row r="287" spans="2:10" ht="13">
      <c r="B287" s="1300" t="s">
        <v>1354</v>
      </c>
      <c r="C287" s="1297"/>
      <c r="D287" s="1297"/>
      <c r="E287" s="1298">
        <f>SUM(E285:E285)+E283</f>
        <v>-1691515.0381931458</v>
      </c>
      <c r="F287" s="1298">
        <f>SUM(F285:F285)+F283</f>
        <v>-169765.60000000009</v>
      </c>
      <c r="G287" s="1298">
        <f>SUM(G285:G285)+G283</f>
        <v>0</v>
      </c>
      <c r="H287" s="1298">
        <f>SUM(H285:H285)+H283</f>
        <v>-1521749.4381931457</v>
      </c>
      <c r="I287" s="1298">
        <f>SUM(I285:I285)+I283</f>
        <v>0</v>
      </c>
      <c r="J287" s="1299"/>
    </row>
    <row r="288" spans="2:10" ht="13">
      <c r="B288" s="1348"/>
      <c r="C288" s="1307"/>
      <c r="D288" s="1307"/>
      <c r="E288" s="1308"/>
      <c r="F288" s="1298"/>
      <c r="G288" s="1298"/>
      <c r="H288" s="1298"/>
      <c r="I288" s="1298"/>
      <c r="J288" s="1310"/>
    </row>
    <row r="289" spans="2:10" ht="13">
      <c r="B289" s="1305" t="s">
        <v>266</v>
      </c>
      <c r="C289" s="1306"/>
      <c r="D289" s="1307"/>
      <c r="E289" s="1308"/>
      <c r="F289" s="1308"/>
      <c r="G289" s="1308"/>
      <c r="H289" s="1308"/>
      <c r="I289" s="1309">
        <f>I245</f>
        <v>0.13016492184368511</v>
      </c>
      <c r="J289" s="1310"/>
    </row>
    <row r="290" spans="2:10" ht="13">
      <c r="B290" s="1305" t="s">
        <v>238</v>
      </c>
      <c r="C290" s="1306"/>
      <c r="D290" s="1307"/>
      <c r="E290" s="1308"/>
      <c r="F290" s="1308"/>
      <c r="G290" s="1308"/>
      <c r="H290" s="1309">
        <f>H246</f>
        <v>0.38601497499010745</v>
      </c>
      <c r="I290" s="1308"/>
      <c r="J290" s="1310"/>
    </row>
    <row r="291" spans="2:10" ht="13">
      <c r="B291" s="1305" t="s">
        <v>942</v>
      </c>
      <c r="C291" s="1306"/>
      <c r="D291" s="1307"/>
      <c r="E291" s="1308"/>
      <c r="F291" s="1308"/>
      <c r="G291" s="1309">
        <v>1</v>
      </c>
      <c r="H291" s="1308"/>
      <c r="I291" s="1308"/>
      <c r="J291" s="1310"/>
    </row>
    <row r="292" spans="2:10" ht="13">
      <c r="B292" s="1305" t="s">
        <v>943</v>
      </c>
      <c r="C292" s="1306"/>
      <c r="D292" s="1307"/>
      <c r="E292" s="1308"/>
      <c r="F292" s="1309">
        <v>0</v>
      </c>
      <c r="G292" s="1308"/>
      <c r="H292" s="1308"/>
      <c r="I292" s="1308"/>
      <c r="J292" s="1310"/>
    </row>
    <row r="293" spans="2:10" ht="13">
      <c r="B293" s="1306" t="s">
        <v>1355</v>
      </c>
      <c r="C293" s="1306"/>
      <c r="D293" s="1307"/>
      <c r="E293" s="1308">
        <f>F293+G293+H293+I293</f>
        <v>-587418.07132533717</v>
      </c>
      <c r="F293" s="1308">
        <f>F292*F287</f>
        <v>0</v>
      </c>
      <c r="G293" s="1308">
        <f>G287*G291</f>
        <v>0</v>
      </c>
      <c r="H293" s="1308">
        <f>H287*H290</f>
        <v>-587418.07132533717</v>
      </c>
      <c r="I293" s="1308">
        <f>I289*I287</f>
        <v>0</v>
      </c>
      <c r="J293" s="1310"/>
    </row>
    <row r="294" spans="2:10" ht="12.75" customHeight="1">
      <c r="B294" s="1343"/>
      <c r="C294" s="1345"/>
      <c r="D294" s="1345"/>
      <c r="E294" s="1345"/>
      <c r="F294" s="1345"/>
      <c r="G294" s="1345"/>
      <c r="H294" s="1345"/>
      <c r="I294" s="1345"/>
      <c r="J294" s="1345"/>
    </row>
    <row r="295" spans="2:10" ht="12.75" customHeight="1">
      <c r="B295" s="1343"/>
      <c r="C295" s="1345"/>
      <c r="D295" s="1345"/>
      <c r="E295" s="1345"/>
      <c r="F295" s="1345"/>
      <c r="G295" s="1345"/>
      <c r="H295" s="1345"/>
      <c r="I295" s="1345"/>
      <c r="J295" s="1345"/>
    </row>
    <row r="296" spans="2:10" ht="13">
      <c r="B296" s="1275" t="s">
        <v>175</v>
      </c>
      <c r="C296" s="350"/>
      <c r="D296" s="350"/>
      <c r="E296" s="1275" t="s">
        <v>176</v>
      </c>
      <c r="F296" s="1275" t="s">
        <v>1152</v>
      </c>
      <c r="G296" s="1275" t="s">
        <v>1304</v>
      </c>
      <c r="H296" s="1275" t="s">
        <v>1305</v>
      </c>
      <c r="I296" s="1275" t="s">
        <v>1306</v>
      </c>
      <c r="J296" s="1275" t="s">
        <v>1307</v>
      </c>
    </row>
    <row r="297" spans="2:10" ht="13">
      <c r="B297" s="1283"/>
      <c r="C297" s="350"/>
      <c r="D297" s="350"/>
      <c r="E297" s="1275"/>
      <c r="F297" s="1275" t="s">
        <v>1338</v>
      </c>
      <c r="G297" s="1275" t="s">
        <v>260</v>
      </c>
      <c r="H297" s="1275"/>
      <c r="I297" s="1275"/>
      <c r="J297" s="350"/>
    </row>
    <row r="298" spans="2:10" ht="13">
      <c r="B298" s="1328"/>
      <c r="C298" s="350"/>
      <c r="D298" s="350"/>
      <c r="E298" s="1275"/>
      <c r="F298" s="1275" t="s">
        <v>1339</v>
      </c>
      <c r="G298" s="1275" t="s">
        <v>229</v>
      </c>
      <c r="H298" s="1275" t="s">
        <v>261</v>
      </c>
      <c r="I298" s="1275" t="s">
        <v>262</v>
      </c>
      <c r="J298" s="350"/>
    </row>
    <row r="299" spans="2:10" ht="13">
      <c r="B299" s="1283" t="s">
        <v>1360</v>
      </c>
      <c r="E299" s="1275" t="s">
        <v>44</v>
      </c>
      <c r="F299" s="1278" t="s">
        <v>1340</v>
      </c>
      <c r="G299" s="1275" t="s">
        <v>263</v>
      </c>
      <c r="H299" s="1275" t="s">
        <v>263</v>
      </c>
      <c r="I299" s="1275" t="s">
        <v>263</v>
      </c>
      <c r="J299" s="1275" t="s">
        <v>267</v>
      </c>
    </row>
    <row r="300" spans="2:10">
      <c r="B300" s="1292"/>
      <c r="C300" s="1314"/>
      <c r="D300" s="1316"/>
      <c r="E300" s="1293"/>
      <c r="F300" s="1293"/>
      <c r="G300" s="1293"/>
      <c r="H300" s="1293"/>
      <c r="I300" s="1293"/>
      <c r="J300" s="1346"/>
    </row>
    <row r="301" spans="2:10" ht="50">
      <c r="B301" s="1420" t="s">
        <v>1253</v>
      </c>
      <c r="C301" s="1425"/>
      <c r="D301" s="1429"/>
      <c r="E301" s="1423">
        <f>F301+G301+H301+I301</f>
        <v>312349</v>
      </c>
      <c r="F301" s="1423">
        <v>58181</v>
      </c>
      <c r="G301" s="1423"/>
      <c r="H301" s="1423">
        <v>254168</v>
      </c>
      <c r="I301" s="1423"/>
      <c r="J301" s="1346" t="s">
        <v>1859</v>
      </c>
    </row>
    <row r="302" spans="2:10">
      <c r="B302" s="1292"/>
      <c r="C302" s="1314"/>
      <c r="D302" s="1316"/>
      <c r="E302" s="1293"/>
      <c r="F302" s="1293"/>
      <c r="G302" s="1293"/>
      <c r="H302" s="1293"/>
      <c r="I302" s="1293"/>
      <c r="J302" s="1346"/>
    </row>
    <row r="303" spans="2:10">
      <c r="B303" s="1292"/>
      <c r="C303" s="1314"/>
      <c r="D303" s="1316"/>
      <c r="E303" s="1293"/>
      <c r="F303" s="1293"/>
      <c r="G303" s="1293"/>
      <c r="H303" s="1293"/>
      <c r="I303" s="1293"/>
      <c r="J303" s="1346"/>
    </row>
    <row r="304" spans="2:10">
      <c r="B304" s="1292"/>
      <c r="C304" s="1314"/>
      <c r="D304" s="1316"/>
      <c r="E304" s="1293"/>
      <c r="F304" s="1293"/>
      <c r="G304" s="1293"/>
      <c r="H304" s="1293"/>
      <c r="I304" s="1293"/>
      <c r="J304" s="1346"/>
    </row>
    <row r="305" spans="1:10">
      <c r="B305" s="1292"/>
      <c r="C305" s="1314"/>
      <c r="D305" s="1316"/>
      <c r="E305" s="1293"/>
      <c r="F305" s="1293"/>
      <c r="G305" s="1293"/>
      <c r="H305" s="1293"/>
      <c r="I305" s="1293"/>
      <c r="J305" s="1346"/>
    </row>
    <row r="306" spans="1:10">
      <c r="B306" s="1292"/>
      <c r="C306" s="1314"/>
      <c r="D306" s="1316"/>
      <c r="E306" s="1293"/>
      <c r="F306" s="1293"/>
      <c r="G306" s="1293"/>
      <c r="H306" s="1293"/>
      <c r="I306" s="1293"/>
      <c r="J306" s="1346"/>
    </row>
    <row r="307" spans="1:10" ht="13">
      <c r="B307" s="1300" t="s">
        <v>1352</v>
      </c>
      <c r="C307" s="1349"/>
      <c r="D307" s="1297"/>
      <c r="E307" s="1298">
        <f>SUM(E300:E306)</f>
        <v>312349</v>
      </c>
      <c r="F307" s="1298">
        <f>SUM(F300:F306)</f>
        <v>58181</v>
      </c>
      <c r="G307" s="1298">
        <f>SUM(G300:G306)</f>
        <v>0</v>
      </c>
      <c r="H307" s="1298">
        <f>SUM(H300:H306)</f>
        <v>254168</v>
      </c>
      <c r="I307" s="1298">
        <f>SUM(I300:I306)</f>
        <v>0</v>
      </c>
      <c r="J307" s="1299"/>
    </row>
    <row r="308" spans="1:10" ht="13">
      <c r="B308" s="1324"/>
      <c r="C308" s="1325"/>
      <c r="D308" s="1325"/>
      <c r="E308" s="1308"/>
      <c r="F308" s="1298"/>
      <c r="G308" s="1298"/>
      <c r="H308" s="1298"/>
      <c r="I308" s="1298"/>
      <c r="J308" s="1310"/>
    </row>
    <row r="309" spans="1:10" ht="13">
      <c r="B309" s="1326" t="s">
        <v>266</v>
      </c>
      <c r="C309" s="1327"/>
      <c r="D309" s="1307"/>
      <c r="E309" s="1308"/>
      <c r="F309" s="1308"/>
      <c r="G309" s="1308"/>
      <c r="H309" s="1308"/>
      <c r="I309" s="1309">
        <f>I289</f>
        <v>0.13016492184368511</v>
      </c>
      <c r="J309" s="1310"/>
    </row>
    <row r="310" spans="1:10" ht="13">
      <c r="B310" s="1305" t="s">
        <v>238</v>
      </c>
      <c r="C310" s="1306"/>
      <c r="D310" s="1307"/>
      <c r="E310" s="1308"/>
      <c r="F310" s="1308"/>
      <c r="G310" s="1308"/>
      <c r="H310" s="1309">
        <f>H290</f>
        <v>0.38601497499010745</v>
      </c>
      <c r="I310" s="1308"/>
      <c r="J310" s="1310"/>
    </row>
    <row r="311" spans="1:10" ht="13">
      <c r="B311" s="1305" t="s">
        <v>942</v>
      </c>
      <c r="C311" s="1306"/>
      <c r="D311" s="1307"/>
      <c r="E311" s="1308"/>
      <c r="F311" s="1308"/>
      <c r="G311" s="1309">
        <v>1</v>
      </c>
      <c r="H311" s="1308"/>
      <c r="I311" s="1308"/>
      <c r="J311" s="1310"/>
    </row>
    <row r="312" spans="1:10" ht="13">
      <c r="B312" s="1305" t="s">
        <v>943</v>
      </c>
      <c r="C312" s="1306"/>
      <c r="D312" s="1307"/>
      <c r="E312" s="1308"/>
      <c r="F312" s="1309">
        <v>0</v>
      </c>
      <c r="G312" s="1308"/>
      <c r="H312" s="1308"/>
      <c r="I312" s="1308"/>
      <c r="J312" s="1310"/>
    </row>
    <row r="313" spans="1:10" ht="13">
      <c r="B313" s="1311" t="s">
        <v>1357</v>
      </c>
      <c r="C313" s="1306"/>
      <c r="D313" s="1307"/>
      <c r="E313" s="1308">
        <f>F313+G313+H313+I313</f>
        <v>98112.654163285624</v>
      </c>
      <c r="F313" s="1308">
        <f>F312*F307</f>
        <v>0</v>
      </c>
      <c r="G313" s="1308">
        <f>G307*G311</f>
        <v>0</v>
      </c>
      <c r="H313" s="1308">
        <f>H307*H310</f>
        <v>98112.654163285624</v>
      </c>
      <c r="I313" s="1308">
        <f>I309*I307</f>
        <v>0</v>
      </c>
      <c r="J313" s="1310"/>
    </row>
    <row r="314" spans="1:10">
      <c r="G314" s="1285"/>
    </row>
    <row r="316" spans="1:10" s="1193" customFormat="1" ht="15.5">
      <c r="A316" s="1350" t="s">
        <v>493</v>
      </c>
      <c r="B316" s="1351"/>
      <c r="C316" s="1351"/>
      <c r="D316" s="209"/>
      <c r="E316" s="209"/>
      <c r="F316" s="559"/>
      <c r="G316" s="209"/>
      <c r="H316" s="209"/>
      <c r="I316" s="209"/>
      <c r="J316" s="209"/>
    </row>
  </sheetData>
  <mergeCells count="12">
    <mergeCell ref="B190:I191"/>
    <mergeCell ref="B262:I262"/>
    <mergeCell ref="B266:I267"/>
    <mergeCell ref="A1:K1"/>
    <mergeCell ref="A2:K2"/>
    <mergeCell ref="A3:K3"/>
    <mergeCell ref="B6:J6"/>
    <mergeCell ref="B24:I26"/>
    <mergeCell ref="B29:I30"/>
    <mergeCell ref="B116:I116"/>
    <mergeCell ref="B120:I121"/>
    <mergeCell ref="B186:I186"/>
  </mergeCells>
  <pageMargins left="0.7" right="0.7" top="0.75" bottom="0.75" header="0.3" footer="0.3"/>
  <pageSetup scale="36" orientation="landscape" r:id="rId1"/>
  <rowBreaks count="3" manualBreakCount="3">
    <brk id="77" max="11" man="1"/>
    <brk id="184" max="11" man="1"/>
    <brk id="294"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FA32-5374-410B-AB39-A1EA1FA6C55D}">
  <dimension ref="A1:S267"/>
  <sheetViews>
    <sheetView zoomScale="80" zoomScaleNormal="80" workbookViewId="0">
      <selection activeCell="G87" sqref="G87"/>
    </sheetView>
  </sheetViews>
  <sheetFormatPr defaultColWidth="9.1796875" defaultRowHeight="12.5"/>
  <cols>
    <col min="1" max="1" width="5.7265625" style="985" customWidth="1"/>
    <col min="2" max="2" width="11" style="1246" customWidth="1"/>
    <col min="3" max="3" width="5.7265625" style="985" customWidth="1"/>
    <col min="4" max="4" width="32.1796875" style="985" customWidth="1"/>
    <col min="5" max="5" width="14.453125" style="985" customWidth="1"/>
    <col min="6" max="6" width="21.81640625" style="985" customWidth="1"/>
    <col min="7" max="7" width="15.1796875" style="985" customWidth="1"/>
    <col min="8" max="8" width="20.81640625" style="985" bestFit="1" customWidth="1"/>
    <col min="9" max="9" width="3.81640625" style="985" customWidth="1"/>
    <col min="10" max="10" width="27.453125" style="985" customWidth="1"/>
    <col min="11" max="11" width="21.81640625" style="985" customWidth="1"/>
    <col min="12" max="12" width="25.1796875" style="985" customWidth="1"/>
    <col min="13" max="13" width="3.81640625" style="985" customWidth="1"/>
    <col min="14" max="14" width="19.7265625" style="985" customWidth="1"/>
    <col min="15" max="15" width="25.453125" style="985" customWidth="1"/>
    <col min="16" max="16" width="24.7265625" style="985" customWidth="1"/>
    <col min="17" max="17" width="25" style="985" customWidth="1"/>
    <col min="18" max="18" width="26.54296875" style="985" customWidth="1"/>
    <col min="19" max="19" width="3.81640625" style="985" customWidth="1"/>
    <col min="20" max="16384" width="9.1796875" style="985"/>
  </cols>
  <sheetData>
    <row r="1" spans="1:19" ht="15.5">
      <c r="A1" s="1835" t="s">
        <v>1705</v>
      </c>
      <c r="B1" s="1835"/>
      <c r="C1" s="1835"/>
      <c r="D1" s="1835"/>
      <c r="E1" s="1835"/>
      <c r="F1" s="1835"/>
      <c r="G1" s="1835"/>
      <c r="H1" s="1835"/>
      <c r="I1" s="1835"/>
      <c r="J1" s="1835"/>
      <c r="K1" s="1835"/>
      <c r="L1" s="1835"/>
      <c r="M1" s="1835"/>
      <c r="N1" s="1835"/>
      <c r="O1" s="1835"/>
      <c r="P1" s="1835"/>
      <c r="Q1" s="1835"/>
      <c r="R1" s="1835"/>
      <c r="S1" s="1243"/>
    </row>
    <row r="2" spans="1:19" ht="15.5">
      <c r="A2" s="1835" t="s">
        <v>1361</v>
      </c>
      <c r="B2" s="1835"/>
      <c r="C2" s="1835"/>
      <c r="D2" s="1835"/>
      <c r="E2" s="1835"/>
      <c r="F2" s="1835"/>
      <c r="G2" s="1835"/>
      <c r="H2" s="1835"/>
      <c r="I2" s="1835"/>
      <c r="J2" s="1835"/>
      <c r="K2" s="1835"/>
      <c r="L2" s="1835"/>
      <c r="M2" s="1835"/>
      <c r="N2" s="1835"/>
      <c r="O2" s="1835"/>
      <c r="P2" s="1835"/>
      <c r="Q2" s="1835"/>
      <c r="R2" s="1835"/>
      <c r="S2" s="1243"/>
    </row>
    <row r="3" spans="1:19" ht="15.5">
      <c r="A3" s="1835" t="s">
        <v>1860</v>
      </c>
      <c r="B3" s="1835"/>
      <c r="C3" s="1835"/>
      <c r="D3" s="1835"/>
      <c r="E3" s="1835"/>
      <c r="F3" s="1835"/>
      <c r="G3" s="1835"/>
      <c r="H3" s="1835"/>
      <c r="I3" s="1835"/>
      <c r="J3" s="1835"/>
      <c r="K3" s="1835"/>
      <c r="L3" s="1835"/>
      <c r="M3" s="1835"/>
      <c r="N3" s="1835"/>
      <c r="O3" s="1835"/>
      <c r="P3" s="1835"/>
      <c r="Q3" s="1835"/>
      <c r="R3" s="1835"/>
      <c r="S3" s="1243"/>
    </row>
    <row r="4" spans="1:19" ht="15.5">
      <c r="A4" s="890"/>
      <c r="B4" s="1675"/>
      <c r="C4" s="890"/>
      <c r="D4" s="889"/>
      <c r="E4" s="889"/>
      <c r="F4" s="889"/>
      <c r="G4" s="889"/>
      <c r="H4" s="889"/>
      <c r="I4" s="889"/>
      <c r="J4" s="889"/>
      <c r="K4" s="889"/>
      <c r="L4" s="889"/>
      <c r="M4" s="889"/>
      <c r="N4" s="889"/>
      <c r="O4" s="889"/>
      <c r="P4" s="889"/>
      <c r="Q4" s="889"/>
      <c r="R4" s="889"/>
    </row>
    <row r="5" spans="1:19" ht="15.5">
      <c r="A5" s="889"/>
      <c r="B5" s="1245"/>
      <c r="C5" s="889"/>
      <c r="D5" s="889" t="s">
        <v>919</v>
      </c>
      <c r="E5" s="891" t="s">
        <v>1926</v>
      </c>
      <c r="F5" s="892"/>
      <c r="G5" s="892"/>
      <c r="H5" s="892"/>
      <c r="I5" s="889"/>
      <c r="J5" s="889"/>
      <c r="K5" s="889"/>
      <c r="L5" s="889"/>
      <c r="M5" s="889"/>
      <c r="N5" s="889"/>
      <c r="O5" s="889"/>
      <c r="P5" s="889"/>
      <c r="Q5" s="889"/>
      <c r="R5" s="889"/>
    </row>
    <row r="6" spans="1:19" ht="13">
      <c r="D6" s="1243"/>
    </row>
    <row r="7" spans="1:19" ht="15.75" customHeight="1">
      <c r="B7" s="1845" t="s">
        <v>1362</v>
      </c>
      <c r="C7" s="1845"/>
      <c r="D7" s="1845"/>
      <c r="E7" s="1845"/>
      <c r="F7" s="1845"/>
      <c r="G7" s="1845"/>
      <c r="H7" s="1845"/>
      <c r="I7" s="1845"/>
      <c r="J7" s="1845"/>
      <c r="K7" s="1845"/>
      <c r="L7" s="1845"/>
      <c r="M7" s="1845"/>
      <c r="N7" s="1845"/>
      <c r="O7" s="1845"/>
      <c r="P7" s="1845"/>
      <c r="Q7" s="1845"/>
      <c r="R7" s="1845"/>
    </row>
    <row r="8" spans="1:19" ht="13">
      <c r="D8" s="1243"/>
    </row>
    <row r="9" spans="1:19" ht="13">
      <c r="D9" s="1243" t="s">
        <v>1363</v>
      </c>
      <c r="J9" s="1831"/>
      <c r="K9" s="1831"/>
      <c r="L9" s="1831"/>
      <c r="N9" s="1831"/>
      <c r="O9" s="1831"/>
      <c r="P9" s="1831"/>
      <c r="Q9" s="1831"/>
      <c r="R9" s="1831"/>
    </row>
    <row r="10" spans="1:19" ht="13">
      <c r="D10" s="1832" t="s">
        <v>921</v>
      </c>
      <c r="E10" s="1833"/>
      <c r="F10" s="1833"/>
      <c r="G10" s="1833"/>
      <c r="H10" s="1834"/>
      <c r="I10" s="1247"/>
      <c r="J10" s="1826" t="s">
        <v>1364</v>
      </c>
      <c r="K10" s="1827"/>
      <c r="L10" s="1828"/>
      <c r="M10" s="1247"/>
      <c r="N10" s="1826" t="s">
        <v>1365</v>
      </c>
      <c r="O10" s="1827"/>
      <c r="P10" s="1827"/>
      <c r="Q10" s="1827"/>
      <c r="R10" s="1828"/>
      <c r="S10" s="1247"/>
    </row>
    <row r="11" spans="1:19" ht="13">
      <c r="D11" s="1248" t="s">
        <v>175</v>
      </c>
      <c r="E11" s="1248" t="s">
        <v>176</v>
      </c>
      <c r="F11" s="1248" t="s">
        <v>1303</v>
      </c>
      <c r="G11" s="1248" t="s">
        <v>1304</v>
      </c>
      <c r="H11" s="1248" t="s">
        <v>1305</v>
      </c>
      <c r="I11" s="1247"/>
      <c r="J11" s="1248" t="s">
        <v>1306</v>
      </c>
      <c r="K11" s="1248" t="s">
        <v>1307</v>
      </c>
      <c r="L11" s="1248" t="s">
        <v>1308</v>
      </c>
      <c r="M11" s="1247"/>
      <c r="N11" s="1248" t="s">
        <v>1309</v>
      </c>
      <c r="O11" s="1248" t="s">
        <v>1310</v>
      </c>
      <c r="P11" s="1248" t="s">
        <v>1311</v>
      </c>
      <c r="Q11" s="1248" t="s">
        <v>1312</v>
      </c>
      <c r="R11" s="1248" t="s">
        <v>1313</v>
      </c>
      <c r="S11" s="1247"/>
    </row>
    <row r="12" spans="1:19" ht="63" customHeight="1">
      <c r="B12" s="1249" t="s">
        <v>1314</v>
      </c>
      <c r="D12" s="1250" t="s">
        <v>170</v>
      </c>
      <c r="E12" s="1250" t="s">
        <v>922</v>
      </c>
      <c r="F12" s="1250" t="s">
        <v>1014</v>
      </c>
      <c r="G12" s="1250" t="s">
        <v>1013</v>
      </c>
      <c r="H12" s="1250" t="s">
        <v>1315</v>
      </c>
      <c r="I12" s="1678"/>
      <c r="J12" s="1250" t="s">
        <v>925</v>
      </c>
      <c r="K12" s="1250" t="s">
        <v>1316</v>
      </c>
      <c r="L12" s="1250" t="s">
        <v>1317</v>
      </c>
      <c r="M12" s="1678"/>
      <c r="N12" s="1250" t="s">
        <v>1012</v>
      </c>
      <c r="O12" s="1250" t="s">
        <v>1318</v>
      </c>
      <c r="P12" s="1250" t="s">
        <v>1319</v>
      </c>
      <c r="Q12" s="1250" t="s">
        <v>1320</v>
      </c>
      <c r="R12" s="1250" t="s">
        <v>1321</v>
      </c>
      <c r="S12" s="1678"/>
    </row>
    <row r="13" spans="1:19">
      <c r="E13" s="1678"/>
      <c r="F13" s="1678"/>
      <c r="G13" s="1678"/>
      <c r="H13" s="1678"/>
      <c r="I13" s="1678"/>
      <c r="J13" s="1678"/>
      <c r="K13" s="1678"/>
      <c r="L13" s="1678"/>
      <c r="M13" s="1678"/>
      <c r="N13" s="1678"/>
      <c r="O13" s="1678"/>
      <c r="P13" s="1678"/>
      <c r="Q13" s="1678"/>
      <c r="R13" s="1678"/>
      <c r="S13" s="1678"/>
    </row>
    <row r="14" spans="1:19">
      <c r="B14" s="1246">
        <v>1</v>
      </c>
      <c r="D14" s="985" t="s">
        <v>1366</v>
      </c>
      <c r="E14" s="1678"/>
      <c r="F14" s="1678"/>
      <c r="G14" s="1678"/>
      <c r="H14" s="1678"/>
      <c r="I14" s="1678"/>
      <c r="J14" s="1726" t="s">
        <v>1915</v>
      </c>
      <c r="K14" s="1678"/>
      <c r="L14" s="1685">
        <f>'1E - EDIT Amortization'!M34</f>
        <v>3047281</v>
      </c>
      <c r="M14" s="1678"/>
      <c r="N14" s="1685"/>
      <c r="O14" s="1678"/>
      <c r="P14" s="1678"/>
      <c r="Q14" s="1678"/>
      <c r="R14" s="1685">
        <v>0</v>
      </c>
      <c r="S14" s="1678"/>
    </row>
    <row r="15" spans="1:19">
      <c r="E15" s="1678"/>
      <c r="F15" s="1678"/>
      <c r="G15" s="1678"/>
      <c r="H15" s="1678"/>
      <c r="I15" s="1678"/>
      <c r="J15" s="1678"/>
      <c r="K15" s="1678"/>
      <c r="L15" s="1678"/>
      <c r="M15" s="1678"/>
      <c r="N15" s="1678"/>
      <c r="O15" s="1678"/>
      <c r="P15" s="1678"/>
      <c r="Q15" s="1678"/>
      <c r="R15" s="1678"/>
      <c r="S15" s="1678"/>
    </row>
    <row r="16" spans="1:19">
      <c r="B16" s="1246">
        <f>B14+1</f>
        <v>2</v>
      </c>
      <c r="D16" s="1251" t="s">
        <v>528</v>
      </c>
      <c r="E16" s="1685">
        <v>31</v>
      </c>
      <c r="F16" s="1691">
        <v>0</v>
      </c>
      <c r="G16" s="1691">
        <v>214</v>
      </c>
      <c r="H16" s="1690">
        <f t="shared" ref="H16:H27" si="0">IF(F16=0,0.5,F16/G16)</f>
        <v>0.5</v>
      </c>
      <c r="I16" s="1689"/>
      <c r="J16" s="1685">
        <v>0</v>
      </c>
      <c r="K16" s="1683">
        <f t="shared" ref="K16:K27" si="1">+J16*H16</f>
        <v>0</v>
      </c>
      <c r="L16" s="1683">
        <f>+K16+L14</f>
        <v>3047281</v>
      </c>
      <c r="M16" s="1689"/>
      <c r="N16" s="1685">
        <v>0</v>
      </c>
      <c r="O16" s="1683">
        <f t="shared" ref="O16:O27" si="2">IF($D$237="True-Up Adjustment",N16-J16,0)</f>
        <v>0</v>
      </c>
      <c r="P16" s="1683">
        <f t="shared" ref="P16:P27" si="3">IF($D$237="True-Up Adjustment",IF(AND(J16&gt;=0,N16&gt;=0),IF(O16&gt;=0,K16+O16,N16/J16*K16),IF(AND(J16&lt;0,N16&lt;0),IF(O16&lt;0,K16+O16,N16/J16*K16),0)),0)</f>
        <v>0</v>
      </c>
      <c r="Q16" s="1683">
        <f t="shared" ref="Q16:Q27" si="4">IF(AND(J16&gt;=0,N16&lt;0),N16,IF(AND(J16&lt;0,N16&gt;=0),N16,0))</f>
        <v>0</v>
      </c>
      <c r="R16" s="1683">
        <f>+Q16+R14</f>
        <v>0</v>
      </c>
      <c r="S16" s="1689"/>
    </row>
    <row r="17" spans="2:19">
      <c r="B17" s="1246">
        <f t="shared" ref="B17:B28" si="5">+B16+1</f>
        <v>3</v>
      </c>
      <c r="D17" s="1251" t="s">
        <v>529</v>
      </c>
      <c r="E17" s="1685">
        <v>28</v>
      </c>
      <c r="F17" s="1691">
        <v>0</v>
      </c>
      <c r="G17" s="1691">
        <f t="shared" ref="G17:G27" si="6">G16</f>
        <v>214</v>
      </c>
      <c r="H17" s="1690">
        <f t="shared" si="0"/>
        <v>0.5</v>
      </c>
      <c r="I17" s="1689"/>
      <c r="J17" s="1685">
        <v>0</v>
      </c>
      <c r="K17" s="1683">
        <f t="shared" si="1"/>
        <v>0</v>
      </c>
      <c r="L17" s="1683">
        <f t="shared" ref="L17:L27" si="7">+K17+L16</f>
        <v>3047281</v>
      </c>
      <c r="M17" s="1689"/>
      <c r="N17" s="1685">
        <v>0</v>
      </c>
      <c r="O17" s="1683">
        <f t="shared" si="2"/>
        <v>0</v>
      </c>
      <c r="P17" s="1683">
        <f t="shared" si="3"/>
        <v>0</v>
      </c>
      <c r="Q17" s="1683">
        <f t="shared" si="4"/>
        <v>0</v>
      </c>
      <c r="R17" s="1683">
        <f t="shared" ref="R17:R27" si="8">R16+P17+Q17</f>
        <v>0</v>
      </c>
      <c r="S17" s="1689"/>
    </row>
    <row r="18" spans="2:19">
      <c r="B18" s="1246">
        <f t="shared" si="5"/>
        <v>4</v>
      </c>
      <c r="D18" s="1251" t="s">
        <v>553</v>
      </c>
      <c r="E18" s="1685">
        <v>31</v>
      </c>
      <c r="F18" s="1691">
        <v>0</v>
      </c>
      <c r="G18" s="1691">
        <f t="shared" si="6"/>
        <v>214</v>
      </c>
      <c r="H18" s="1690">
        <f t="shared" si="0"/>
        <v>0.5</v>
      </c>
      <c r="I18" s="1689"/>
      <c r="J18" s="1685">
        <v>0</v>
      </c>
      <c r="K18" s="1683">
        <f t="shared" si="1"/>
        <v>0</v>
      </c>
      <c r="L18" s="1683">
        <f t="shared" si="7"/>
        <v>3047281</v>
      </c>
      <c r="M18" s="1689"/>
      <c r="N18" s="1685">
        <v>0</v>
      </c>
      <c r="O18" s="1683">
        <f t="shared" si="2"/>
        <v>0</v>
      </c>
      <c r="P18" s="1683">
        <f t="shared" si="3"/>
        <v>0</v>
      </c>
      <c r="Q18" s="1683">
        <f t="shared" si="4"/>
        <v>0</v>
      </c>
      <c r="R18" s="1683">
        <f t="shared" si="8"/>
        <v>0</v>
      </c>
      <c r="S18" s="1689"/>
    </row>
    <row r="19" spans="2:19">
      <c r="B19" s="1246">
        <f t="shared" si="5"/>
        <v>5</v>
      </c>
      <c r="D19" s="1251" t="s">
        <v>172</v>
      </c>
      <c r="E19" s="1685">
        <v>30</v>
      </c>
      <c r="F19" s="1691">
        <v>0</v>
      </c>
      <c r="G19" s="1691">
        <f t="shared" si="6"/>
        <v>214</v>
      </c>
      <c r="H19" s="1690">
        <f t="shared" si="0"/>
        <v>0.5</v>
      </c>
      <c r="I19" s="1689"/>
      <c r="J19" s="1685">
        <v>0</v>
      </c>
      <c r="K19" s="1683">
        <f t="shared" si="1"/>
        <v>0</v>
      </c>
      <c r="L19" s="1683">
        <f t="shared" si="7"/>
        <v>3047281</v>
      </c>
      <c r="M19" s="1689"/>
      <c r="N19" s="1685">
        <v>0</v>
      </c>
      <c r="O19" s="1683">
        <f t="shared" si="2"/>
        <v>0</v>
      </c>
      <c r="P19" s="1683">
        <f t="shared" si="3"/>
        <v>0</v>
      </c>
      <c r="Q19" s="1683">
        <f t="shared" si="4"/>
        <v>0</v>
      </c>
      <c r="R19" s="1683">
        <f t="shared" si="8"/>
        <v>0</v>
      </c>
      <c r="S19" s="1689"/>
    </row>
    <row r="20" spans="2:19">
      <c r="B20" s="1246">
        <f t="shared" si="5"/>
        <v>6</v>
      </c>
      <c r="D20" s="1251" t="s">
        <v>173</v>
      </c>
      <c r="E20" s="1685">
        <v>31</v>
      </c>
      <c r="F20" s="1691">
        <v>0</v>
      </c>
      <c r="G20" s="1691">
        <f t="shared" si="6"/>
        <v>214</v>
      </c>
      <c r="H20" s="1690">
        <f t="shared" si="0"/>
        <v>0.5</v>
      </c>
      <c r="I20" s="1689"/>
      <c r="J20" s="1685">
        <v>0</v>
      </c>
      <c r="K20" s="1683">
        <f t="shared" si="1"/>
        <v>0</v>
      </c>
      <c r="L20" s="1683">
        <f t="shared" si="7"/>
        <v>3047281</v>
      </c>
      <c r="M20" s="1689"/>
      <c r="N20" s="1685">
        <v>0</v>
      </c>
      <c r="O20" s="1683">
        <f t="shared" si="2"/>
        <v>0</v>
      </c>
      <c r="P20" s="1683">
        <f t="shared" si="3"/>
        <v>0</v>
      </c>
      <c r="Q20" s="1683">
        <f t="shared" si="4"/>
        <v>0</v>
      </c>
      <c r="R20" s="1683">
        <f t="shared" si="8"/>
        <v>0</v>
      </c>
      <c r="S20" s="1689"/>
    </row>
    <row r="21" spans="2:19">
      <c r="B21" s="1246">
        <f t="shared" si="5"/>
        <v>7</v>
      </c>
      <c r="D21" s="1251" t="s">
        <v>174</v>
      </c>
      <c r="E21" s="1685">
        <v>30</v>
      </c>
      <c r="F21" s="1691">
        <f t="shared" ref="F21:F26" si="9">E22+F22</f>
        <v>185</v>
      </c>
      <c r="G21" s="1691">
        <f t="shared" si="6"/>
        <v>214</v>
      </c>
      <c r="H21" s="1690">
        <f t="shared" si="0"/>
        <v>0.86448598130841126</v>
      </c>
      <c r="I21" s="1689"/>
      <c r="J21" s="1685">
        <v>0</v>
      </c>
      <c r="K21" s="1683">
        <f t="shared" si="1"/>
        <v>0</v>
      </c>
      <c r="L21" s="1683">
        <f t="shared" si="7"/>
        <v>3047281</v>
      </c>
      <c r="M21" s="1689"/>
      <c r="N21" s="1685">
        <v>0</v>
      </c>
      <c r="O21" s="1683">
        <f t="shared" si="2"/>
        <v>0</v>
      </c>
      <c r="P21" s="1683">
        <f t="shared" si="3"/>
        <v>0</v>
      </c>
      <c r="Q21" s="1683">
        <f t="shared" si="4"/>
        <v>0</v>
      </c>
      <c r="R21" s="1683">
        <f t="shared" si="8"/>
        <v>0</v>
      </c>
      <c r="S21" s="1689"/>
    </row>
    <row r="22" spans="2:19">
      <c r="B22" s="1246">
        <f t="shared" si="5"/>
        <v>8</v>
      </c>
      <c r="D22" s="1251" t="s">
        <v>531</v>
      </c>
      <c r="E22" s="1685">
        <v>31</v>
      </c>
      <c r="F22" s="1691">
        <f t="shared" si="9"/>
        <v>154</v>
      </c>
      <c r="G22" s="1691">
        <f t="shared" si="6"/>
        <v>214</v>
      </c>
      <c r="H22" s="1690">
        <f t="shared" si="0"/>
        <v>0.71962616822429903</v>
      </c>
      <c r="I22" s="1689"/>
      <c r="J22" s="1685">
        <v>0</v>
      </c>
      <c r="K22" s="1683">
        <f t="shared" si="1"/>
        <v>0</v>
      </c>
      <c r="L22" s="1683">
        <f t="shared" si="7"/>
        <v>3047281</v>
      </c>
      <c r="M22" s="1689"/>
      <c r="N22" s="1685">
        <v>0</v>
      </c>
      <c r="O22" s="1683">
        <f t="shared" si="2"/>
        <v>0</v>
      </c>
      <c r="P22" s="1683">
        <f t="shared" si="3"/>
        <v>0</v>
      </c>
      <c r="Q22" s="1683">
        <f t="shared" si="4"/>
        <v>0</v>
      </c>
      <c r="R22" s="1683">
        <f t="shared" si="8"/>
        <v>0</v>
      </c>
      <c r="S22" s="1689"/>
    </row>
    <row r="23" spans="2:19">
      <c r="B23" s="1246">
        <f t="shared" si="5"/>
        <v>9</v>
      </c>
      <c r="D23" s="1251" t="s">
        <v>554</v>
      </c>
      <c r="E23" s="1685">
        <v>31</v>
      </c>
      <c r="F23" s="1691">
        <f t="shared" si="9"/>
        <v>123</v>
      </c>
      <c r="G23" s="1691">
        <f t="shared" si="6"/>
        <v>214</v>
      </c>
      <c r="H23" s="1690">
        <f t="shared" si="0"/>
        <v>0.57476635514018692</v>
      </c>
      <c r="I23" s="1689"/>
      <c r="J23" s="1685">
        <v>0</v>
      </c>
      <c r="K23" s="1683">
        <f t="shared" si="1"/>
        <v>0</v>
      </c>
      <c r="L23" s="1683">
        <f t="shared" si="7"/>
        <v>3047281</v>
      </c>
      <c r="M23" s="1689"/>
      <c r="N23" s="1685">
        <v>0</v>
      </c>
      <c r="O23" s="1683">
        <f t="shared" si="2"/>
        <v>0</v>
      </c>
      <c r="P23" s="1683">
        <f t="shared" si="3"/>
        <v>0</v>
      </c>
      <c r="Q23" s="1683">
        <f t="shared" si="4"/>
        <v>0</v>
      </c>
      <c r="R23" s="1683">
        <f t="shared" si="8"/>
        <v>0</v>
      </c>
      <c r="S23" s="1689"/>
    </row>
    <row r="24" spans="2:19">
      <c r="B24" s="1246">
        <f t="shared" si="5"/>
        <v>10</v>
      </c>
      <c r="D24" s="1251" t="s">
        <v>533</v>
      </c>
      <c r="E24" s="1685">
        <v>30</v>
      </c>
      <c r="F24" s="1691">
        <f t="shared" si="9"/>
        <v>93</v>
      </c>
      <c r="G24" s="1691">
        <f t="shared" si="6"/>
        <v>214</v>
      </c>
      <c r="H24" s="1690">
        <f t="shared" si="0"/>
        <v>0.43457943925233644</v>
      </c>
      <c r="I24" s="1689"/>
      <c r="J24" s="1685">
        <v>0</v>
      </c>
      <c r="K24" s="1683">
        <f t="shared" si="1"/>
        <v>0</v>
      </c>
      <c r="L24" s="1683">
        <f t="shared" si="7"/>
        <v>3047281</v>
      </c>
      <c r="M24" s="1689"/>
      <c r="N24" s="1685">
        <v>0</v>
      </c>
      <c r="O24" s="1683">
        <f t="shared" si="2"/>
        <v>0</v>
      </c>
      <c r="P24" s="1683">
        <f t="shared" si="3"/>
        <v>0</v>
      </c>
      <c r="Q24" s="1683">
        <f t="shared" si="4"/>
        <v>0</v>
      </c>
      <c r="R24" s="1683">
        <f t="shared" si="8"/>
        <v>0</v>
      </c>
      <c r="S24" s="1689"/>
    </row>
    <row r="25" spans="2:19">
      <c r="B25" s="1246">
        <f t="shared" si="5"/>
        <v>11</v>
      </c>
      <c r="D25" s="1251" t="s">
        <v>534</v>
      </c>
      <c r="E25" s="1685">
        <v>31</v>
      </c>
      <c r="F25" s="1691">
        <f t="shared" si="9"/>
        <v>62</v>
      </c>
      <c r="G25" s="1691">
        <f t="shared" si="6"/>
        <v>214</v>
      </c>
      <c r="H25" s="1690">
        <f t="shared" si="0"/>
        <v>0.28971962616822428</v>
      </c>
      <c r="I25" s="1689"/>
      <c r="J25" s="1685">
        <v>0</v>
      </c>
      <c r="K25" s="1683">
        <f t="shared" si="1"/>
        <v>0</v>
      </c>
      <c r="L25" s="1683">
        <f t="shared" si="7"/>
        <v>3047281</v>
      </c>
      <c r="M25" s="1689"/>
      <c r="N25" s="1685">
        <v>0</v>
      </c>
      <c r="O25" s="1683">
        <f t="shared" si="2"/>
        <v>0</v>
      </c>
      <c r="P25" s="1683">
        <f t="shared" si="3"/>
        <v>0</v>
      </c>
      <c r="Q25" s="1683">
        <f t="shared" si="4"/>
        <v>0</v>
      </c>
      <c r="R25" s="1683">
        <f t="shared" si="8"/>
        <v>0</v>
      </c>
      <c r="S25" s="1689"/>
    </row>
    <row r="26" spans="2:19">
      <c r="B26" s="1246">
        <f t="shared" si="5"/>
        <v>12</v>
      </c>
      <c r="D26" s="1251" t="s">
        <v>535</v>
      </c>
      <c r="E26" s="1685">
        <v>30</v>
      </c>
      <c r="F26" s="1691">
        <f t="shared" si="9"/>
        <v>32</v>
      </c>
      <c r="G26" s="1691">
        <f t="shared" si="6"/>
        <v>214</v>
      </c>
      <c r="H26" s="1690">
        <f t="shared" si="0"/>
        <v>0.14953271028037382</v>
      </c>
      <c r="I26" s="1689"/>
      <c r="J26" s="1685">
        <v>0</v>
      </c>
      <c r="K26" s="1683">
        <f t="shared" si="1"/>
        <v>0</v>
      </c>
      <c r="L26" s="1683">
        <f t="shared" si="7"/>
        <v>3047281</v>
      </c>
      <c r="M26" s="1689"/>
      <c r="N26" s="1685">
        <v>0</v>
      </c>
      <c r="O26" s="1683">
        <f t="shared" si="2"/>
        <v>0</v>
      </c>
      <c r="P26" s="1683">
        <f t="shared" si="3"/>
        <v>0</v>
      </c>
      <c r="Q26" s="1683">
        <f t="shared" si="4"/>
        <v>0</v>
      </c>
      <c r="R26" s="1683">
        <f t="shared" si="8"/>
        <v>0</v>
      </c>
      <c r="S26" s="1689"/>
    </row>
    <row r="27" spans="2:19">
      <c r="B27" s="1246">
        <f t="shared" si="5"/>
        <v>13</v>
      </c>
      <c r="D27" s="1252" t="s">
        <v>757</v>
      </c>
      <c r="E27" s="1685">
        <v>31</v>
      </c>
      <c r="F27" s="1692">
        <v>1</v>
      </c>
      <c r="G27" s="1691">
        <f t="shared" si="6"/>
        <v>214</v>
      </c>
      <c r="H27" s="1690">
        <f t="shared" si="0"/>
        <v>4.6728971962616819E-3</v>
      </c>
      <c r="I27" s="1689"/>
      <c r="J27" s="1685">
        <v>0</v>
      </c>
      <c r="K27" s="1683">
        <f t="shared" si="1"/>
        <v>0</v>
      </c>
      <c r="L27" s="1683">
        <f t="shared" si="7"/>
        <v>3047281</v>
      </c>
      <c r="M27" s="1689"/>
      <c r="N27" s="1685">
        <v>0</v>
      </c>
      <c r="O27" s="1683">
        <f t="shared" si="2"/>
        <v>0</v>
      </c>
      <c r="P27" s="1683">
        <f t="shared" si="3"/>
        <v>0</v>
      </c>
      <c r="Q27" s="1683">
        <f t="shared" si="4"/>
        <v>0</v>
      </c>
      <c r="R27" s="1683">
        <f t="shared" si="8"/>
        <v>0</v>
      </c>
      <c r="S27" s="1689"/>
    </row>
    <row r="28" spans="2:19">
      <c r="B28" s="1246">
        <f t="shared" si="5"/>
        <v>14</v>
      </c>
      <c r="D28" s="1253" t="str">
        <f>"Total (Sum of Lines "&amp;B16&amp;" - "&amp;B27&amp;")"</f>
        <v>Total (Sum of Lines 2 - 13)</v>
      </c>
      <c r="E28" s="1688">
        <f>SUM(E16:E27)</f>
        <v>365</v>
      </c>
      <c r="F28" s="1254"/>
      <c r="G28" s="1254"/>
      <c r="H28" s="1255"/>
      <c r="I28" s="1686"/>
      <c r="J28" s="1688">
        <f>SUM(J16:J27)</f>
        <v>0</v>
      </c>
      <c r="K28" s="1688">
        <f>SUM(K16:K27)</f>
        <v>0</v>
      </c>
      <c r="L28" s="1687"/>
      <c r="M28" s="1686"/>
      <c r="N28" s="1688">
        <f>SUM(N16:N27)</f>
        <v>0</v>
      </c>
      <c r="O28" s="1688">
        <f>SUM(O16:O27)</f>
        <v>0</v>
      </c>
      <c r="P28" s="1688">
        <f>SUM(P16:P27)</f>
        <v>0</v>
      </c>
      <c r="Q28" s="1688">
        <f>SUM(Q16:Q27)</f>
        <v>0</v>
      </c>
      <c r="R28" s="1687"/>
      <c r="S28" s="1686"/>
    </row>
    <row r="29" spans="2:19">
      <c r="D29" s="1256"/>
      <c r="E29" s="1256"/>
      <c r="F29" s="1256"/>
      <c r="G29" s="1256"/>
      <c r="H29" s="1257"/>
      <c r="I29" s="1257"/>
      <c r="K29" s="1258"/>
      <c r="L29" s="1257"/>
      <c r="M29" s="1257"/>
      <c r="O29" s="1258"/>
      <c r="P29" s="1258"/>
      <c r="Q29" s="1258"/>
      <c r="R29" s="1257"/>
      <c r="S29" s="1257"/>
    </row>
    <row r="30" spans="2:19">
      <c r="B30" s="1246">
        <f>B28+1</f>
        <v>15</v>
      </c>
      <c r="D30" s="985" t="s">
        <v>1367</v>
      </c>
      <c r="I30" s="1257"/>
      <c r="J30" s="1726" t="s">
        <v>1915</v>
      </c>
      <c r="L30" s="1685">
        <f>'1E - EDIT Amortization'!M16</f>
        <v>-569021.12305230345</v>
      </c>
      <c r="M30" s="1259"/>
      <c r="N30" s="1685"/>
      <c r="R30" s="1685">
        <v>0</v>
      </c>
    </row>
    <row r="31" spans="2:19">
      <c r="B31" s="1246">
        <f>B30+1</f>
        <v>16</v>
      </c>
      <c r="D31" s="985" t="s">
        <v>1368</v>
      </c>
      <c r="I31" s="1257"/>
      <c r="J31" s="1260" t="s">
        <v>647</v>
      </c>
      <c r="L31" s="1261">
        <v>0</v>
      </c>
      <c r="M31" s="1262"/>
      <c r="N31" s="1260"/>
      <c r="R31" s="1261">
        <v>0</v>
      </c>
    </row>
    <row r="32" spans="2:19">
      <c r="B32" s="1246">
        <f>B31+1</f>
        <v>17</v>
      </c>
      <c r="D32" s="985" t="s">
        <v>1369</v>
      </c>
      <c r="I32" s="1257"/>
      <c r="J32" s="1253" t="str">
        <f>"(Col. "&amp;L11&amp;", Line "&amp;B30&amp;" + Line "&amp;B31&amp;")"</f>
        <v>(Col. (H), Line 15 + Line 16)</v>
      </c>
      <c r="L32" s="1684">
        <f>L30+L31</f>
        <v>-569021.12305230345</v>
      </c>
      <c r="M32" s="1257"/>
      <c r="N32" s="1253" t="str">
        <f>"(Col. "&amp;R11&amp;", Line "&amp;B30&amp;" + Line "&amp;B31&amp;")"</f>
        <v>(Col. (M), Line 15 + Line 16)</v>
      </c>
      <c r="R32" s="1684">
        <f>R30+R31</f>
        <v>0</v>
      </c>
    </row>
    <row r="33" spans="2:19">
      <c r="I33" s="1257"/>
      <c r="L33" s="1684"/>
      <c r="M33" s="1257"/>
      <c r="R33" s="1684"/>
    </row>
    <row r="34" spans="2:19">
      <c r="B34" s="1246">
        <f>B32+1</f>
        <v>18</v>
      </c>
      <c r="D34" s="985" t="s">
        <v>1370</v>
      </c>
      <c r="I34" s="1257"/>
      <c r="J34" s="1726" t="s">
        <v>1927</v>
      </c>
      <c r="L34" s="1685">
        <f>'1E - EDIT Amortization'!Q16</f>
        <v>0</v>
      </c>
      <c r="M34" s="1259"/>
      <c r="N34" s="1685"/>
      <c r="R34" s="1685">
        <v>0</v>
      </c>
    </row>
    <row r="35" spans="2:19">
      <c r="B35" s="1246">
        <f>B34+1</f>
        <v>19</v>
      </c>
      <c r="D35" s="985" t="s">
        <v>1371</v>
      </c>
      <c r="I35" s="1257"/>
      <c r="J35" s="1260" t="s">
        <v>647</v>
      </c>
      <c r="L35" s="1261">
        <v>0</v>
      </c>
      <c r="M35" s="1257"/>
      <c r="N35" s="1260"/>
      <c r="R35" s="1261">
        <v>0</v>
      </c>
    </row>
    <row r="36" spans="2:19">
      <c r="B36" s="1246">
        <f>B35+1</f>
        <v>20</v>
      </c>
      <c r="D36" s="985" t="s">
        <v>1372</v>
      </c>
      <c r="G36" s="1253"/>
      <c r="I36" s="1257"/>
      <c r="J36" s="1253" t="str">
        <f>"(Col. "&amp;L11&amp;", Line "&amp;B34&amp;" + Line "&amp;B35&amp;")"</f>
        <v>(Col. (H), Line 18 + Line 19)</v>
      </c>
      <c r="L36" s="1684">
        <f>L34+L35</f>
        <v>0</v>
      </c>
      <c r="M36" s="1257"/>
      <c r="N36" s="1253" t="str">
        <f>"(Col. "&amp;R11&amp;", Line "&amp;B34&amp;" + Line "&amp;B35&amp;")"</f>
        <v>(Col. (M), Line 18 + Line 19)</v>
      </c>
      <c r="R36" s="1684">
        <f>R34+R35</f>
        <v>0</v>
      </c>
    </row>
    <row r="37" spans="2:19">
      <c r="I37" s="1257"/>
      <c r="L37" s="1684"/>
      <c r="M37" s="1257"/>
      <c r="R37" s="1684"/>
    </row>
    <row r="38" spans="2:19">
      <c r="B38" s="1246">
        <f>B36+1</f>
        <v>21</v>
      </c>
      <c r="D38" s="985" t="s">
        <v>1009</v>
      </c>
      <c r="I38" s="1257"/>
      <c r="J38" s="1253" t="str">
        <f>"([Col. "&amp;L11&amp;", Line "&amp;B32&amp;" + Line "&amp;B36&amp;"] /2)"</f>
        <v>([Col. (H), Line 17 + Line 20] /2)</v>
      </c>
      <c r="L38" s="1683">
        <f>(L32+L36)/2</f>
        <v>-284510.56152615172</v>
      </c>
      <c r="M38" s="1257"/>
      <c r="N38" s="1253" t="str">
        <f>"([Col. "&amp;R11&amp;", Line "&amp;B32&amp;" + Line "&amp;B36&amp;"] /2)"</f>
        <v>([Col. (M), Line 17 + Line 20] /2)</v>
      </c>
      <c r="R38" s="1683">
        <f>(R32+R36)/2</f>
        <v>0</v>
      </c>
    </row>
    <row r="39" spans="2:19">
      <c r="B39" s="1246">
        <f>B38+1</f>
        <v>22</v>
      </c>
      <c r="D39" s="1352" t="s">
        <v>1373</v>
      </c>
      <c r="E39" s="1256"/>
      <c r="F39" s="1256"/>
      <c r="G39" s="1256"/>
      <c r="H39" s="1257"/>
      <c r="I39" s="1257"/>
      <c r="J39" s="1253" t="str">
        <f>"(Col. "&amp;L11&amp;", Line "&amp;B27&amp;" )"</f>
        <v>(Col. (H), Line 13 )</v>
      </c>
      <c r="K39" s="1258"/>
      <c r="L39" s="1683">
        <f>L27</f>
        <v>3047281</v>
      </c>
      <c r="M39" s="1257"/>
      <c r="N39" s="1253" t="str">
        <f>"(Col. "&amp;R11&amp;", Line "&amp;B27&amp;" )"</f>
        <v>(Col. (M), Line 13 )</v>
      </c>
      <c r="R39" s="1683">
        <f>R27</f>
        <v>0</v>
      </c>
    </row>
    <row r="40" spans="2:19" ht="13.5" thickBot="1">
      <c r="B40" s="1246">
        <f>B39+1</f>
        <v>23</v>
      </c>
      <c r="D40" s="1263" t="s">
        <v>1374</v>
      </c>
      <c r="E40" s="1256"/>
      <c r="F40" s="1256"/>
      <c r="G40" s="1256"/>
      <c r="H40" s="1257"/>
      <c r="I40" s="1257"/>
      <c r="J40" s="1253" t="str">
        <f>"(Col. "&amp;L11&amp;", Line "&amp;B38&amp;" + Line "&amp;B39&amp;")"</f>
        <v>(Col. (H), Line 21 + Line 22)</v>
      </c>
      <c r="K40" s="1258"/>
      <c r="L40" s="1682">
        <f>L38+L39</f>
        <v>2762770.4384738482</v>
      </c>
      <c r="M40" s="1257"/>
      <c r="N40" s="1253" t="str">
        <f>"(Col. "&amp;R11&amp;", Line "&amp;B38&amp;" + Line "&amp;B39&amp;")"</f>
        <v>(Col. (M), Line 21 + Line 22)</v>
      </c>
      <c r="R40" s="1682">
        <f>R38+R39</f>
        <v>0</v>
      </c>
    </row>
    <row r="41" spans="2:19">
      <c r="I41" s="1257"/>
      <c r="L41" s="1683"/>
      <c r="M41" s="1257"/>
      <c r="R41" s="1683"/>
      <c r="S41" s="1257"/>
    </row>
    <row r="42" spans="2:19" ht="13">
      <c r="D42" s="1243" t="s">
        <v>1375</v>
      </c>
      <c r="J42" s="1264"/>
      <c r="K42" s="1265"/>
      <c r="L42" s="1265"/>
      <c r="N42" s="1265"/>
      <c r="O42" s="1265"/>
      <c r="P42" s="1265"/>
      <c r="Q42" s="1265"/>
      <c r="R42" s="1265"/>
    </row>
    <row r="43" spans="2:19" ht="13">
      <c r="D43" s="1832" t="s">
        <v>921</v>
      </c>
      <c r="E43" s="1833"/>
      <c r="F43" s="1833"/>
      <c r="G43" s="1833"/>
      <c r="H43" s="1834"/>
      <c r="I43" s="1247"/>
      <c r="J43" s="1826" t="s">
        <v>1364</v>
      </c>
      <c r="K43" s="1827"/>
      <c r="L43" s="1828"/>
      <c r="M43" s="1247"/>
      <c r="N43" s="1826" t="s">
        <v>1365</v>
      </c>
      <c r="O43" s="1827"/>
      <c r="P43" s="1827"/>
      <c r="Q43" s="1827"/>
      <c r="R43" s="1828"/>
      <c r="S43" s="1247"/>
    </row>
    <row r="44" spans="2:19" ht="13">
      <c r="D44" s="1248" t="s">
        <v>175</v>
      </c>
      <c r="E44" s="1248" t="s">
        <v>176</v>
      </c>
      <c r="F44" s="1248" t="s">
        <v>1303</v>
      </c>
      <c r="G44" s="1248" t="s">
        <v>1304</v>
      </c>
      <c r="H44" s="1248" t="s">
        <v>1305</v>
      </c>
      <c r="I44" s="1247"/>
      <c r="J44" s="1248" t="s">
        <v>1306</v>
      </c>
      <c r="K44" s="1248" t="s">
        <v>1307</v>
      </c>
      <c r="L44" s="1248" t="s">
        <v>1308</v>
      </c>
      <c r="M44" s="1247"/>
      <c r="N44" s="1248" t="s">
        <v>1309</v>
      </c>
      <c r="O44" s="1248" t="s">
        <v>1310</v>
      </c>
      <c r="P44" s="1248" t="s">
        <v>1311</v>
      </c>
      <c r="Q44" s="1248" t="s">
        <v>1312</v>
      </c>
      <c r="R44" s="1248" t="s">
        <v>1313</v>
      </c>
      <c r="S44" s="1247"/>
    </row>
    <row r="45" spans="2:19" ht="50">
      <c r="B45" s="1249" t="s">
        <v>1314</v>
      </c>
      <c r="D45" s="1250" t="s">
        <v>170</v>
      </c>
      <c r="E45" s="1250" t="s">
        <v>922</v>
      </c>
      <c r="F45" s="1250" t="s">
        <v>923</v>
      </c>
      <c r="G45" s="1250" t="s">
        <v>924</v>
      </c>
      <c r="H45" s="1250" t="s">
        <v>1315</v>
      </c>
      <c r="I45" s="1678"/>
      <c r="J45" s="1250" t="s">
        <v>925</v>
      </c>
      <c r="K45" s="1250" t="s">
        <v>1316</v>
      </c>
      <c r="L45" s="1250" t="s">
        <v>1317</v>
      </c>
      <c r="M45" s="1678"/>
      <c r="N45" s="1250" t="s">
        <v>1012</v>
      </c>
      <c r="O45" s="1250" t="s">
        <v>1318</v>
      </c>
      <c r="P45" s="1250" t="s">
        <v>1319</v>
      </c>
      <c r="Q45" s="1250" t="s">
        <v>1320</v>
      </c>
      <c r="R45" s="1250" t="s">
        <v>1321</v>
      </c>
      <c r="S45" s="1678"/>
    </row>
    <row r="46" spans="2:19">
      <c r="E46" s="1678"/>
      <c r="F46" s="1678"/>
      <c r="G46" s="1678"/>
      <c r="H46" s="1678"/>
      <c r="I46" s="1678"/>
      <c r="J46" s="1678"/>
      <c r="K46" s="1678"/>
      <c r="L46" s="1678"/>
      <c r="M46" s="1678"/>
      <c r="N46" s="1678"/>
      <c r="O46" s="1678"/>
      <c r="P46" s="1678"/>
      <c r="Q46" s="1678"/>
      <c r="R46" s="1678"/>
      <c r="S46" s="1678"/>
    </row>
    <row r="47" spans="2:19">
      <c r="B47" s="1246">
        <f>B40+1</f>
        <v>24</v>
      </c>
      <c r="D47" s="985" t="s">
        <v>1366</v>
      </c>
      <c r="E47" s="1678"/>
      <c r="F47" s="1678"/>
      <c r="G47" s="1678"/>
      <c r="H47" s="1678"/>
      <c r="I47" s="1678"/>
      <c r="J47" s="1726" t="s">
        <v>1915</v>
      </c>
      <c r="K47" s="1678"/>
      <c r="L47" s="1685">
        <f>'1E - EDIT Amortization'!M36</f>
        <v>-64047302</v>
      </c>
      <c r="M47" s="1678"/>
      <c r="N47" s="1685"/>
      <c r="O47" s="1678"/>
      <c r="P47" s="1678"/>
      <c r="Q47" s="1678"/>
      <c r="R47" s="1685">
        <v>0</v>
      </c>
      <c r="S47" s="1678"/>
    </row>
    <row r="48" spans="2:19">
      <c r="E48" s="1678"/>
      <c r="F48" s="1678"/>
      <c r="G48" s="1678"/>
      <c r="H48" s="1678"/>
      <c r="I48" s="1678"/>
      <c r="J48" s="1678"/>
      <c r="K48" s="1678"/>
      <c r="L48" s="1678"/>
      <c r="M48" s="1678"/>
      <c r="N48" s="1678"/>
      <c r="O48" s="1678"/>
      <c r="P48" s="1678"/>
      <c r="Q48" s="1678"/>
      <c r="R48" s="1678"/>
      <c r="S48" s="1678"/>
    </row>
    <row r="49" spans="2:19">
      <c r="B49" s="1246">
        <f>B47+1</f>
        <v>25</v>
      </c>
      <c r="D49" s="1251" t="s">
        <v>528</v>
      </c>
      <c r="E49" s="1685">
        <v>31</v>
      </c>
      <c r="F49" s="1691">
        <v>0</v>
      </c>
      <c r="G49" s="1691">
        <v>214</v>
      </c>
      <c r="H49" s="1690">
        <f t="shared" ref="H49:H60" si="10">IF(F49=0,0.5,F49/G49)</f>
        <v>0.5</v>
      </c>
      <c r="I49" s="1689"/>
      <c r="J49" s="1685">
        <f>('1E - EDIT Amortization'!O$36+'1E - EDIT Amortization'!O$54)/12</f>
        <v>130190.35332689167</v>
      </c>
      <c r="K49" s="1683">
        <f t="shared" ref="K49:K60" si="11">+J49*H49</f>
        <v>65095.176663445833</v>
      </c>
      <c r="L49" s="1683">
        <f>+K49+L47</f>
        <v>-63982206.823336557</v>
      </c>
      <c r="M49" s="1689"/>
      <c r="N49" s="1685">
        <v>0</v>
      </c>
      <c r="O49" s="1683">
        <f t="shared" ref="O49:O60" si="12">IF($D$237="True-Up Adjustment",N49-J49,0)</f>
        <v>0</v>
      </c>
      <c r="P49" s="1683">
        <f t="shared" ref="P49:P60" si="13">IF($D$237="True-Up Adjustment",IF(AND(J49&gt;=0,N49&gt;=0),IF(O49&gt;=0,K49+O49,N49/J49*K49),IF(AND(J49&lt;0,N49&lt;0),IF(O49&lt;0,K49+O49,N49/J49*K49),0)),0)</f>
        <v>0</v>
      </c>
      <c r="Q49" s="1683">
        <f t="shared" ref="Q49:Q60" si="14">IF(AND(J49&gt;=0,N49&lt;0),N49,IF(AND(J49&lt;0,N49&gt;=0),N49,0))</f>
        <v>0</v>
      </c>
      <c r="R49" s="1683">
        <f>R47+P49+Q49</f>
        <v>0</v>
      </c>
      <c r="S49" s="1689"/>
    </row>
    <row r="50" spans="2:19">
      <c r="B50" s="1246">
        <f t="shared" ref="B50:B61" si="15">+B49+1</f>
        <v>26</v>
      </c>
      <c r="D50" s="1251" t="s">
        <v>529</v>
      </c>
      <c r="E50" s="1685">
        <v>28</v>
      </c>
      <c r="F50" s="1691">
        <v>0</v>
      </c>
      <c r="G50" s="1691">
        <f t="shared" ref="G50:G60" si="16">G49</f>
        <v>214</v>
      </c>
      <c r="H50" s="1690">
        <f t="shared" si="10"/>
        <v>0.5</v>
      </c>
      <c r="I50" s="1689"/>
      <c r="J50" s="1685">
        <f>('1E - EDIT Amortization'!O$36+'1E - EDIT Amortization'!O$54)/12</f>
        <v>130190.35332689167</v>
      </c>
      <c r="K50" s="1683">
        <f t="shared" si="11"/>
        <v>65095.176663445833</v>
      </c>
      <c r="L50" s="1683">
        <f t="shared" ref="L50:L60" si="17">+K50+L49</f>
        <v>-63917111.646673113</v>
      </c>
      <c r="M50" s="1689"/>
      <c r="N50" s="1685">
        <v>0</v>
      </c>
      <c r="O50" s="1683">
        <f t="shared" si="12"/>
        <v>0</v>
      </c>
      <c r="P50" s="1683">
        <f t="shared" si="13"/>
        <v>0</v>
      </c>
      <c r="Q50" s="1683">
        <f t="shared" si="14"/>
        <v>0</v>
      </c>
      <c r="R50" s="1683">
        <f t="shared" ref="R50:R60" si="18">R49+P50+Q50</f>
        <v>0</v>
      </c>
      <c r="S50" s="1689"/>
    </row>
    <row r="51" spans="2:19">
      <c r="B51" s="1246">
        <f t="shared" si="15"/>
        <v>27</v>
      </c>
      <c r="D51" s="1251" t="s">
        <v>553</v>
      </c>
      <c r="E51" s="1685">
        <v>31</v>
      </c>
      <c r="F51" s="1691">
        <v>0</v>
      </c>
      <c r="G51" s="1691">
        <f t="shared" si="16"/>
        <v>214</v>
      </c>
      <c r="H51" s="1690">
        <f t="shared" si="10"/>
        <v>0.5</v>
      </c>
      <c r="I51" s="1689"/>
      <c r="J51" s="1685">
        <f>('1E - EDIT Amortization'!O$36+'1E - EDIT Amortization'!O$54)/12</f>
        <v>130190.35332689167</v>
      </c>
      <c r="K51" s="1683">
        <f t="shared" si="11"/>
        <v>65095.176663445833</v>
      </c>
      <c r="L51" s="1683">
        <f t="shared" si="17"/>
        <v>-63852016.47000967</v>
      </c>
      <c r="M51" s="1689"/>
      <c r="N51" s="1685">
        <v>0</v>
      </c>
      <c r="O51" s="1683">
        <f t="shared" si="12"/>
        <v>0</v>
      </c>
      <c r="P51" s="1683">
        <f t="shared" si="13"/>
        <v>0</v>
      </c>
      <c r="Q51" s="1683">
        <f t="shared" si="14"/>
        <v>0</v>
      </c>
      <c r="R51" s="1683">
        <f t="shared" si="18"/>
        <v>0</v>
      </c>
      <c r="S51" s="1689"/>
    </row>
    <row r="52" spans="2:19">
      <c r="B52" s="1246">
        <f t="shared" si="15"/>
        <v>28</v>
      </c>
      <c r="D52" s="1251" t="s">
        <v>172</v>
      </c>
      <c r="E52" s="1685">
        <v>30</v>
      </c>
      <c r="F52" s="1691">
        <v>0</v>
      </c>
      <c r="G52" s="1691">
        <f t="shared" si="16"/>
        <v>214</v>
      </c>
      <c r="H52" s="1690">
        <f t="shared" si="10"/>
        <v>0.5</v>
      </c>
      <c r="I52" s="1689"/>
      <c r="J52" s="1685">
        <f>('1E - EDIT Amortization'!O$36+'1E - EDIT Amortization'!O$54)/12</f>
        <v>130190.35332689167</v>
      </c>
      <c r="K52" s="1683">
        <f t="shared" si="11"/>
        <v>65095.176663445833</v>
      </c>
      <c r="L52" s="1683">
        <f t="shared" si="17"/>
        <v>-63786921.293346226</v>
      </c>
      <c r="M52" s="1689"/>
      <c r="N52" s="1685">
        <v>0</v>
      </c>
      <c r="O52" s="1683">
        <f t="shared" si="12"/>
        <v>0</v>
      </c>
      <c r="P52" s="1683">
        <f t="shared" si="13"/>
        <v>0</v>
      </c>
      <c r="Q52" s="1683">
        <f t="shared" si="14"/>
        <v>0</v>
      </c>
      <c r="R52" s="1683">
        <f t="shared" si="18"/>
        <v>0</v>
      </c>
      <c r="S52" s="1689"/>
    </row>
    <row r="53" spans="2:19">
      <c r="B53" s="1246">
        <f t="shared" si="15"/>
        <v>29</v>
      </c>
      <c r="D53" s="1251" t="s">
        <v>173</v>
      </c>
      <c r="E53" s="1685">
        <v>31</v>
      </c>
      <c r="F53" s="1691">
        <v>0</v>
      </c>
      <c r="G53" s="1691">
        <f t="shared" si="16"/>
        <v>214</v>
      </c>
      <c r="H53" s="1690">
        <f t="shared" si="10"/>
        <v>0.5</v>
      </c>
      <c r="I53" s="1689"/>
      <c r="J53" s="1685">
        <f>('1E - EDIT Amortization'!O$36+'1E - EDIT Amortization'!O$54)/12</f>
        <v>130190.35332689167</v>
      </c>
      <c r="K53" s="1683">
        <f t="shared" si="11"/>
        <v>65095.176663445833</v>
      </c>
      <c r="L53" s="1683">
        <f t="shared" si="17"/>
        <v>-63721826.116682783</v>
      </c>
      <c r="M53" s="1689"/>
      <c r="N53" s="1685">
        <v>0</v>
      </c>
      <c r="O53" s="1683">
        <f t="shared" si="12"/>
        <v>0</v>
      </c>
      <c r="P53" s="1683">
        <f t="shared" si="13"/>
        <v>0</v>
      </c>
      <c r="Q53" s="1683">
        <f t="shared" si="14"/>
        <v>0</v>
      </c>
      <c r="R53" s="1683">
        <f t="shared" si="18"/>
        <v>0</v>
      </c>
      <c r="S53" s="1689"/>
    </row>
    <row r="54" spans="2:19">
      <c r="B54" s="1246">
        <f t="shared" si="15"/>
        <v>30</v>
      </c>
      <c r="D54" s="1251" t="s">
        <v>174</v>
      </c>
      <c r="E54" s="1685">
        <v>30</v>
      </c>
      <c r="F54" s="1691">
        <f t="shared" ref="F54:F59" si="19">E55+F55</f>
        <v>185</v>
      </c>
      <c r="G54" s="1691">
        <f t="shared" si="16"/>
        <v>214</v>
      </c>
      <c r="H54" s="1690">
        <f t="shared" si="10"/>
        <v>0.86448598130841126</v>
      </c>
      <c r="I54" s="1689"/>
      <c r="J54" s="1685">
        <f>('1E - EDIT Amortization'!O$36+'1E - EDIT Amortization'!O$54)/12</f>
        <v>130190.35332689167</v>
      </c>
      <c r="K54" s="1683">
        <f t="shared" si="11"/>
        <v>112547.73535268672</v>
      </c>
      <c r="L54" s="1683">
        <f t="shared" si="17"/>
        <v>-63609278.381330095</v>
      </c>
      <c r="M54" s="1689"/>
      <c r="N54" s="1685">
        <v>0</v>
      </c>
      <c r="O54" s="1683">
        <f t="shared" si="12"/>
        <v>0</v>
      </c>
      <c r="P54" s="1683">
        <f t="shared" si="13"/>
        <v>0</v>
      </c>
      <c r="Q54" s="1683">
        <f t="shared" si="14"/>
        <v>0</v>
      </c>
      <c r="R54" s="1683">
        <f t="shared" si="18"/>
        <v>0</v>
      </c>
      <c r="S54" s="1689"/>
    </row>
    <row r="55" spans="2:19">
      <c r="B55" s="1246">
        <f t="shared" si="15"/>
        <v>31</v>
      </c>
      <c r="D55" s="1251" t="s">
        <v>531</v>
      </c>
      <c r="E55" s="1685">
        <v>31</v>
      </c>
      <c r="F55" s="1691">
        <f t="shared" si="19"/>
        <v>154</v>
      </c>
      <c r="G55" s="1691">
        <f t="shared" si="16"/>
        <v>214</v>
      </c>
      <c r="H55" s="1690">
        <f t="shared" si="10"/>
        <v>0.71962616822429903</v>
      </c>
      <c r="I55" s="1689"/>
      <c r="J55" s="1685">
        <f>('1E - EDIT Amortization'!O$36+'1E - EDIT Amortization'!O$54)/12</f>
        <v>130190.35332689167</v>
      </c>
      <c r="K55" s="1683">
        <f t="shared" si="11"/>
        <v>93688.385104398665</v>
      </c>
      <c r="L55" s="1683">
        <f t="shared" si="17"/>
        <v>-63515589.9962257</v>
      </c>
      <c r="M55" s="1689"/>
      <c r="N55" s="1685">
        <v>0</v>
      </c>
      <c r="O55" s="1683">
        <f t="shared" si="12"/>
        <v>0</v>
      </c>
      <c r="P55" s="1683">
        <f t="shared" si="13"/>
        <v>0</v>
      </c>
      <c r="Q55" s="1683">
        <f t="shared" si="14"/>
        <v>0</v>
      </c>
      <c r="R55" s="1683">
        <f t="shared" si="18"/>
        <v>0</v>
      </c>
      <c r="S55" s="1689"/>
    </row>
    <row r="56" spans="2:19">
      <c r="B56" s="1246">
        <f t="shared" si="15"/>
        <v>32</v>
      </c>
      <c r="D56" s="1251" t="s">
        <v>554</v>
      </c>
      <c r="E56" s="1685">
        <v>31</v>
      </c>
      <c r="F56" s="1691">
        <f t="shared" si="19"/>
        <v>123</v>
      </c>
      <c r="G56" s="1691">
        <f t="shared" si="16"/>
        <v>214</v>
      </c>
      <c r="H56" s="1690">
        <f t="shared" si="10"/>
        <v>0.57476635514018692</v>
      </c>
      <c r="I56" s="1689"/>
      <c r="J56" s="1685">
        <f>('1E - EDIT Amortization'!O$36+'1E - EDIT Amortization'!O$54)/12</f>
        <v>130190.35332689167</v>
      </c>
      <c r="K56" s="1683">
        <f t="shared" si="11"/>
        <v>74829.034856110637</v>
      </c>
      <c r="L56" s="1683">
        <f t="shared" si="17"/>
        <v>-63440760.961369589</v>
      </c>
      <c r="M56" s="1689"/>
      <c r="N56" s="1685">
        <v>0</v>
      </c>
      <c r="O56" s="1683">
        <f t="shared" si="12"/>
        <v>0</v>
      </c>
      <c r="P56" s="1683">
        <f t="shared" si="13"/>
        <v>0</v>
      </c>
      <c r="Q56" s="1683">
        <f t="shared" si="14"/>
        <v>0</v>
      </c>
      <c r="R56" s="1683">
        <f t="shared" si="18"/>
        <v>0</v>
      </c>
      <c r="S56" s="1689"/>
    </row>
    <row r="57" spans="2:19">
      <c r="B57" s="1246">
        <f t="shared" si="15"/>
        <v>33</v>
      </c>
      <c r="D57" s="1251" t="s">
        <v>533</v>
      </c>
      <c r="E57" s="1685">
        <v>30</v>
      </c>
      <c r="F57" s="1691">
        <f t="shared" si="19"/>
        <v>93</v>
      </c>
      <c r="G57" s="1691">
        <f t="shared" si="16"/>
        <v>214</v>
      </c>
      <c r="H57" s="1690">
        <f t="shared" si="10"/>
        <v>0.43457943925233644</v>
      </c>
      <c r="I57" s="1689"/>
      <c r="J57" s="1685">
        <f>('1E - EDIT Amortization'!O$36+'1E - EDIT Amortization'!O$54)/12</f>
        <v>130190.35332689167</v>
      </c>
      <c r="K57" s="1683">
        <f t="shared" si="11"/>
        <v>56578.050744864137</v>
      </c>
      <c r="L57" s="1683">
        <f t="shared" si="17"/>
        <v>-63384182.910624728</v>
      </c>
      <c r="M57" s="1689"/>
      <c r="N57" s="1685">
        <v>0</v>
      </c>
      <c r="O57" s="1683">
        <f t="shared" si="12"/>
        <v>0</v>
      </c>
      <c r="P57" s="1683">
        <f t="shared" si="13"/>
        <v>0</v>
      </c>
      <c r="Q57" s="1683">
        <f t="shared" si="14"/>
        <v>0</v>
      </c>
      <c r="R57" s="1683">
        <f t="shared" si="18"/>
        <v>0</v>
      </c>
      <c r="S57" s="1689"/>
    </row>
    <row r="58" spans="2:19">
      <c r="B58" s="1246">
        <f t="shared" si="15"/>
        <v>34</v>
      </c>
      <c r="D58" s="1251" t="s">
        <v>534</v>
      </c>
      <c r="E58" s="1685">
        <v>31</v>
      </c>
      <c r="F58" s="1691">
        <f t="shared" si="19"/>
        <v>62</v>
      </c>
      <c r="G58" s="1691">
        <f t="shared" si="16"/>
        <v>214</v>
      </c>
      <c r="H58" s="1690">
        <f t="shared" si="10"/>
        <v>0.28971962616822428</v>
      </c>
      <c r="I58" s="1689"/>
      <c r="J58" s="1685">
        <f>('1E - EDIT Amortization'!O$36+'1E - EDIT Amortization'!O$54)/12</f>
        <v>130190.35332689167</v>
      </c>
      <c r="K58" s="1683">
        <f t="shared" si="11"/>
        <v>37718.700496576086</v>
      </c>
      <c r="L58" s="1683">
        <f t="shared" si="17"/>
        <v>-63346464.210128151</v>
      </c>
      <c r="M58" s="1689"/>
      <c r="N58" s="1685">
        <v>0</v>
      </c>
      <c r="O58" s="1683">
        <f t="shared" si="12"/>
        <v>0</v>
      </c>
      <c r="P58" s="1683">
        <f t="shared" si="13"/>
        <v>0</v>
      </c>
      <c r="Q58" s="1683">
        <f t="shared" si="14"/>
        <v>0</v>
      </c>
      <c r="R58" s="1683">
        <f t="shared" si="18"/>
        <v>0</v>
      </c>
      <c r="S58" s="1689"/>
    </row>
    <row r="59" spans="2:19">
      <c r="B59" s="1246">
        <f t="shared" si="15"/>
        <v>35</v>
      </c>
      <c r="D59" s="1251" t="s">
        <v>535</v>
      </c>
      <c r="E59" s="1685">
        <v>30</v>
      </c>
      <c r="F59" s="1691">
        <f t="shared" si="19"/>
        <v>32</v>
      </c>
      <c r="G59" s="1691">
        <f t="shared" si="16"/>
        <v>214</v>
      </c>
      <c r="H59" s="1690">
        <f t="shared" si="10"/>
        <v>0.14953271028037382</v>
      </c>
      <c r="I59" s="1689"/>
      <c r="J59" s="1685">
        <f>('1E - EDIT Amortization'!O$36+'1E - EDIT Amortization'!O$54)/12</f>
        <v>130190.35332689167</v>
      </c>
      <c r="K59" s="1683">
        <f t="shared" si="11"/>
        <v>19467.716385329593</v>
      </c>
      <c r="L59" s="1683">
        <f t="shared" si="17"/>
        <v>-63326996.493742824</v>
      </c>
      <c r="M59" s="1689"/>
      <c r="N59" s="1685">
        <v>0</v>
      </c>
      <c r="O59" s="1683">
        <f t="shared" si="12"/>
        <v>0</v>
      </c>
      <c r="P59" s="1683">
        <f t="shared" si="13"/>
        <v>0</v>
      </c>
      <c r="Q59" s="1683">
        <f t="shared" si="14"/>
        <v>0</v>
      </c>
      <c r="R59" s="1683">
        <f t="shared" si="18"/>
        <v>0</v>
      </c>
      <c r="S59" s="1689"/>
    </row>
    <row r="60" spans="2:19">
      <c r="B60" s="1246">
        <f t="shared" si="15"/>
        <v>36</v>
      </c>
      <c r="D60" s="1252" t="s">
        <v>757</v>
      </c>
      <c r="E60" s="1685">
        <v>31</v>
      </c>
      <c r="F60" s="1692">
        <v>1</v>
      </c>
      <c r="G60" s="1691">
        <f t="shared" si="16"/>
        <v>214</v>
      </c>
      <c r="H60" s="1690">
        <f t="shared" si="10"/>
        <v>4.6728971962616819E-3</v>
      </c>
      <c r="I60" s="1689"/>
      <c r="J60" s="1685">
        <f>('1E - EDIT Amortization'!O$36+'1E - EDIT Amortization'!O$54)/12</f>
        <v>130190.35332689167</v>
      </c>
      <c r="K60" s="1683">
        <f t="shared" si="11"/>
        <v>608.36613704154979</v>
      </c>
      <c r="L60" s="1683">
        <f t="shared" si="17"/>
        <v>-63326388.127605781</v>
      </c>
      <c r="M60" s="1689"/>
      <c r="N60" s="1685">
        <v>0</v>
      </c>
      <c r="O60" s="1683">
        <f t="shared" si="12"/>
        <v>0</v>
      </c>
      <c r="P60" s="1683">
        <f t="shared" si="13"/>
        <v>0</v>
      </c>
      <c r="Q60" s="1683">
        <f t="shared" si="14"/>
        <v>0</v>
      </c>
      <c r="R60" s="1683">
        <f t="shared" si="18"/>
        <v>0</v>
      </c>
      <c r="S60" s="1689"/>
    </row>
    <row r="61" spans="2:19">
      <c r="B61" s="1246">
        <f t="shared" si="15"/>
        <v>37</v>
      </c>
      <c r="D61" s="1253" t="str">
        <f>"Total (Sum of Lines "&amp;B49&amp;" - "&amp;B60&amp;")"</f>
        <v>Total (Sum of Lines 25 - 36)</v>
      </c>
      <c r="E61" s="1688">
        <f>SUM(E49:E60)</f>
        <v>365</v>
      </c>
      <c r="F61" s="1254"/>
      <c r="G61" s="1254"/>
      <c r="H61" s="1255"/>
      <c r="I61" s="1686"/>
      <c r="J61" s="1688">
        <f>SUM(J49:J60)</f>
        <v>1562284.2399226995</v>
      </c>
      <c r="K61" s="1688">
        <f>SUM(K49:K60)</f>
        <v>720913.87239423662</v>
      </c>
      <c r="L61" s="1688"/>
      <c r="M61" s="1686"/>
      <c r="N61" s="1688">
        <f>SUM(N49:N60)</f>
        <v>0</v>
      </c>
      <c r="O61" s="1688">
        <f>SUM(O49:O60)</f>
        <v>0</v>
      </c>
      <c r="P61" s="1688">
        <f>SUM(P49:P60)</f>
        <v>0</v>
      </c>
      <c r="Q61" s="1688">
        <f>SUM(Q49:Q60)</f>
        <v>0</v>
      </c>
      <c r="R61" s="1687"/>
      <c r="S61" s="1686"/>
    </row>
    <row r="62" spans="2:19">
      <c r="D62" s="1256"/>
      <c r="E62" s="1256"/>
      <c r="F62" s="1256"/>
      <c r="G62" s="1256"/>
      <c r="H62" s="1257"/>
      <c r="I62" s="1257"/>
      <c r="K62" s="1258"/>
      <c r="L62" s="1257"/>
      <c r="M62" s="1257"/>
      <c r="N62" s="1266"/>
      <c r="O62" s="1258"/>
      <c r="P62" s="1258"/>
      <c r="Q62" s="1258"/>
      <c r="R62" s="1257"/>
      <c r="S62" s="1257"/>
    </row>
    <row r="63" spans="2:19" ht="15" customHeight="1">
      <c r="B63" s="1246">
        <f>B61+1</f>
        <v>38</v>
      </c>
      <c r="D63" s="985" t="s">
        <v>1367</v>
      </c>
      <c r="I63" s="1257"/>
      <c r="J63" s="1726" t="s">
        <v>1915</v>
      </c>
      <c r="L63" s="1685">
        <f>'1E - EDIT Amortization'!M18+'1E - EDIT Amortization'!M27</f>
        <v>-18577081.562040858</v>
      </c>
      <c r="M63" s="1259"/>
      <c r="N63" s="1685"/>
      <c r="R63" s="1685">
        <v>0</v>
      </c>
    </row>
    <row r="64" spans="2:19">
      <c r="B64" s="1246">
        <f>B63+1</f>
        <v>39</v>
      </c>
      <c r="D64" s="985" t="s">
        <v>1368</v>
      </c>
      <c r="I64" s="1257"/>
      <c r="J64" s="1260" t="s">
        <v>647</v>
      </c>
      <c r="L64" s="1261">
        <v>0</v>
      </c>
      <c r="M64" s="1262"/>
      <c r="N64" s="1260"/>
      <c r="R64" s="1261">
        <v>0</v>
      </c>
    </row>
    <row r="65" spans="2:19">
      <c r="B65" s="1246">
        <f>B64+1</f>
        <v>40</v>
      </c>
      <c r="D65" s="985" t="s">
        <v>1369</v>
      </c>
      <c r="I65" s="1257"/>
      <c r="J65" s="1253" t="str">
        <f>"(Col. "&amp;L44&amp;", Line "&amp;B63&amp;" + Line "&amp;B64&amp;")"</f>
        <v>(Col. (H), Line 38 + Line 39)</v>
      </c>
      <c r="L65" s="1684">
        <f>L63+L64</f>
        <v>-18577081.562040858</v>
      </c>
      <c r="M65" s="1257"/>
      <c r="N65" s="1253" t="str">
        <f>"(Col. "&amp;R44&amp;", Line "&amp;B63&amp;" + Line "&amp;B64&amp;")"</f>
        <v>(Col. (M), Line 38 + Line 39)</v>
      </c>
      <c r="R65" s="1684">
        <f>R63+R64</f>
        <v>0</v>
      </c>
    </row>
    <row r="66" spans="2:19">
      <c r="I66" s="1257"/>
      <c r="L66" s="1684"/>
      <c r="M66" s="1257"/>
      <c r="R66" s="1684"/>
    </row>
    <row r="67" spans="2:19">
      <c r="B67" s="1246">
        <f>B65+1</f>
        <v>41</v>
      </c>
      <c r="D67" s="985" t="s">
        <v>1370</v>
      </c>
      <c r="I67" s="1257"/>
      <c r="J67" s="1726" t="s">
        <v>1927</v>
      </c>
      <c r="L67" s="1685">
        <f>'1E - EDIT Amortization'!Q18+'1E - EDIT Amortization'!Q27</f>
        <v>-9288540.7493878119</v>
      </c>
      <c r="M67" s="1259"/>
      <c r="N67" s="1685"/>
      <c r="R67" s="1685">
        <v>0</v>
      </c>
    </row>
    <row r="68" spans="2:19">
      <c r="B68" s="1246">
        <f>B67+1</f>
        <v>42</v>
      </c>
      <c r="D68" s="985" t="s">
        <v>1371</v>
      </c>
      <c r="I68" s="1257"/>
      <c r="J68" s="1260" t="s">
        <v>647</v>
      </c>
      <c r="L68" s="1261">
        <v>0</v>
      </c>
      <c r="M68" s="1257"/>
      <c r="N68" s="1260"/>
      <c r="R68" s="1261">
        <v>0</v>
      </c>
    </row>
    <row r="69" spans="2:19">
      <c r="B69" s="1246">
        <f>B68+1</f>
        <v>43</v>
      </c>
      <c r="D69" s="985" t="s">
        <v>1372</v>
      </c>
      <c r="I69" s="1257"/>
      <c r="J69" s="1253" t="str">
        <f>"(Col. "&amp;L44&amp;", Line "&amp;B67&amp;" + Line "&amp;B68&amp;")"</f>
        <v>(Col. (H), Line 41 + Line 42)</v>
      </c>
      <c r="L69" s="1684">
        <f>L67+L68</f>
        <v>-9288540.7493878119</v>
      </c>
      <c r="M69" s="1257"/>
      <c r="N69" s="1253" t="str">
        <f>"(Col. "&amp;R44&amp;", Line "&amp;B67&amp;" + Line "&amp;B68&amp;")"</f>
        <v>(Col. (M), Line 41 + Line 42)</v>
      </c>
      <c r="R69" s="1684">
        <f>R67+R68</f>
        <v>0</v>
      </c>
    </row>
    <row r="70" spans="2:19">
      <c r="I70" s="1257"/>
      <c r="L70" s="1684"/>
      <c r="M70" s="1257"/>
      <c r="R70" s="1684"/>
    </row>
    <row r="71" spans="2:19">
      <c r="B71" s="1246">
        <f>B69+1</f>
        <v>44</v>
      </c>
      <c r="D71" s="985" t="s">
        <v>1009</v>
      </c>
      <c r="I71" s="1257"/>
      <c r="J71" s="1253" t="str">
        <f>"([Col. "&amp;L44&amp;", Line "&amp;B65&amp;" + Line "&amp;B69&amp;"] /2)"</f>
        <v>([Col. (H), Line 40 + Line 43] /2)</v>
      </c>
      <c r="L71" s="1683">
        <f>(L65+L69)/2</f>
        <v>-13932811.155714335</v>
      </c>
      <c r="M71" s="1257"/>
      <c r="N71" s="1253" t="str">
        <f>"([Col. "&amp;R44&amp;", Line "&amp;B65&amp;" + Line "&amp;B69&amp;"] /2)"</f>
        <v>([Col. (M), Line 40 + Line 43] /2)</v>
      </c>
      <c r="R71" s="1683">
        <f>(R65+R69)/2</f>
        <v>0</v>
      </c>
    </row>
    <row r="72" spans="2:19">
      <c r="B72" s="1246">
        <f>B71+1</f>
        <v>45</v>
      </c>
      <c r="D72" s="1352" t="s">
        <v>1373</v>
      </c>
      <c r="E72" s="1256"/>
      <c r="F72" s="1256"/>
      <c r="G72" s="1256"/>
      <c r="H72" s="1257"/>
      <c r="I72" s="1257"/>
      <c r="J72" s="1253" t="str">
        <f>"(Col. "&amp;L44&amp;", Line "&amp;B60&amp;" )"</f>
        <v>(Col. (H), Line 36 )</v>
      </c>
      <c r="K72" s="1258"/>
      <c r="L72" s="1683">
        <f>L60</f>
        <v>-63326388.127605781</v>
      </c>
      <c r="M72" s="1257"/>
      <c r="N72" s="1253" t="str">
        <f>"(Col. "&amp;R44&amp;", Line "&amp;B60&amp;" )"</f>
        <v>(Col. (M), Line 36 )</v>
      </c>
      <c r="R72" s="1683">
        <f>R60</f>
        <v>0</v>
      </c>
    </row>
    <row r="73" spans="2:19" ht="13.5" thickBot="1">
      <c r="B73" s="1246">
        <f>B72+1</f>
        <v>46</v>
      </c>
      <c r="D73" s="1263" t="s">
        <v>1376</v>
      </c>
      <c r="E73" s="1256"/>
      <c r="F73" s="1256"/>
      <c r="G73" s="1256"/>
      <c r="H73" s="1257"/>
      <c r="I73" s="1257"/>
      <c r="J73" s="1253" t="str">
        <f>"(Col. "&amp;L44&amp;", Line "&amp;B71&amp;" + Line "&amp;B72&amp;")"</f>
        <v>(Col. (H), Line 44 + Line 45)</v>
      </c>
      <c r="K73" s="1258"/>
      <c r="L73" s="1682">
        <f>L71+L72</f>
        <v>-77259199.283320114</v>
      </c>
      <c r="M73" s="1257"/>
      <c r="N73" s="1253" t="str">
        <f>"(Col. "&amp;R44&amp;", Line "&amp;B71&amp;" + Line "&amp;B72&amp;")"</f>
        <v>(Col. (M), Line 44 + Line 45)</v>
      </c>
      <c r="R73" s="1682">
        <f>R71+R72</f>
        <v>0</v>
      </c>
    </row>
    <row r="74" spans="2:19" ht="13">
      <c r="D74" s="1243"/>
    </row>
    <row r="75" spans="2:19" ht="13">
      <c r="D75" s="1243" t="s">
        <v>1377</v>
      </c>
      <c r="J75" s="1831"/>
      <c r="K75" s="1831"/>
      <c r="L75" s="1831"/>
      <c r="N75" s="1831"/>
      <c r="O75" s="1831"/>
      <c r="P75" s="1831"/>
      <c r="Q75" s="1831"/>
      <c r="R75" s="1831"/>
    </row>
    <row r="76" spans="2:19" ht="13">
      <c r="D76" s="1832" t="s">
        <v>921</v>
      </c>
      <c r="E76" s="1833"/>
      <c r="F76" s="1833"/>
      <c r="G76" s="1833"/>
      <c r="H76" s="1834"/>
      <c r="I76" s="1247"/>
      <c r="J76" s="1826" t="s">
        <v>1364</v>
      </c>
      <c r="K76" s="1827"/>
      <c r="L76" s="1828"/>
      <c r="M76" s="1247"/>
      <c r="N76" s="1826" t="s">
        <v>1365</v>
      </c>
      <c r="O76" s="1827"/>
      <c r="P76" s="1827"/>
      <c r="Q76" s="1827"/>
      <c r="R76" s="1828"/>
      <c r="S76" s="1247"/>
    </row>
    <row r="77" spans="2:19" ht="13">
      <c r="D77" s="1248" t="s">
        <v>175</v>
      </c>
      <c r="E77" s="1248" t="s">
        <v>176</v>
      </c>
      <c r="F77" s="1248" t="s">
        <v>1303</v>
      </c>
      <c r="G77" s="1248" t="s">
        <v>1304</v>
      </c>
      <c r="H77" s="1248" t="s">
        <v>1305</v>
      </c>
      <c r="I77" s="1247"/>
      <c r="J77" s="1248" t="s">
        <v>1306</v>
      </c>
      <c r="K77" s="1248" t="s">
        <v>1307</v>
      </c>
      <c r="L77" s="1248" t="s">
        <v>1308</v>
      </c>
      <c r="M77" s="1247"/>
      <c r="N77" s="1248" t="s">
        <v>1309</v>
      </c>
      <c r="O77" s="1248" t="s">
        <v>1310</v>
      </c>
      <c r="P77" s="1248" t="s">
        <v>1311</v>
      </c>
      <c r="Q77" s="1248" t="s">
        <v>1312</v>
      </c>
      <c r="R77" s="1248" t="s">
        <v>1313</v>
      </c>
      <c r="S77" s="1247"/>
    </row>
    <row r="78" spans="2:19" ht="50">
      <c r="B78" s="1249" t="s">
        <v>1314</v>
      </c>
      <c r="D78" s="1250" t="s">
        <v>170</v>
      </c>
      <c r="E78" s="1250" t="s">
        <v>922</v>
      </c>
      <c r="F78" s="1250" t="s">
        <v>923</v>
      </c>
      <c r="G78" s="1250" t="s">
        <v>924</v>
      </c>
      <c r="H78" s="1250" t="s">
        <v>1315</v>
      </c>
      <c r="I78" s="1678"/>
      <c r="J78" s="1250" t="s">
        <v>925</v>
      </c>
      <c r="K78" s="1250" t="s">
        <v>1316</v>
      </c>
      <c r="L78" s="1250" t="s">
        <v>1317</v>
      </c>
      <c r="M78" s="1678"/>
      <c r="N78" s="1250" t="s">
        <v>1012</v>
      </c>
      <c r="O78" s="1250" t="s">
        <v>1318</v>
      </c>
      <c r="P78" s="1250" t="s">
        <v>1319</v>
      </c>
      <c r="Q78" s="1250" t="s">
        <v>1320</v>
      </c>
      <c r="R78" s="1250" t="s">
        <v>1321</v>
      </c>
      <c r="S78" s="1678"/>
    </row>
    <row r="79" spans="2:19">
      <c r="E79" s="1678"/>
      <c r="F79" s="1678"/>
      <c r="G79" s="1678"/>
      <c r="H79" s="1678"/>
      <c r="I79" s="1678"/>
      <c r="J79" s="1678"/>
      <c r="K79" s="1678"/>
      <c r="L79" s="1678"/>
      <c r="M79" s="1678"/>
      <c r="N79" s="1678"/>
      <c r="O79" s="1678"/>
      <c r="P79" s="1678"/>
      <c r="Q79" s="1678"/>
      <c r="R79" s="1678"/>
      <c r="S79" s="1678"/>
    </row>
    <row r="80" spans="2:19">
      <c r="B80" s="1246">
        <f>B73+1</f>
        <v>47</v>
      </c>
      <c r="D80" s="985" t="s">
        <v>1011</v>
      </c>
      <c r="E80" s="1678"/>
      <c r="F80" s="1678"/>
      <c r="G80" s="1678"/>
      <c r="H80" s="1678"/>
      <c r="I80" s="1678"/>
      <c r="J80" s="1726" t="s">
        <v>1915</v>
      </c>
      <c r="K80" s="1678"/>
      <c r="L80" s="1685">
        <f>'1E - EDIT Amortization'!M91</f>
        <v>0</v>
      </c>
      <c r="M80" s="1678"/>
      <c r="N80" s="1685"/>
      <c r="O80" s="1678"/>
      <c r="P80" s="1678"/>
      <c r="Q80" s="1678"/>
      <c r="R80" s="1685">
        <v>0</v>
      </c>
      <c r="S80" s="1678"/>
    </row>
    <row r="81" spans="2:19">
      <c r="E81" s="1678"/>
      <c r="F81" s="1678"/>
      <c r="G81" s="1678"/>
      <c r="H81" s="1678"/>
      <c r="I81" s="1678"/>
      <c r="J81" s="1678"/>
      <c r="K81" s="1678"/>
      <c r="L81" s="1678"/>
      <c r="M81" s="1678"/>
      <c r="N81" s="1678"/>
      <c r="O81" s="1678"/>
      <c r="P81" s="1678"/>
      <c r="Q81" s="1678"/>
      <c r="R81" s="1678"/>
      <c r="S81" s="1678"/>
    </row>
    <row r="82" spans="2:19">
      <c r="B82" s="1246">
        <f>B80+1</f>
        <v>48</v>
      </c>
      <c r="D82" s="1251" t="s">
        <v>528</v>
      </c>
      <c r="E82" s="1685">
        <v>31</v>
      </c>
      <c r="F82" s="1691">
        <v>0</v>
      </c>
      <c r="G82" s="1691">
        <v>214</v>
      </c>
      <c r="H82" s="1690">
        <f t="shared" ref="H82:H93" si="20">IF(F82=0,0.5,F82/G82)</f>
        <v>0.5</v>
      </c>
      <c r="I82" s="1689"/>
      <c r="J82" s="1685">
        <v>0</v>
      </c>
      <c r="K82" s="1683">
        <f t="shared" ref="K82:K93" si="21">+J82*H82</f>
        <v>0</v>
      </c>
      <c r="L82" s="1683">
        <f>+K82</f>
        <v>0</v>
      </c>
      <c r="M82" s="1689"/>
      <c r="N82" s="1685">
        <v>0</v>
      </c>
      <c r="O82" s="1683">
        <f t="shared" ref="O82:O93" si="22">IF($D$237="True-Up Adjustment",N82-J82,0)</f>
        <v>0</v>
      </c>
      <c r="P82" s="1683">
        <f t="shared" ref="P82:P93" si="23">IF($D$237="True-Up Adjustment",IF(AND(J82&gt;=0,N82&gt;=0),IF(O82&gt;=0,K82+O82,N82/J82*K82),IF(AND(J82&lt;0,N82&lt;0),IF(O82&lt;0,K82+O82,N82/J82*K82),0)),0)</f>
        <v>0</v>
      </c>
      <c r="Q82" s="1683">
        <f t="shared" ref="Q82:Q93" si="24">IF(AND(J82&gt;=0,N82&lt;0),N82,IF(AND(J82&lt;0,N82&gt;=0),N82,0))</f>
        <v>0</v>
      </c>
      <c r="R82" s="1683">
        <f>+P82+Q82</f>
        <v>0</v>
      </c>
      <c r="S82" s="1689"/>
    </row>
    <row r="83" spans="2:19">
      <c r="B83" s="1246">
        <f t="shared" ref="B83:B94" si="25">+B82+1</f>
        <v>49</v>
      </c>
      <c r="D83" s="1251" t="s">
        <v>529</v>
      </c>
      <c r="E83" s="1685">
        <v>28</v>
      </c>
      <c r="F83" s="1691">
        <v>0</v>
      </c>
      <c r="G83" s="1691">
        <f t="shared" ref="G83:G93" si="26">G82</f>
        <v>214</v>
      </c>
      <c r="H83" s="1690">
        <f t="shared" si="20"/>
        <v>0.5</v>
      </c>
      <c r="I83" s="1689"/>
      <c r="J83" s="1685">
        <v>0</v>
      </c>
      <c r="K83" s="1683">
        <f t="shared" si="21"/>
        <v>0</v>
      </c>
      <c r="L83" s="1683">
        <f t="shared" ref="L83:L93" si="27">+K83+L82</f>
        <v>0</v>
      </c>
      <c r="M83" s="1689"/>
      <c r="N83" s="1685">
        <v>0</v>
      </c>
      <c r="O83" s="1683">
        <f t="shared" si="22"/>
        <v>0</v>
      </c>
      <c r="P83" s="1683">
        <f t="shared" si="23"/>
        <v>0</v>
      </c>
      <c r="Q83" s="1683">
        <f t="shared" si="24"/>
        <v>0</v>
      </c>
      <c r="R83" s="1683">
        <f t="shared" ref="R83:R93" si="28">R82+P83+Q83</f>
        <v>0</v>
      </c>
      <c r="S83" s="1689"/>
    </row>
    <row r="84" spans="2:19">
      <c r="B84" s="1246">
        <f t="shared" si="25"/>
        <v>50</v>
      </c>
      <c r="D84" s="1251" t="s">
        <v>553</v>
      </c>
      <c r="E84" s="1685">
        <v>31</v>
      </c>
      <c r="F84" s="1691">
        <v>0</v>
      </c>
      <c r="G84" s="1691">
        <f t="shared" si="26"/>
        <v>214</v>
      </c>
      <c r="H84" s="1690">
        <f t="shared" si="20"/>
        <v>0.5</v>
      </c>
      <c r="I84" s="1689"/>
      <c r="J84" s="1685">
        <v>0</v>
      </c>
      <c r="K84" s="1683">
        <f t="shared" si="21"/>
        <v>0</v>
      </c>
      <c r="L84" s="1683">
        <f t="shared" si="27"/>
        <v>0</v>
      </c>
      <c r="M84" s="1689"/>
      <c r="N84" s="1685">
        <v>0</v>
      </c>
      <c r="O84" s="1683">
        <f t="shared" si="22"/>
        <v>0</v>
      </c>
      <c r="P84" s="1683">
        <f t="shared" si="23"/>
        <v>0</v>
      </c>
      <c r="Q84" s="1683">
        <f t="shared" si="24"/>
        <v>0</v>
      </c>
      <c r="R84" s="1683">
        <f t="shared" si="28"/>
        <v>0</v>
      </c>
      <c r="S84" s="1689"/>
    </row>
    <row r="85" spans="2:19">
      <c r="B85" s="1246">
        <f t="shared" si="25"/>
        <v>51</v>
      </c>
      <c r="D85" s="1251" t="s">
        <v>172</v>
      </c>
      <c r="E85" s="1685">
        <v>30</v>
      </c>
      <c r="F85" s="1691">
        <v>0</v>
      </c>
      <c r="G85" s="1691">
        <f t="shared" si="26"/>
        <v>214</v>
      </c>
      <c r="H85" s="1690">
        <f t="shared" si="20"/>
        <v>0.5</v>
      </c>
      <c r="I85" s="1689"/>
      <c r="J85" s="1685">
        <v>0</v>
      </c>
      <c r="K85" s="1683">
        <f t="shared" si="21"/>
        <v>0</v>
      </c>
      <c r="L85" s="1683">
        <f t="shared" si="27"/>
        <v>0</v>
      </c>
      <c r="M85" s="1689"/>
      <c r="N85" s="1685">
        <v>0</v>
      </c>
      <c r="O85" s="1683">
        <f t="shared" si="22"/>
        <v>0</v>
      </c>
      <c r="P85" s="1683">
        <f t="shared" si="23"/>
        <v>0</v>
      </c>
      <c r="Q85" s="1683">
        <f t="shared" si="24"/>
        <v>0</v>
      </c>
      <c r="R85" s="1683">
        <f t="shared" si="28"/>
        <v>0</v>
      </c>
      <c r="S85" s="1689"/>
    </row>
    <row r="86" spans="2:19">
      <c r="B86" s="1246">
        <f t="shared" si="25"/>
        <v>52</v>
      </c>
      <c r="D86" s="1251" t="s">
        <v>173</v>
      </c>
      <c r="E86" s="1685">
        <v>31</v>
      </c>
      <c r="F86" s="1691">
        <v>0</v>
      </c>
      <c r="G86" s="1691">
        <f t="shared" si="26"/>
        <v>214</v>
      </c>
      <c r="H86" s="1690">
        <f t="shared" si="20"/>
        <v>0.5</v>
      </c>
      <c r="I86" s="1689"/>
      <c r="J86" s="1685">
        <v>0</v>
      </c>
      <c r="K86" s="1683">
        <f t="shared" si="21"/>
        <v>0</v>
      </c>
      <c r="L86" s="1683">
        <f t="shared" si="27"/>
        <v>0</v>
      </c>
      <c r="M86" s="1689"/>
      <c r="N86" s="1685">
        <v>0</v>
      </c>
      <c r="O86" s="1683">
        <f t="shared" si="22"/>
        <v>0</v>
      </c>
      <c r="P86" s="1683">
        <f t="shared" si="23"/>
        <v>0</v>
      </c>
      <c r="Q86" s="1683">
        <f t="shared" si="24"/>
        <v>0</v>
      </c>
      <c r="R86" s="1683">
        <f t="shared" si="28"/>
        <v>0</v>
      </c>
      <c r="S86" s="1689"/>
    </row>
    <row r="87" spans="2:19">
      <c r="B87" s="1246">
        <f t="shared" si="25"/>
        <v>53</v>
      </c>
      <c r="D87" s="1251" t="s">
        <v>174</v>
      </c>
      <c r="E87" s="1685">
        <v>30</v>
      </c>
      <c r="F87" s="1691">
        <f t="shared" ref="F87:F92" si="29">E88+F88</f>
        <v>185</v>
      </c>
      <c r="G87" s="1691">
        <f t="shared" si="26"/>
        <v>214</v>
      </c>
      <c r="H87" s="1690">
        <f t="shared" si="20"/>
        <v>0.86448598130841126</v>
      </c>
      <c r="I87" s="1689"/>
      <c r="J87" s="1685">
        <v>0</v>
      </c>
      <c r="K87" s="1683">
        <f t="shared" si="21"/>
        <v>0</v>
      </c>
      <c r="L87" s="1683">
        <f t="shared" si="27"/>
        <v>0</v>
      </c>
      <c r="M87" s="1689"/>
      <c r="N87" s="1685">
        <v>0</v>
      </c>
      <c r="O87" s="1683">
        <f t="shared" si="22"/>
        <v>0</v>
      </c>
      <c r="P87" s="1683">
        <f t="shared" si="23"/>
        <v>0</v>
      </c>
      <c r="Q87" s="1683">
        <f t="shared" si="24"/>
        <v>0</v>
      </c>
      <c r="R87" s="1683">
        <f t="shared" si="28"/>
        <v>0</v>
      </c>
      <c r="S87" s="1689"/>
    </row>
    <row r="88" spans="2:19">
      <c r="B88" s="1246">
        <f t="shared" si="25"/>
        <v>54</v>
      </c>
      <c r="D88" s="1251" t="s">
        <v>531</v>
      </c>
      <c r="E88" s="1685">
        <v>31</v>
      </c>
      <c r="F88" s="1691">
        <f t="shared" si="29"/>
        <v>154</v>
      </c>
      <c r="G88" s="1691">
        <f t="shared" si="26"/>
        <v>214</v>
      </c>
      <c r="H88" s="1690">
        <f t="shared" si="20"/>
        <v>0.71962616822429903</v>
      </c>
      <c r="I88" s="1689"/>
      <c r="J88" s="1685">
        <v>0</v>
      </c>
      <c r="K88" s="1683">
        <f t="shared" si="21"/>
        <v>0</v>
      </c>
      <c r="L88" s="1683">
        <f t="shared" si="27"/>
        <v>0</v>
      </c>
      <c r="M88" s="1689"/>
      <c r="N88" s="1685">
        <v>0</v>
      </c>
      <c r="O88" s="1683">
        <f t="shared" si="22"/>
        <v>0</v>
      </c>
      <c r="P88" s="1683">
        <f t="shared" si="23"/>
        <v>0</v>
      </c>
      <c r="Q88" s="1683">
        <f t="shared" si="24"/>
        <v>0</v>
      </c>
      <c r="R88" s="1683">
        <f t="shared" si="28"/>
        <v>0</v>
      </c>
      <c r="S88" s="1689"/>
    </row>
    <row r="89" spans="2:19">
      <c r="B89" s="1246">
        <f t="shared" si="25"/>
        <v>55</v>
      </c>
      <c r="D89" s="1251" t="s">
        <v>554</v>
      </c>
      <c r="E89" s="1685">
        <v>31</v>
      </c>
      <c r="F89" s="1691">
        <f t="shared" si="29"/>
        <v>123</v>
      </c>
      <c r="G89" s="1691">
        <f t="shared" si="26"/>
        <v>214</v>
      </c>
      <c r="H89" s="1690">
        <f t="shared" si="20"/>
        <v>0.57476635514018692</v>
      </c>
      <c r="I89" s="1689"/>
      <c r="J89" s="1685">
        <v>0</v>
      </c>
      <c r="K89" s="1683">
        <f t="shared" si="21"/>
        <v>0</v>
      </c>
      <c r="L89" s="1683">
        <f t="shared" si="27"/>
        <v>0</v>
      </c>
      <c r="M89" s="1689"/>
      <c r="N89" s="1685">
        <v>0</v>
      </c>
      <c r="O89" s="1683">
        <f t="shared" si="22"/>
        <v>0</v>
      </c>
      <c r="P89" s="1683">
        <f t="shared" si="23"/>
        <v>0</v>
      </c>
      <c r="Q89" s="1683">
        <f t="shared" si="24"/>
        <v>0</v>
      </c>
      <c r="R89" s="1683">
        <f t="shared" si="28"/>
        <v>0</v>
      </c>
      <c r="S89" s="1689"/>
    </row>
    <row r="90" spans="2:19">
      <c r="B90" s="1246">
        <f t="shared" si="25"/>
        <v>56</v>
      </c>
      <c r="D90" s="1251" t="s">
        <v>533</v>
      </c>
      <c r="E90" s="1685">
        <v>30</v>
      </c>
      <c r="F90" s="1691">
        <f t="shared" si="29"/>
        <v>93</v>
      </c>
      <c r="G90" s="1691">
        <f t="shared" si="26"/>
        <v>214</v>
      </c>
      <c r="H90" s="1690">
        <f t="shared" si="20"/>
        <v>0.43457943925233644</v>
      </c>
      <c r="I90" s="1689"/>
      <c r="J90" s="1685">
        <v>0</v>
      </c>
      <c r="K90" s="1683">
        <f t="shared" si="21"/>
        <v>0</v>
      </c>
      <c r="L90" s="1683">
        <f t="shared" si="27"/>
        <v>0</v>
      </c>
      <c r="M90" s="1689"/>
      <c r="N90" s="1685">
        <v>0</v>
      </c>
      <c r="O90" s="1683">
        <f t="shared" si="22"/>
        <v>0</v>
      </c>
      <c r="P90" s="1683">
        <f t="shared" si="23"/>
        <v>0</v>
      </c>
      <c r="Q90" s="1683">
        <f t="shared" si="24"/>
        <v>0</v>
      </c>
      <c r="R90" s="1683">
        <f t="shared" si="28"/>
        <v>0</v>
      </c>
      <c r="S90" s="1689"/>
    </row>
    <row r="91" spans="2:19">
      <c r="B91" s="1246">
        <f t="shared" si="25"/>
        <v>57</v>
      </c>
      <c r="D91" s="1251" t="s">
        <v>534</v>
      </c>
      <c r="E91" s="1685">
        <v>31</v>
      </c>
      <c r="F91" s="1691">
        <f t="shared" si="29"/>
        <v>62</v>
      </c>
      <c r="G91" s="1691">
        <f t="shared" si="26"/>
        <v>214</v>
      </c>
      <c r="H91" s="1690">
        <f t="shared" si="20"/>
        <v>0.28971962616822428</v>
      </c>
      <c r="I91" s="1689"/>
      <c r="J91" s="1685">
        <v>0</v>
      </c>
      <c r="K91" s="1683">
        <f t="shared" si="21"/>
        <v>0</v>
      </c>
      <c r="L91" s="1683">
        <f t="shared" si="27"/>
        <v>0</v>
      </c>
      <c r="M91" s="1689"/>
      <c r="N91" s="1685">
        <v>0</v>
      </c>
      <c r="O91" s="1683">
        <f t="shared" si="22"/>
        <v>0</v>
      </c>
      <c r="P91" s="1683">
        <f t="shared" si="23"/>
        <v>0</v>
      </c>
      <c r="Q91" s="1683">
        <f t="shared" si="24"/>
        <v>0</v>
      </c>
      <c r="R91" s="1683">
        <f t="shared" si="28"/>
        <v>0</v>
      </c>
      <c r="S91" s="1689"/>
    </row>
    <row r="92" spans="2:19">
      <c r="B92" s="1246">
        <f t="shared" si="25"/>
        <v>58</v>
      </c>
      <c r="D92" s="1251" t="s">
        <v>535</v>
      </c>
      <c r="E92" s="1685">
        <v>30</v>
      </c>
      <c r="F92" s="1691">
        <f t="shared" si="29"/>
        <v>32</v>
      </c>
      <c r="G92" s="1691">
        <f t="shared" si="26"/>
        <v>214</v>
      </c>
      <c r="H92" s="1690">
        <f t="shared" si="20"/>
        <v>0.14953271028037382</v>
      </c>
      <c r="I92" s="1689"/>
      <c r="J92" s="1685">
        <v>0</v>
      </c>
      <c r="K92" s="1683">
        <f t="shared" si="21"/>
        <v>0</v>
      </c>
      <c r="L92" s="1683">
        <f t="shared" si="27"/>
        <v>0</v>
      </c>
      <c r="M92" s="1689"/>
      <c r="N92" s="1685">
        <v>0</v>
      </c>
      <c r="O92" s="1683">
        <f t="shared" si="22"/>
        <v>0</v>
      </c>
      <c r="P92" s="1683">
        <f t="shared" si="23"/>
        <v>0</v>
      </c>
      <c r="Q92" s="1683">
        <f t="shared" si="24"/>
        <v>0</v>
      </c>
      <c r="R92" s="1683">
        <f t="shared" si="28"/>
        <v>0</v>
      </c>
      <c r="S92" s="1689"/>
    </row>
    <row r="93" spans="2:19">
      <c r="B93" s="1246">
        <f t="shared" si="25"/>
        <v>59</v>
      </c>
      <c r="D93" s="1252" t="s">
        <v>757</v>
      </c>
      <c r="E93" s="1685">
        <v>31</v>
      </c>
      <c r="F93" s="1692">
        <v>1</v>
      </c>
      <c r="G93" s="1691">
        <f t="shared" si="26"/>
        <v>214</v>
      </c>
      <c r="H93" s="1690">
        <f t="shared" si="20"/>
        <v>4.6728971962616819E-3</v>
      </c>
      <c r="I93" s="1689"/>
      <c r="J93" s="1685">
        <v>0</v>
      </c>
      <c r="K93" s="1683">
        <f t="shared" si="21"/>
        <v>0</v>
      </c>
      <c r="L93" s="1683">
        <f t="shared" si="27"/>
        <v>0</v>
      </c>
      <c r="M93" s="1689"/>
      <c r="N93" s="1685">
        <v>0</v>
      </c>
      <c r="O93" s="1683">
        <f t="shared" si="22"/>
        <v>0</v>
      </c>
      <c r="P93" s="1683">
        <f t="shared" si="23"/>
        <v>0</v>
      </c>
      <c r="Q93" s="1683">
        <f t="shared" si="24"/>
        <v>0</v>
      </c>
      <c r="R93" s="1683">
        <f t="shared" si="28"/>
        <v>0</v>
      </c>
      <c r="S93" s="1689"/>
    </row>
    <row r="94" spans="2:19">
      <c r="B94" s="1246">
        <f t="shared" si="25"/>
        <v>60</v>
      </c>
      <c r="D94" s="1253" t="str">
        <f>"Total (Sum of Lines "&amp;B82&amp;" - "&amp;B93&amp;")"</f>
        <v>Total (Sum of Lines 48 - 59)</v>
      </c>
      <c r="E94" s="1688">
        <f>SUM(E82:E93)</f>
        <v>365</v>
      </c>
      <c r="F94" s="1254"/>
      <c r="G94" s="1254"/>
      <c r="H94" s="1255"/>
      <c r="I94" s="1686"/>
      <c r="J94" s="1688">
        <f>SUM(J82:J93)</f>
        <v>0</v>
      </c>
      <c r="K94" s="1688">
        <f>SUM(K82:K93)</f>
        <v>0</v>
      </c>
      <c r="L94" s="1687"/>
      <c r="M94" s="1686"/>
      <c r="N94" s="1688">
        <f>SUM(N82:N93)</f>
        <v>0</v>
      </c>
      <c r="O94" s="1688">
        <f>SUM(O82:O93)</f>
        <v>0</v>
      </c>
      <c r="P94" s="1688">
        <f>SUM(P82:P93)</f>
        <v>0</v>
      </c>
      <c r="Q94" s="1688">
        <f>SUM(Q82:Q93)</f>
        <v>0</v>
      </c>
      <c r="R94" s="1687"/>
      <c r="S94" s="1686"/>
    </row>
    <row r="95" spans="2:19">
      <c r="D95" s="1256"/>
      <c r="E95" s="1256"/>
      <c r="F95" s="1256"/>
      <c r="G95" s="1256"/>
      <c r="H95" s="1257"/>
      <c r="I95" s="1257"/>
      <c r="K95" s="1258"/>
      <c r="L95" s="1257"/>
      <c r="M95" s="1257"/>
      <c r="N95" s="1266"/>
      <c r="O95" s="1258"/>
      <c r="P95" s="1258"/>
      <c r="Q95" s="1258"/>
      <c r="R95" s="1257"/>
      <c r="S95" s="1257"/>
    </row>
    <row r="96" spans="2:19">
      <c r="B96" s="1246">
        <f>B94+1</f>
        <v>61</v>
      </c>
      <c r="D96" s="985" t="s">
        <v>1367</v>
      </c>
      <c r="I96" s="1257"/>
      <c r="J96" s="1726" t="s">
        <v>1915</v>
      </c>
      <c r="L96" s="1685">
        <f>'1E - EDIT Amortization'!M19+'1E - EDIT Amortization'!M28</f>
        <v>-645988.08518844971</v>
      </c>
      <c r="M96" s="1259"/>
      <c r="N96" s="1685"/>
      <c r="R96" s="1685">
        <v>0</v>
      </c>
    </row>
    <row r="97" spans="2:19">
      <c r="B97" s="1246">
        <f>B96+1</f>
        <v>62</v>
      </c>
      <c r="D97" s="985" t="s">
        <v>1368</v>
      </c>
      <c r="I97" s="1257"/>
      <c r="J97" s="1260" t="s">
        <v>647</v>
      </c>
      <c r="L97" s="1261">
        <v>0</v>
      </c>
      <c r="M97" s="1262"/>
      <c r="N97" s="1260"/>
      <c r="R97" s="1261">
        <v>0</v>
      </c>
    </row>
    <row r="98" spans="2:19">
      <c r="B98" s="1246">
        <f>B97+1</f>
        <v>63</v>
      </c>
      <c r="D98" s="985" t="s">
        <v>1369</v>
      </c>
      <c r="I98" s="1257"/>
      <c r="J98" s="1253" t="str">
        <f>"(Col. "&amp;L77&amp;", Line "&amp;B96&amp;" + Line "&amp;B97&amp;")"</f>
        <v>(Col. (H), Line 61 + Line 62)</v>
      </c>
      <c r="L98" s="1684">
        <f>L96+L97</f>
        <v>-645988.08518844971</v>
      </c>
      <c r="M98" s="1257"/>
      <c r="N98" s="1253" t="str">
        <f>"(Col. "&amp;R77&amp;", Line "&amp;B96&amp;" + Line "&amp;B97&amp;")"</f>
        <v>(Col. (M), Line 61 + Line 62)</v>
      </c>
      <c r="R98" s="1684">
        <f>R96+R97</f>
        <v>0</v>
      </c>
    </row>
    <row r="99" spans="2:19">
      <c r="I99" s="1257"/>
      <c r="L99" s="1684"/>
      <c r="M99" s="1257"/>
      <c r="R99" s="1684"/>
    </row>
    <row r="100" spans="2:19">
      <c r="B100" s="1246">
        <f>B98+1</f>
        <v>64</v>
      </c>
      <c r="D100" s="985" t="s">
        <v>1370</v>
      </c>
      <c r="I100" s="1257"/>
      <c r="J100" s="1726" t="s">
        <v>1927</v>
      </c>
      <c r="L100" s="1685">
        <f>'1E - EDIT Amortization'!Q19+'1E - EDIT Amortization'!Q28</f>
        <v>0</v>
      </c>
      <c r="M100" s="1259"/>
      <c r="N100" s="1685"/>
      <c r="R100" s="1685">
        <v>0</v>
      </c>
    </row>
    <row r="101" spans="2:19">
      <c r="B101" s="1246">
        <f>B100+1</f>
        <v>65</v>
      </c>
      <c r="D101" s="985" t="s">
        <v>1371</v>
      </c>
      <c r="I101" s="1257"/>
      <c r="J101" s="1260" t="s">
        <v>647</v>
      </c>
      <c r="L101" s="1261">
        <v>0</v>
      </c>
      <c r="M101" s="1257"/>
      <c r="N101" s="1260"/>
      <c r="R101" s="1261">
        <v>0</v>
      </c>
    </row>
    <row r="102" spans="2:19">
      <c r="B102" s="1246">
        <f>B101+1</f>
        <v>66</v>
      </c>
      <c r="D102" s="985" t="s">
        <v>1372</v>
      </c>
      <c r="I102" s="1257"/>
      <c r="J102" s="1253" t="str">
        <f>"(Col. "&amp;L77&amp;", Line "&amp;B100&amp;" + Line "&amp;B101&amp;")"</f>
        <v>(Col. (H), Line 64 + Line 65)</v>
      </c>
      <c r="L102" s="1684">
        <f>L100+L101</f>
        <v>0</v>
      </c>
      <c r="M102" s="1257"/>
      <c r="N102" s="1253" t="str">
        <f>"(Col. "&amp;R77&amp;", Line "&amp;B100&amp;" + Line "&amp;B101&amp;")"</f>
        <v>(Col. (M), Line 64 + Line 65)</v>
      </c>
      <c r="R102" s="1684">
        <f>R100+R101</f>
        <v>0</v>
      </c>
    </row>
    <row r="103" spans="2:19">
      <c r="I103" s="1257"/>
      <c r="L103" s="1684"/>
      <c r="M103" s="1257"/>
      <c r="R103" s="1684"/>
    </row>
    <row r="104" spans="2:19">
      <c r="B104" s="1246">
        <f>B102+1</f>
        <v>67</v>
      </c>
      <c r="D104" s="985" t="s">
        <v>1009</v>
      </c>
      <c r="I104" s="1257"/>
      <c r="J104" s="1253" t="str">
        <f>"([Col. "&amp;L77&amp;", Line "&amp;B98&amp;" + Line "&amp;B102&amp;"] /2)"</f>
        <v>([Col. (H), Line 63 + Line 66] /2)</v>
      </c>
      <c r="L104" s="1683">
        <f>(L98+L102)/2</f>
        <v>-322994.04259422485</v>
      </c>
      <c r="M104" s="1257"/>
      <c r="N104" s="1253" t="str">
        <f>"([Col. "&amp;R77&amp;", Line "&amp;B98&amp;" + Line "&amp;B102&amp;"] /2)"</f>
        <v>([Col. (M), Line 63 + Line 66] /2)</v>
      </c>
      <c r="R104" s="1683">
        <f>(R98+R102)/2</f>
        <v>0</v>
      </c>
    </row>
    <row r="105" spans="2:19">
      <c r="B105" s="1246">
        <f>B104+1</f>
        <v>68</v>
      </c>
      <c r="D105" s="1352" t="s">
        <v>1373</v>
      </c>
      <c r="E105" s="1256"/>
      <c r="F105" s="1256"/>
      <c r="G105" s="1256"/>
      <c r="H105" s="1257"/>
      <c r="I105" s="1257"/>
      <c r="J105" s="1253" t="str">
        <f>"(Col. "&amp;L77&amp;", Line "&amp;B93&amp;" )"</f>
        <v>(Col. (H), Line 59 )</v>
      </c>
      <c r="K105" s="1258"/>
      <c r="L105" s="1683">
        <f>L93</f>
        <v>0</v>
      </c>
      <c r="M105" s="1257"/>
      <c r="N105" s="1253" t="str">
        <f>"(Col. "&amp;R77&amp;", Line "&amp;B93&amp;" )"</f>
        <v>(Col. (M), Line 59 )</v>
      </c>
      <c r="R105" s="1683">
        <f>R93</f>
        <v>0</v>
      </c>
    </row>
    <row r="106" spans="2:19" ht="13.5" thickBot="1">
      <c r="B106" s="1246">
        <f>B105+1</f>
        <v>69</v>
      </c>
      <c r="D106" s="1263" t="s">
        <v>1378</v>
      </c>
      <c r="E106" s="1256"/>
      <c r="F106" s="1256"/>
      <c r="G106" s="1256"/>
      <c r="H106" s="1257"/>
      <c r="I106" s="1257"/>
      <c r="J106" s="1253" t="str">
        <f>"(Col. "&amp;L77&amp;", Line "&amp;B104&amp;" + Line "&amp;B105&amp;")"</f>
        <v>(Col. (H), Line 67 + Line 68)</v>
      </c>
      <c r="K106" s="1258"/>
      <c r="L106" s="1682">
        <f>L104+L105</f>
        <v>-322994.04259422485</v>
      </c>
      <c r="M106" s="1257"/>
      <c r="N106" s="1253" t="str">
        <f>"(Col. "&amp;R77&amp;", Line "&amp;B104&amp;" + Line "&amp;B105&amp;")"</f>
        <v>(Col. (M), Line 67 + Line 68)</v>
      </c>
      <c r="R106" s="1682">
        <f>R104+R105</f>
        <v>0</v>
      </c>
    </row>
    <row r="107" spans="2:19">
      <c r="D107" s="1256"/>
      <c r="E107" s="1256"/>
      <c r="F107" s="1256"/>
      <c r="G107" s="1256"/>
      <c r="H107" s="1257"/>
      <c r="I107" s="1257"/>
      <c r="K107" s="1258"/>
      <c r="L107" s="1257"/>
      <c r="M107" s="1257"/>
      <c r="O107" s="1258"/>
      <c r="P107" s="1258"/>
      <c r="Q107" s="1258"/>
      <c r="R107" s="1257"/>
      <c r="S107" s="1257"/>
    </row>
    <row r="108" spans="2:19">
      <c r="D108" s="1256"/>
      <c r="E108" s="1256"/>
      <c r="F108" s="1256" t="s">
        <v>85</v>
      </c>
      <c r="G108" s="1256"/>
      <c r="H108" s="1257"/>
      <c r="I108" s="1257"/>
      <c r="K108" s="1258"/>
      <c r="L108" s="1257"/>
      <c r="M108" s="1257"/>
      <c r="O108" s="1258"/>
      <c r="P108" s="1258"/>
      <c r="Q108" s="1258"/>
      <c r="R108" s="1257"/>
      <c r="S108" s="1257"/>
    </row>
    <row r="109" spans="2:19" ht="13">
      <c r="D109" s="1846" t="s">
        <v>1379</v>
      </c>
      <c r="E109" s="1846"/>
      <c r="F109" s="1846"/>
      <c r="G109" s="1846"/>
      <c r="H109" s="1844"/>
      <c r="I109" s="1257"/>
      <c r="J109" s="1844" t="s">
        <v>1380</v>
      </c>
      <c r="K109" s="1844"/>
      <c r="L109" s="1844"/>
      <c r="M109" s="1844"/>
      <c r="N109" s="1844"/>
      <c r="O109" s="1258"/>
      <c r="P109" s="1258"/>
      <c r="Q109" s="1258"/>
      <c r="R109" s="1257"/>
      <c r="S109" s="1257"/>
    </row>
    <row r="110" spans="2:19" ht="12.75" customHeight="1">
      <c r="B110" s="1842" t="s">
        <v>1314</v>
      </c>
      <c r="C110" s="1676"/>
      <c r="D110" s="1672" t="s">
        <v>175</v>
      </c>
      <c r="E110" s="1673"/>
      <c r="F110" s="1672" t="s">
        <v>176</v>
      </c>
      <c r="G110" s="1674"/>
      <c r="H110" s="1671" t="s">
        <v>1303</v>
      </c>
      <c r="I110" s="1247"/>
      <c r="J110" s="1672" t="s">
        <v>1304</v>
      </c>
      <c r="K110" s="1673"/>
      <c r="L110" s="1672" t="s">
        <v>1305</v>
      </c>
      <c r="M110" s="1674"/>
      <c r="N110" s="1671" t="s">
        <v>1306</v>
      </c>
    </row>
    <row r="111" spans="2:19" ht="26">
      <c r="B111" s="1843"/>
      <c r="C111" s="1676"/>
      <c r="D111" s="1353" t="s">
        <v>1381</v>
      </c>
      <c r="E111" s="1354"/>
      <c r="F111" s="1355" t="s">
        <v>1382</v>
      </c>
      <c r="G111" s="1356"/>
      <c r="H111" s="1357" t="s">
        <v>1383</v>
      </c>
      <c r="J111" s="1358" t="s">
        <v>1381</v>
      </c>
      <c r="K111" s="1359"/>
      <c r="L111" s="1360" t="s">
        <v>1382</v>
      </c>
      <c r="M111" s="1361"/>
      <c r="N111" s="1357" t="s">
        <v>1383</v>
      </c>
      <c r="O111" s="1258"/>
      <c r="P111" s="1258"/>
      <c r="Q111" s="1258"/>
      <c r="R111" s="1257"/>
      <c r="S111" s="1257"/>
    </row>
    <row r="112" spans="2:19" ht="5.15" customHeight="1">
      <c r="B112" s="985"/>
      <c r="E112" s="1256"/>
      <c r="K112" s="1256"/>
      <c r="O112" s="1258"/>
      <c r="P112" s="1258"/>
      <c r="Q112" s="1258"/>
      <c r="R112" s="1257"/>
      <c r="S112" s="1257"/>
    </row>
    <row r="113" spans="2:19">
      <c r="B113" s="1246">
        <f>B106+1</f>
        <v>70</v>
      </c>
      <c r="D113" s="1362" t="s">
        <v>1384</v>
      </c>
      <c r="F113" s="1363" t="str">
        <f>"(Col. "&amp;L11&amp;", Line "&amp;B40&amp;")"</f>
        <v>(Col. (H), Line 23)</v>
      </c>
      <c r="G113" s="1366"/>
      <c r="H113" s="1364">
        <f>L40</f>
        <v>2762770.4384738482</v>
      </c>
      <c r="I113" s="1366"/>
      <c r="J113" s="1362" t="s">
        <v>1384</v>
      </c>
      <c r="L113" s="1363" t="str">
        <f>"(Col. "&amp;R11&amp;", Line "&amp;B40&amp;")"</f>
        <v>(Col. (M), Line 23)</v>
      </c>
      <c r="M113" s="1366"/>
      <c r="N113" s="1364">
        <f>R40</f>
        <v>0</v>
      </c>
      <c r="O113" s="1258"/>
      <c r="P113" s="1258"/>
      <c r="Q113" s="1258"/>
      <c r="R113" s="1257"/>
      <c r="S113" s="1257"/>
    </row>
    <row r="114" spans="2:19">
      <c r="B114" s="1246">
        <f>B113+1</f>
        <v>71</v>
      </c>
      <c r="D114" s="1362" t="s">
        <v>1385</v>
      </c>
      <c r="F114" s="1363" t="str">
        <f>"(Col. "&amp;L44&amp;", Line "&amp;B73&amp;")"</f>
        <v>(Col. (H), Line 46)</v>
      </c>
      <c r="H114" s="1365">
        <f>L73</f>
        <v>-77259199.283320114</v>
      </c>
      <c r="J114" s="1362" t="s">
        <v>1385</v>
      </c>
      <c r="L114" s="1363" t="str">
        <f>"(Col. "&amp;R44&amp;", Line "&amp;B73&amp;")"</f>
        <v>(Col. (M), Line 46)</v>
      </c>
      <c r="N114" s="1365">
        <f>R73</f>
        <v>0</v>
      </c>
      <c r="O114" s="1258"/>
      <c r="P114" s="1258"/>
      <c r="Q114" s="1258"/>
      <c r="R114" s="1257"/>
      <c r="S114" s="1257"/>
    </row>
    <row r="115" spans="2:19">
      <c r="B115" s="1246">
        <f>B114+1</f>
        <v>72</v>
      </c>
      <c r="D115" s="1362" t="s">
        <v>1386</v>
      </c>
      <c r="F115" s="1363" t="str">
        <f>"(Col. "&amp;L77&amp;", Line "&amp;B106&amp;")"</f>
        <v>(Col. (H), Line 69)</v>
      </c>
      <c r="H115" s="1365">
        <f>L106</f>
        <v>-322994.04259422485</v>
      </c>
      <c r="J115" s="1362" t="s">
        <v>1386</v>
      </c>
      <c r="L115" s="1363" t="str">
        <f>"(Col. "&amp;R77&amp;", Line "&amp;B106&amp;")"</f>
        <v>(Col. (M), Line 69)</v>
      </c>
      <c r="N115" s="1365">
        <f>R106</f>
        <v>0</v>
      </c>
      <c r="O115" s="1258"/>
      <c r="P115" s="1258"/>
      <c r="Q115" s="1258"/>
      <c r="R115" s="1257"/>
      <c r="S115" s="1257"/>
    </row>
    <row r="116" spans="2:19" ht="5.15" customHeight="1">
      <c r="D116" s="1256"/>
      <c r="E116" s="1256"/>
      <c r="J116" s="1256"/>
      <c r="K116" s="1256"/>
      <c r="O116" s="1258"/>
      <c r="P116" s="1258"/>
      <c r="Q116" s="1258"/>
      <c r="R116" s="1257"/>
      <c r="S116" s="1257"/>
    </row>
    <row r="117" spans="2:19" ht="13">
      <c r="B117" s="1246">
        <f>B115+1</f>
        <v>73</v>
      </c>
      <c r="D117" s="11" t="s">
        <v>1220</v>
      </c>
      <c r="E117" s="1256"/>
      <c r="F117" s="1363" t="s">
        <v>1866</v>
      </c>
      <c r="G117" s="1366"/>
      <c r="H117" s="1367">
        <f>SUM(H113:H116)</f>
        <v>-74819422.887440488</v>
      </c>
      <c r="I117" s="1366"/>
      <c r="J117" s="11" t="s">
        <v>1220</v>
      </c>
      <c r="K117" s="1256"/>
      <c r="L117" s="1368" t="s">
        <v>1866</v>
      </c>
      <c r="M117" s="1366"/>
      <c r="N117" s="1367">
        <f>SUM(N113:N116)</f>
        <v>0</v>
      </c>
      <c r="O117" s="1258"/>
      <c r="P117" s="1258"/>
      <c r="Q117" s="1258"/>
      <c r="R117" s="1257"/>
      <c r="S117" s="1257"/>
    </row>
    <row r="118" spans="2:19">
      <c r="D118" s="1256"/>
      <c r="E118" s="1256"/>
      <c r="F118" s="1256"/>
      <c r="G118" s="1256"/>
      <c r="H118" s="1256"/>
      <c r="I118" s="1257"/>
      <c r="J118" s="1258"/>
      <c r="K118" s="1258"/>
      <c r="L118" s="1257"/>
      <c r="M118" s="1257"/>
      <c r="O118" s="1258"/>
      <c r="P118" s="1258"/>
      <c r="Q118" s="1258"/>
      <c r="R118" s="1257"/>
      <c r="S118" s="1257"/>
    </row>
    <row r="119" spans="2:19">
      <c r="D119" s="1256"/>
      <c r="E119" s="1256"/>
      <c r="F119" s="1256"/>
      <c r="G119" s="1256"/>
      <c r="H119" s="1257"/>
      <c r="I119" s="1257"/>
      <c r="K119" s="1258"/>
      <c r="L119" s="1257"/>
      <c r="M119" s="1257"/>
      <c r="O119" s="1258"/>
      <c r="P119" s="1258"/>
      <c r="Q119" s="1258"/>
      <c r="R119" s="1257"/>
      <c r="S119" s="1257"/>
    </row>
    <row r="120" spans="2:19" ht="15.75" customHeight="1">
      <c r="B120" s="1845" t="s">
        <v>1387</v>
      </c>
      <c r="C120" s="1845"/>
      <c r="D120" s="1845"/>
      <c r="E120" s="1845"/>
      <c r="F120" s="1845"/>
      <c r="G120" s="1845"/>
      <c r="H120" s="1845"/>
      <c r="I120" s="1845"/>
      <c r="J120" s="1845"/>
      <c r="K120" s="1845"/>
      <c r="L120" s="1845"/>
      <c r="M120" s="1845"/>
      <c r="N120" s="1845"/>
      <c r="O120" s="1845"/>
      <c r="P120" s="1845"/>
      <c r="Q120" s="1845"/>
      <c r="R120" s="1845"/>
    </row>
    <row r="121" spans="2:19" ht="13">
      <c r="D121" s="1243"/>
    </row>
    <row r="122" spans="2:19" ht="13">
      <c r="D122" s="1243" t="s">
        <v>1363</v>
      </c>
      <c r="J122" s="1831"/>
      <c r="K122" s="1831"/>
      <c r="L122" s="1831"/>
      <c r="N122" s="1831"/>
      <c r="O122" s="1831"/>
      <c r="P122" s="1831"/>
      <c r="Q122" s="1831"/>
      <c r="R122" s="1831"/>
    </row>
    <row r="123" spans="2:19" ht="13">
      <c r="D123" s="1832" t="s">
        <v>921</v>
      </c>
      <c r="E123" s="1833"/>
      <c r="F123" s="1833"/>
      <c r="G123" s="1833"/>
      <c r="H123" s="1834"/>
      <c r="I123" s="1247"/>
      <c r="J123" s="1826" t="s">
        <v>1364</v>
      </c>
      <c r="K123" s="1827"/>
      <c r="L123" s="1828"/>
      <c r="M123" s="1247"/>
      <c r="N123" s="1826" t="s">
        <v>1365</v>
      </c>
      <c r="O123" s="1827"/>
      <c r="P123" s="1827"/>
      <c r="Q123" s="1827"/>
      <c r="R123" s="1828"/>
      <c r="S123" s="1247"/>
    </row>
    <row r="124" spans="2:19" ht="13">
      <c r="D124" s="1248" t="s">
        <v>175</v>
      </c>
      <c r="E124" s="1248" t="s">
        <v>176</v>
      </c>
      <c r="F124" s="1248" t="s">
        <v>1303</v>
      </c>
      <c r="G124" s="1248" t="s">
        <v>1304</v>
      </c>
      <c r="H124" s="1248" t="s">
        <v>1305</v>
      </c>
      <c r="I124" s="1247"/>
      <c r="J124" s="1248" t="s">
        <v>1306</v>
      </c>
      <c r="K124" s="1248" t="s">
        <v>1307</v>
      </c>
      <c r="L124" s="1248" t="s">
        <v>1308</v>
      </c>
      <c r="M124" s="1247"/>
      <c r="N124" s="1248" t="s">
        <v>1309</v>
      </c>
      <c r="O124" s="1248" t="s">
        <v>1310</v>
      </c>
      <c r="P124" s="1248" t="s">
        <v>1311</v>
      </c>
      <c r="Q124" s="1248" t="s">
        <v>1312</v>
      </c>
      <c r="R124" s="1248" t="s">
        <v>1313</v>
      </c>
      <c r="S124" s="1247"/>
    </row>
    <row r="125" spans="2:19" ht="63" customHeight="1">
      <c r="B125" s="1249" t="s">
        <v>1314</v>
      </c>
      <c r="D125" s="1250" t="s">
        <v>170</v>
      </c>
      <c r="E125" s="1250" t="s">
        <v>922</v>
      </c>
      <c r="F125" s="1250" t="s">
        <v>1014</v>
      </c>
      <c r="G125" s="1250" t="s">
        <v>1013</v>
      </c>
      <c r="H125" s="1250" t="s">
        <v>1315</v>
      </c>
      <c r="I125" s="1678"/>
      <c r="J125" s="1250" t="s">
        <v>925</v>
      </c>
      <c r="K125" s="1250" t="s">
        <v>1316</v>
      </c>
      <c r="L125" s="1250" t="s">
        <v>1317</v>
      </c>
      <c r="M125" s="1678"/>
      <c r="N125" s="1250" t="s">
        <v>1012</v>
      </c>
      <c r="O125" s="1250" t="s">
        <v>1318</v>
      </c>
      <c r="P125" s="1250" t="s">
        <v>1319</v>
      </c>
      <c r="Q125" s="1250" t="s">
        <v>1320</v>
      </c>
      <c r="R125" s="1250" t="s">
        <v>1321</v>
      </c>
      <c r="S125" s="1678"/>
    </row>
    <row r="126" spans="2:19">
      <c r="E126" s="1678"/>
      <c r="F126" s="1678"/>
      <c r="G126" s="1678"/>
      <c r="H126" s="1678"/>
      <c r="I126" s="1678"/>
      <c r="J126" s="1678"/>
      <c r="K126" s="1678"/>
      <c r="L126" s="1678"/>
      <c r="M126" s="1678"/>
      <c r="N126" s="1678"/>
      <c r="O126" s="1678"/>
      <c r="P126" s="1678"/>
      <c r="Q126" s="1678"/>
      <c r="R126" s="1678"/>
      <c r="S126" s="1678"/>
    </row>
    <row r="127" spans="2:19">
      <c r="B127" s="1246">
        <f>B117+1</f>
        <v>74</v>
      </c>
      <c r="D127" s="985" t="s">
        <v>1366</v>
      </c>
      <c r="E127" s="1678"/>
      <c r="F127" s="1678"/>
      <c r="G127" s="1678"/>
      <c r="H127" s="1678"/>
      <c r="I127" s="1678"/>
      <c r="J127" s="1726" t="s">
        <v>1915</v>
      </c>
      <c r="K127" s="1678"/>
      <c r="L127" s="1685">
        <f>'1E - EDIT Amortization'!M200</f>
        <v>0</v>
      </c>
      <c r="M127" s="1678"/>
      <c r="N127" s="1685"/>
      <c r="O127" s="1678"/>
      <c r="P127" s="1678"/>
      <c r="Q127" s="1678"/>
      <c r="R127" s="1685">
        <v>0</v>
      </c>
      <c r="S127" s="1678"/>
    </row>
    <row r="128" spans="2:19">
      <c r="E128" s="1678"/>
      <c r="F128" s="1678"/>
      <c r="G128" s="1678"/>
      <c r="H128" s="1678"/>
      <c r="I128" s="1678"/>
      <c r="J128" s="1678"/>
      <c r="K128" s="1678"/>
      <c r="L128" s="1678"/>
      <c r="M128" s="1678"/>
      <c r="N128" s="1678"/>
      <c r="O128" s="1678"/>
      <c r="P128" s="1678"/>
      <c r="Q128" s="1678"/>
      <c r="R128" s="1678"/>
      <c r="S128" s="1678"/>
    </row>
    <row r="129" spans="2:19">
      <c r="B129" s="1246">
        <f>B127+1</f>
        <v>75</v>
      </c>
      <c r="D129" s="1251" t="s">
        <v>528</v>
      </c>
      <c r="E129" s="1685">
        <v>31</v>
      </c>
      <c r="F129" s="1691">
        <v>0</v>
      </c>
      <c r="G129" s="1691">
        <v>214</v>
      </c>
      <c r="H129" s="1690">
        <f t="shared" ref="H129:H140" si="30">IF(F129=0,0.5,F129/G129)</f>
        <v>0.5</v>
      </c>
      <c r="I129" s="1689"/>
      <c r="J129" s="1685">
        <v>0</v>
      </c>
      <c r="K129" s="1683">
        <f t="shared" ref="K129:K140" si="31">+J129*H129</f>
        <v>0</v>
      </c>
      <c r="L129" s="1683">
        <f>+K129+L127</f>
        <v>0</v>
      </c>
      <c r="M129" s="1689"/>
      <c r="N129" s="1685">
        <v>0</v>
      </c>
      <c r="O129" s="1683">
        <f t="shared" ref="O129:O140" si="32">IF($D$237="True-Up Adjustment",N129-J129,0)</f>
        <v>0</v>
      </c>
      <c r="P129" s="1683">
        <f t="shared" ref="P129:P140" si="33">IF($D$237="True-Up Adjustment",IF(AND(J129&gt;=0,N129&gt;=0),IF(O129&gt;=0,K129+O129,N129/J129*K129),IF(AND(J129&lt;0,N129&lt;0),IF(O129&lt;0,K129+O129,N129/J129*K129),0)),0)</f>
        <v>0</v>
      </c>
      <c r="Q129" s="1683">
        <f t="shared" ref="Q129:Q140" si="34">IF(AND(J129&gt;=0,N129&lt;0),N129,IF(AND(J129&lt;0,N129&gt;=0),N129,0))</f>
        <v>0</v>
      </c>
      <c r="R129" s="1683">
        <f>+Q129+R127</f>
        <v>0</v>
      </c>
      <c r="S129" s="1689"/>
    </row>
    <row r="130" spans="2:19">
      <c r="B130" s="1246">
        <f t="shared" ref="B130:B141" si="35">+B129+1</f>
        <v>76</v>
      </c>
      <c r="D130" s="1251" t="s">
        <v>529</v>
      </c>
      <c r="E130" s="1685">
        <v>28</v>
      </c>
      <c r="F130" s="1691">
        <v>0</v>
      </c>
      <c r="G130" s="1691">
        <f t="shared" ref="G130:G140" si="36">G129</f>
        <v>214</v>
      </c>
      <c r="H130" s="1690">
        <f t="shared" si="30"/>
        <v>0.5</v>
      </c>
      <c r="I130" s="1689"/>
      <c r="J130" s="1685">
        <v>0</v>
      </c>
      <c r="K130" s="1683">
        <f t="shared" si="31"/>
        <v>0</v>
      </c>
      <c r="L130" s="1683">
        <f t="shared" ref="L130:L140" si="37">+K130+L129</f>
        <v>0</v>
      </c>
      <c r="M130" s="1689"/>
      <c r="N130" s="1685">
        <v>0</v>
      </c>
      <c r="O130" s="1683">
        <f t="shared" si="32"/>
        <v>0</v>
      </c>
      <c r="P130" s="1683">
        <f t="shared" si="33"/>
        <v>0</v>
      </c>
      <c r="Q130" s="1683">
        <f t="shared" si="34"/>
        <v>0</v>
      </c>
      <c r="R130" s="1683">
        <f t="shared" ref="R130:R140" si="38">R129+P130+Q130</f>
        <v>0</v>
      </c>
      <c r="S130" s="1689"/>
    </row>
    <row r="131" spans="2:19">
      <c r="B131" s="1246">
        <f t="shared" si="35"/>
        <v>77</v>
      </c>
      <c r="D131" s="1251" t="s">
        <v>553</v>
      </c>
      <c r="E131" s="1685">
        <v>31</v>
      </c>
      <c r="F131" s="1691">
        <v>0</v>
      </c>
      <c r="G131" s="1691">
        <f t="shared" si="36"/>
        <v>214</v>
      </c>
      <c r="H131" s="1690">
        <f t="shared" si="30"/>
        <v>0.5</v>
      </c>
      <c r="I131" s="1689"/>
      <c r="J131" s="1685">
        <v>0</v>
      </c>
      <c r="K131" s="1683">
        <f t="shared" si="31"/>
        <v>0</v>
      </c>
      <c r="L131" s="1683">
        <f t="shared" si="37"/>
        <v>0</v>
      </c>
      <c r="M131" s="1689"/>
      <c r="N131" s="1685">
        <v>0</v>
      </c>
      <c r="O131" s="1683">
        <f t="shared" si="32"/>
        <v>0</v>
      </c>
      <c r="P131" s="1683">
        <f t="shared" si="33"/>
        <v>0</v>
      </c>
      <c r="Q131" s="1683">
        <f t="shared" si="34"/>
        <v>0</v>
      </c>
      <c r="R131" s="1683">
        <f t="shared" si="38"/>
        <v>0</v>
      </c>
      <c r="S131" s="1689"/>
    </row>
    <row r="132" spans="2:19">
      <c r="B132" s="1246">
        <f t="shared" si="35"/>
        <v>78</v>
      </c>
      <c r="D132" s="1251" t="s">
        <v>172</v>
      </c>
      <c r="E132" s="1685">
        <v>30</v>
      </c>
      <c r="F132" s="1691">
        <v>0</v>
      </c>
      <c r="G132" s="1691">
        <f t="shared" si="36"/>
        <v>214</v>
      </c>
      <c r="H132" s="1690">
        <f t="shared" si="30"/>
        <v>0.5</v>
      </c>
      <c r="I132" s="1689"/>
      <c r="J132" s="1685">
        <v>0</v>
      </c>
      <c r="K132" s="1683">
        <f t="shared" si="31"/>
        <v>0</v>
      </c>
      <c r="L132" s="1683">
        <f t="shared" si="37"/>
        <v>0</v>
      </c>
      <c r="M132" s="1689"/>
      <c r="N132" s="1685">
        <v>0</v>
      </c>
      <c r="O132" s="1683">
        <f t="shared" si="32"/>
        <v>0</v>
      </c>
      <c r="P132" s="1683">
        <f t="shared" si="33"/>
        <v>0</v>
      </c>
      <c r="Q132" s="1683">
        <f t="shared" si="34"/>
        <v>0</v>
      </c>
      <c r="R132" s="1683">
        <f t="shared" si="38"/>
        <v>0</v>
      </c>
      <c r="S132" s="1689"/>
    </row>
    <row r="133" spans="2:19">
      <c r="B133" s="1246">
        <f t="shared" si="35"/>
        <v>79</v>
      </c>
      <c r="D133" s="1251" t="s">
        <v>173</v>
      </c>
      <c r="E133" s="1685">
        <v>31</v>
      </c>
      <c r="F133" s="1691">
        <v>0</v>
      </c>
      <c r="G133" s="1691">
        <f t="shared" si="36"/>
        <v>214</v>
      </c>
      <c r="H133" s="1690">
        <f t="shared" si="30"/>
        <v>0.5</v>
      </c>
      <c r="I133" s="1689"/>
      <c r="J133" s="1685">
        <v>0</v>
      </c>
      <c r="K133" s="1683">
        <f t="shared" si="31"/>
        <v>0</v>
      </c>
      <c r="L133" s="1683">
        <f t="shared" si="37"/>
        <v>0</v>
      </c>
      <c r="M133" s="1689"/>
      <c r="N133" s="1685">
        <v>0</v>
      </c>
      <c r="O133" s="1683">
        <f t="shared" si="32"/>
        <v>0</v>
      </c>
      <c r="P133" s="1683">
        <f t="shared" si="33"/>
        <v>0</v>
      </c>
      <c r="Q133" s="1683">
        <f t="shared" si="34"/>
        <v>0</v>
      </c>
      <c r="R133" s="1683">
        <f t="shared" si="38"/>
        <v>0</v>
      </c>
      <c r="S133" s="1689"/>
    </row>
    <row r="134" spans="2:19">
      <c r="B134" s="1246">
        <f t="shared" si="35"/>
        <v>80</v>
      </c>
      <c r="D134" s="1251" t="s">
        <v>174</v>
      </c>
      <c r="E134" s="1685">
        <v>30</v>
      </c>
      <c r="F134" s="1691">
        <f t="shared" ref="F134:F139" si="39">E135+F135</f>
        <v>185</v>
      </c>
      <c r="G134" s="1691">
        <f t="shared" si="36"/>
        <v>214</v>
      </c>
      <c r="H134" s="1690">
        <f t="shared" si="30"/>
        <v>0.86448598130841126</v>
      </c>
      <c r="I134" s="1689"/>
      <c r="J134" s="1685">
        <v>0</v>
      </c>
      <c r="K134" s="1683">
        <f t="shared" si="31"/>
        <v>0</v>
      </c>
      <c r="L134" s="1683">
        <f t="shared" si="37"/>
        <v>0</v>
      </c>
      <c r="M134" s="1689"/>
      <c r="N134" s="1685">
        <v>0</v>
      </c>
      <c r="O134" s="1683">
        <f t="shared" si="32"/>
        <v>0</v>
      </c>
      <c r="P134" s="1683">
        <f t="shared" si="33"/>
        <v>0</v>
      </c>
      <c r="Q134" s="1683">
        <f t="shared" si="34"/>
        <v>0</v>
      </c>
      <c r="R134" s="1683">
        <f t="shared" si="38"/>
        <v>0</v>
      </c>
      <c r="S134" s="1689"/>
    </row>
    <row r="135" spans="2:19">
      <c r="B135" s="1246">
        <f t="shared" si="35"/>
        <v>81</v>
      </c>
      <c r="D135" s="1251" t="s">
        <v>531</v>
      </c>
      <c r="E135" s="1685">
        <v>31</v>
      </c>
      <c r="F135" s="1691">
        <f t="shared" si="39"/>
        <v>154</v>
      </c>
      <c r="G135" s="1691">
        <f t="shared" si="36"/>
        <v>214</v>
      </c>
      <c r="H135" s="1690">
        <f t="shared" si="30"/>
        <v>0.71962616822429903</v>
      </c>
      <c r="I135" s="1689"/>
      <c r="J135" s="1685">
        <v>0</v>
      </c>
      <c r="K135" s="1683">
        <f t="shared" si="31"/>
        <v>0</v>
      </c>
      <c r="L135" s="1683">
        <f t="shared" si="37"/>
        <v>0</v>
      </c>
      <c r="M135" s="1689"/>
      <c r="N135" s="1685">
        <v>0</v>
      </c>
      <c r="O135" s="1683">
        <f t="shared" si="32"/>
        <v>0</v>
      </c>
      <c r="P135" s="1683">
        <f t="shared" si="33"/>
        <v>0</v>
      </c>
      <c r="Q135" s="1683">
        <f t="shared" si="34"/>
        <v>0</v>
      </c>
      <c r="R135" s="1683">
        <f t="shared" si="38"/>
        <v>0</v>
      </c>
      <c r="S135" s="1689"/>
    </row>
    <row r="136" spans="2:19">
      <c r="B136" s="1246">
        <f t="shared" si="35"/>
        <v>82</v>
      </c>
      <c r="D136" s="1251" t="s">
        <v>554</v>
      </c>
      <c r="E136" s="1685">
        <v>31</v>
      </c>
      <c r="F136" s="1691">
        <f t="shared" si="39"/>
        <v>123</v>
      </c>
      <c r="G136" s="1691">
        <f t="shared" si="36"/>
        <v>214</v>
      </c>
      <c r="H136" s="1690">
        <f t="shared" si="30"/>
        <v>0.57476635514018692</v>
      </c>
      <c r="I136" s="1689"/>
      <c r="J136" s="1685">
        <v>0</v>
      </c>
      <c r="K136" s="1683">
        <f t="shared" si="31"/>
        <v>0</v>
      </c>
      <c r="L136" s="1683">
        <f t="shared" si="37"/>
        <v>0</v>
      </c>
      <c r="M136" s="1689"/>
      <c r="N136" s="1685">
        <v>0</v>
      </c>
      <c r="O136" s="1683">
        <f t="shared" si="32"/>
        <v>0</v>
      </c>
      <c r="P136" s="1683">
        <f t="shared" si="33"/>
        <v>0</v>
      </c>
      <c r="Q136" s="1683">
        <f t="shared" si="34"/>
        <v>0</v>
      </c>
      <c r="R136" s="1683">
        <f t="shared" si="38"/>
        <v>0</v>
      </c>
      <c r="S136" s="1689"/>
    </row>
    <row r="137" spans="2:19">
      <c r="B137" s="1246">
        <f t="shared" si="35"/>
        <v>83</v>
      </c>
      <c r="D137" s="1251" t="s">
        <v>533</v>
      </c>
      <c r="E137" s="1685">
        <v>30</v>
      </c>
      <c r="F137" s="1691">
        <f t="shared" si="39"/>
        <v>93</v>
      </c>
      <c r="G137" s="1691">
        <f t="shared" si="36"/>
        <v>214</v>
      </c>
      <c r="H137" s="1690">
        <f t="shared" si="30"/>
        <v>0.43457943925233644</v>
      </c>
      <c r="I137" s="1689"/>
      <c r="J137" s="1685">
        <v>0</v>
      </c>
      <c r="K137" s="1683">
        <f t="shared" si="31"/>
        <v>0</v>
      </c>
      <c r="L137" s="1683">
        <f t="shared" si="37"/>
        <v>0</v>
      </c>
      <c r="M137" s="1689"/>
      <c r="N137" s="1685">
        <v>0</v>
      </c>
      <c r="O137" s="1683">
        <f t="shared" si="32"/>
        <v>0</v>
      </c>
      <c r="P137" s="1683">
        <f t="shared" si="33"/>
        <v>0</v>
      </c>
      <c r="Q137" s="1683">
        <f t="shared" si="34"/>
        <v>0</v>
      </c>
      <c r="R137" s="1683">
        <f t="shared" si="38"/>
        <v>0</v>
      </c>
      <c r="S137" s="1689"/>
    </row>
    <row r="138" spans="2:19">
      <c r="B138" s="1246">
        <f t="shared" si="35"/>
        <v>84</v>
      </c>
      <c r="D138" s="1251" t="s">
        <v>534</v>
      </c>
      <c r="E138" s="1685">
        <v>31</v>
      </c>
      <c r="F138" s="1691">
        <f t="shared" si="39"/>
        <v>62</v>
      </c>
      <c r="G138" s="1691">
        <f t="shared" si="36"/>
        <v>214</v>
      </c>
      <c r="H138" s="1690">
        <f t="shared" si="30"/>
        <v>0.28971962616822428</v>
      </c>
      <c r="I138" s="1689"/>
      <c r="J138" s="1685">
        <v>0</v>
      </c>
      <c r="K138" s="1683">
        <f t="shared" si="31"/>
        <v>0</v>
      </c>
      <c r="L138" s="1683">
        <f t="shared" si="37"/>
        <v>0</v>
      </c>
      <c r="M138" s="1689"/>
      <c r="N138" s="1685">
        <v>0</v>
      </c>
      <c r="O138" s="1683">
        <f t="shared" si="32"/>
        <v>0</v>
      </c>
      <c r="P138" s="1683">
        <f t="shared" si="33"/>
        <v>0</v>
      </c>
      <c r="Q138" s="1683">
        <f t="shared" si="34"/>
        <v>0</v>
      </c>
      <c r="R138" s="1683">
        <f t="shared" si="38"/>
        <v>0</v>
      </c>
      <c r="S138" s="1689"/>
    </row>
    <row r="139" spans="2:19">
      <c r="B139" s="1246">
        <f t="shared" si="35"/>
        <v>85</v>
      </c>
      <c r="D139" s="1251" t="s">
        <v>535</v>
      </c>
      <c r="E139" s="1685">
        <v>30</v>
      </c>
      <c r="F139" s="1691">
        <f t="shared" si="39"/>
        <v>32</v>
      </c>
      <c r="G139" s="1691">
        <f t="shared" si="36"/>
        <v>214</v>
      </c>
      <c r="H139" s="1690">
        <f t="shared" si="30"/>
        <v>0.14953271028037382</v>
      </c>
      <c r="I139" s="1689"/>
      <c r="J139" s="1685">
        <v>0</v>
      </c>
      <c r="K139" s="1683">
        <f t="shared" si="31"/>
        <v>0</v>
      </c>
      <c r="L139" s="1683">
        <f t="shared" si="37"/>
        <v>0</v>
      </c>
      <c r="M139" s="1689"/>
      <c r="N139" s="1685">
        <v>0</v>
      </c>
      <c r="O139" s="1683">
        <f t="shared" si="32"/>
        <v>0</v>
      </c>
      <c r="P139" s="1683">
        <f t="shared" si="33"/>
        <v>0</v>
      </c>
      <c r="Q139" s="1683">
        <f t="shared" si="34"/>
        <v>0</v>
      </c>
      <c r="R139" s="1683">
        <f t="shared" si="38"/>
        <v>0</v>
      </c>
      <c r="S139" s="1689"/>
    </row>
    <row r="140" spans="2:19">
      <c r="B140" s="1246">
        <f t="shared" si="35"/>
        <v>86</v>
      </c>
      <c r="D140" s="1252" t="s">
        <v>757</v>
      </c>
      <c r="E140" s="1685">
        <v>31</v>
      </c>
      <c r="F140" s="1692">
        <v>1</v>
      </c>
      <c r="G140" s="1691">
        <f t="shared" si="36"/>
        <v>214</v>
      </c>
      <c r="H140" s="1690">
        <f t="shared" si="30"/>
        <v>4.6728971962616819E-3</v>
      </c>
      <c r="I140" s="1689"/>
      <c r="J140" s="1685">
        <v>0</v>
      </c>
      <c r="K140" s="1683">
        <f t="shared" si="31"/>
        <v>0</v>
      </c>
      <c r="L140" s="1683">
        <f t="shared" si="37"/>
        <v>0</v>
      </c>
      <c r="M140" s="1689"/>
      <c r="N140" s="1685">
        <v>0</v>
      </c>
      <c r="O140" s="1683">
        <f t="shared" si="32"/>
        <v>0</v>
      </c>
      <c r="P140" s="1683">
        <f t="shared" si="33"/>
        <v>0</v>
      </c>
      <c r="Q140" s="1683">
        <f t="shared" si="34"/>
        <v>0</v>
      </c>
      <c r="R140" s="1683">
        <f t="shared" si="38"/>
        <v>0</v>
      </c>
      <c r="S140" s="1689"/>
    </row>
    <row r="141" spans="2:19">
      <c r="B141" s="1246">
        <f t="shared" si="35"/>
        <v>87</v>
      </c>
      <c r="D141" s="1253" t="str">
        <f>"Total (Sum of Lines "&amp;B129&amp;" - "&amp;B140&amp;")"</f>
        <v>Total (Sum of Lines 75 - 86)</v>
      </c>
      <c r="E141" s="1688">
        <f>SUM(E129:E140)</f>
        <v>365</v>
      </c>
      <c r="F141" s="1254"/>
      <c r="G141" s="1254"/>
      <c r="H141" s="1255"/>
      <c r="I141" s="1686"/>
      <c r="J141" s="1688">
        <f>SUM(J129:J140)</f>
        <v>0</v>
      </c>
      <c r="K141" s="1688">
        <f>SUM(K129:K140)</f>
        <v>0</v>
      </c>
      <c r="L141" s="1687"/>
      <c r="M141" s="1686"/>
      <c r="N141" s="1688">
        <f>SUM(N129:N140)</f>
        <v>0</v>
      </c>
      <c r="O141" s="1688">
        <f>SUM(O129:O140)</f>
        <v>0</v>
      </c>
      <c r="P141" s="1688">
        <f>SUM(P129:P140)</f>
        <v>0</v>
      </c>
      <c r="Q141" s="1688">
        <f>SUM(Q129:Q140)</f>
        <v>0</v>
      </c>
      <c r="R141" s="1687"/>
      <c r="S141" s="1686"/>
    </row>
    <row r="142" spans="2:19">
      <c r="D142" s="1256"/>
      <c r="E142" s="1256"/>
      <c r="F142" s="1256"/>
      <c r="G142" s="1256"/>
      <c r="H142" s="1257"/>
      <c r="I142" s="1257"/>
      <c r="K142" s="1258"/>
      <c r="L142" s="1257"/>
      <c r="M142" s="1257"/>
      <c r="O142" s="1258"/>
      <c r="P142" s="1258"/>
      <c r="Q142" s="1258"/>
      <c r="R142" s="1257"/>
      <c r="S142" s="1257"/>
    </row>
    <row r="143" spans="2:19">
      <c r="B143" s="1246">
        <f>B141+1</f>
        <v>88</v>
      </c>
      <c r="D143" s="985" t="s">
        <v>1367</v>
      </c>
      <c r="I143" s="1257"/>
      <c r="J143" s="1726" t="s">
        <v>1915</v>
      </c>
      <c r="L143" s="1685">
        <f>'1E - EDIT Amortization'!M140+'1E - EDIT Amortization'!M150</f>
        <v>0</v>
      </c>
      <c r="M143" s="1259"/>
      <c r="N143" s="1685"/>
      <c r="R143" s="1685">
        <v>0</v>
      </c>
    </row>
    <row r="144" spans="2:19">
      <c r="B144" s="1246">
        <f>B143+1</f>
        <v>89</v>
      </c>
      <c r="D144" s="985" t="s">
        <v>1368</v>
      </c>
      <c r="I144" s="1257"/>
      <c r="J144" s="1260" t="s">
        <v>647</v>
      </c>
      <c r="L144" s="1261">
        <v>0</v>
      </c>
      <c r="M144" s="1262"/>
      <c r="N144" s="1260"/>
      <c r="R144" s="1261">
        <v>0</v>
      </c>
    </row>
    <row r="145" spans="2:19">
      <c r="B145" s="1246">
        <f>B144+1</f>
        <v>90</v>
      </c>
      <c r="D145" s="985" t="s">
        <v>1369</v>
      </c>
      <c r="I145" s="1257"/>
      <c r="J145" s="1253" t="str">
        <f>"(Col. "&amp;L124&amp;", Line "&amp;B143&amp;" + Line "&amp;B144&amp;")"</f>
        <v>(Col. (H), Line 88 + Line 89)</v>
      </c>
      <c r="L145" s="1684">
        <f>L143+L144</f>
        <v>0</v>
      </c>
      <c r="M145" s="1257"/>
      <c r="N145" s="1253" t="str">
        <f>"(Col. "&amp;R124&amp;", Line "&amp;B143&amp;" + Line "&amp;B144&amp;")"</f>
        <v>(Col. (M), Line 88 + Line 89)</v>
      </c>
      <c r="R145" s="1684">
        <f>R143+R144</f>
        <v>0</v>
      </c>
    </row>
    <row r="146" spans="2:19">
      <c r="I146" s="1257"/>
      <c r="L146" s="1684"/>
      <c r="M146" s="1257"/>
      <c r="R146" s="1684"/>
    </row>
    <row r="147" spans="2:19">
      <c r="B147" s="1246">
        <f>B145+1</f>
        <v>91</v>
      </c>
      <c r="D147" s="985" t="s">
        <v>1370</v>
      </c>
      <c r="I147" s="1257"/>
      <c r="J147" s="1726" t="s">
        <v>1927</v>
      </c>
      <c r="L147" s="1685">
        <f>'1E - EDIT Amortization'!Q140+'1E - EDIT Amortization'!Q150</f>
        <v>0</v>
      </c>
      <c r="M147" s="1259"/>
      <c r="N147" s="1685"/>
      <c r="R147" s="1685">
        <v>0</v>
      </c>
    </row>
    <row r="148" spans="2:19">
      <c r="B148" s="1246">
        <f>B147+1</f>
        <v>92</v>
      </c>
      <c r="D148" s="985" t="s">
        <v>1371</v>
      </c>
      <c r="I148" s="1257"/>
      <c r="J148" s="1260" t="s">
        <v>647</v>
      </c>
      <c r="L148" s="1261">
        <v>0</v>
      </c>
      <c r="M148" s="1257"/>
      <c r="N148" s="1260"/>
      <c r="R148" s="1261">
        <v>0</v>
      </c>
    </row>
    <row r="149" spans="2:19">
      <c r="B149" s="1246">
        <f>B148+1</f>
        <v>93</v>
      </c>
      <c r="D149" s="985" t="s">
        <v>1372</v>
      </c>
      <c r="G149" s="1253"/>
      <c r="I149" s="1257"/>
      <c r="J149" s="1253" t="str">
        <f>"(Col. "&amp;L124&amp;", Line "&amp;B147&amp;" + Line "&amp;B148&amp;")"</f>
        <v>(Col. (H), Line 91 + Line 92)</v>
      </c>
      <c r="L149" s="1684">
        <f>L147+L148</f>
        <v>0</v>
      </c>
      <c r="M149" s="1257"/>
      <c r="N149" s="1253" t="str">
        <f>"(Col. "&amp;R124&amp;", Line "&amp;B147&amp;" + Line "&amp;B148&amp;")"</f>
        <v>(Col. (M), Line 91 + Line 92)</v>
      </c>
      <c r="R149" s="1684">
        <f>R147+R148</f>
        <v>0</v>
      </c>
    </row>
    <row r="150" spans="2:19">
      <c r="I150" s="1257"/>
      <c r="L150" s="1684"/>
      <c r="M150" s="1257"/>
      <c r="R150" s="1684"/>
    </row>
    <row r="151" spans="2:19">
      <c r="B151" s="1246">
        <f>B149+1</f>
        <v>94</v>
      </c>
      <c r="D151" s="985" t="s">
        <v>1009</v>
      </c>
      <c r="I151" s="1257"/>
      <c r="J151" s="1253" t="str">
        <f>"([Col. "&amp;L124&amp;", Line "&amp;B145&amp;" + Line "&amp;B149&amp;"] /2)"</f>
        <v>([Col. (H), Line 90 + Line 93] /2)</v>
      </c>
      <c r="L151" s="1683">
        <f>(L145+L149)/2</f>
        <v>0</v>
      </c>
      <c r="M151" s="1257"/>
      <c r="N151" s="1253" t="str">
        <f>"([Col. "&amp;R124&amp;", Line "&amp;B145&amp;" + Line "&amp;B149&amp;"] /2)"</f>
        <v>([Col. (M), Line 90 + Line 93] /2)</v>
      </c>
      <c r="R151" s="1683">
        <f>(R145+R149)/2</f>
        <v>0</v>
      </c>
    </row>
    <row r="152" spans="2:19">
      <c r="B152" s="1246">
        <f>B151+1</f>
        <v>95</v>
      </c>
      <c r="D152" s="1352" t="s">
        <v>1373</v>
      </c>
      <c r="E152" s="1256"/>
      <c r="F152" s="1256"/>
      <c r="G152" s="1256"/>
      <c r="H152" s="1257"/>
      <c r="I152" s="1257"/>
      <c r="J152" s="1253" t="str">
        <f>"(Col. "&amp;L124&amp;", Line "&amp;B140&amp;" )"</f>
        <v>(Col. (H), Line 86 )</v>
      </c>
      <c r="K152" s="1258"/>
      <c r="L152" s="1683">
        <f>L140</f>
        <v>0</v>
      </c>
      <c r="M152" s="1257"/>
      <c r="N152" s="1253" t="str">
        <f>"(Col. "&amp;R124&amp;", Line "&amp;B140&amp;" )"</f>
        <v>(Col. (M), Line 86 )</v>
      </c>
      <c r="R152" s="1683">
        <f>R140</f>
        <v>0</v>
      </c>
    </row>
    <row r="153" spans="2:19" ht="13.5" thickBot="1">
      <c r="B153" s="1246">
        <f>B152+1</f>
        <v>96</v>
      </c>
      <c r="D153" s="1263" t="s">
        <v>1374</v>
      </c>
      <c r="E153" s="1256"/>
      <c r="F153" s="1256"/>
      <c r="G153" s="1256"/>
      <c r="H153" s="1257"/>
      <c r="I153" s="1257"/>
      <c r="J153" s="1253" t="str">
        <f>"(Col. "&amp;L124&amp;", Line "&amp;B151&amp;" + Line "&amp;B152&amp;")"</f>
        <v>(Col. (H), Line 94 + Line 95)</v>
      </c>
      <c r="K153" s="1258"/>
      <c r="L153" s="1682">
        <f>L151+L152</f>
        <v>0</v>
      </c>
      <c r="M153" s="1257"/>
      <c r="N153" s="1253" t="str">
        <f>"(Col. "&amp;R124&amp;", Line "&amp;B151&amp;" + Line "&amp;B152&amp;")"</f>
        <v>(Col. (M), Line 94 + Line 95)</v>
      </c>
      <c r="R153" s="1682">
        <f>R151+R152</f>
        <v>0</v>
      </c>
    </row>
    <row r="154" spans="2:19">
      <c r="I154" s="1257"/>
      <c r="L154" s="1683"/>
      <c r="M154" s="1257"/>
      <c r="R154" s="1683"/>
      <c r="S154" s="1257"/>
    </row>
    <row r="155" spans="2:19" ht="13">
      <c r="D155" s="1243" t="s">
        <v>1375</v>
      </c>
      <c r="J155" s="1264"/>
      <c r="K155" s="1265"/>
      <c r="L155" s="1265"/>
      <c r="N155" s="1265"/>
      <c r="O155" s="1265"/>
      <c r="P155" s="1265"/>
      <c r="Q155" s="1265"/>
      <c r="R155" s="1265"/>
    </row>
    <row r="156" spans="2:19" ht="13">
      <c r="D156" s="1832" t="s">
        <v>921</v>
      </c>
      <c r="E156" s="1833"/>
      <c r="F156" s="1833"/>
      <c r="G156" s="1833"/>
      <c r="H156" s="1834"/>
      <c r="I156" s="1247"/>
      <c r="J156" s="1826" t="s">
        <v>1364</v>
      </c>
      <c r="K156" s="1827"/>
      <c r="L156" s="1828"/>
      <c r="M156" s="1247"/>
      <c r="N156" s="1826" t="s">
        <v>1365</v>
      </c>
      <c r="O156" s="1827"/>
      <c r="P156" s="1827"/>
      <c r="Q156" s="1827"/>
      <c r="R156" s="1828"/>
      <c r="S156" s="1247"/>
    </row>
    <row r="157" spans="2:19" ht="13">
      <c r="D157" s="1248" t="s">
        <v>175</v>
      </c>
      <c r="E157" s="1248" t="s">
        <v>176</v>
      </c>
      <c r="F157" s="1248" t="s">
        <v>1303</v>
      </c>
      <c r="G157" s="1248" t="s">
        <v>1304</v>
      </c>
      <c r="H157" s="1248" t="s">
        <v>1305</v>
      </c>
      <c r="I157" s="1247"/>
      <c r="J157" s="1248" t="s">
        <v>1306</v>
      </c>
      <c r="K157" s="1248" t="s">
        <v>1307</v>
      </c>
      <c r="L157" s="1248" t="s">
        <v>1308</v>
      </c>
      <c r="M157" s="1247"/>
      <c r="N157" s="1248" t="s">
        <v>1309</v>
      </c>
      <c r="O157" s="1248" t="s">
        <v>1310</v>
      </c>
      <c r="P157" s="1248" t="s">
        <v>1311</v>
      </c>
      <c r="Q157" s="1248" t="s">
        <v>1312</v>
      </c>
      <c r="R157" s="1248" t="s">
        <v>1313</v>
      </c>
      <c r="S157" s="1247"/>
    </row>
    <row r="158" spans="2:19" ht="50">
      <c r="B158" s="1249" t="s">
        <v>1314</v>
      </c>
      <c r="D158" s="1250" t="s">
        <v>170</v>
      </c>
      <c r="E158" s="1250" t="s">
        <v>922</v>
      </c>
      <c r="F158" s="1250" t="s">
        <v>923</v>
      </c>
      <c r="G158" s="1250" t="s">
        <v>924</v>
      </c>
      <c r="H158" s="1250" t="s">
        <v>1315</v>
      </c>
      <c r="I158" s="1678"/>
      <c r="J158" s="1250" t="s">
        <v>925</v>
      </c>
      <c r="K158" s="1250" t="s">
        <v>1316</v>
      </c>
      <c r="L158" s="1250" t="s">
        <v>1317</v>
      </c>
      <c r="M158" s="1678"/>
      <c r="N158" s="1250" t="s">
        <v>1012</v>
      </c>
      <c r="O158" s="1250" t="s">
        <v>1318</v>
      </c>
      <c r="P158" s="1250" t="s">
        <v>1319</v>
      </c>
      <c r="Q158" s="1250" t="s">
        <v>1320</v>
      </c>
      <c r="R158" s="1250" t="s">
        <v>1321</v>
      </c>
      <c r="S158" s="1678"/>
    </row>
    <row r="159" spans="2:19">
      <c r="E159" s="1678"/>
      <c r="F159" s="1678"/>
      <c r="G159" s="1678"/>
      <c r="H159" s="1678"/>
      <c r="I159" s="1678"/>
      <c r="J159" s="1678"/>
      <c r="K159" s="1678"/>
      <c r="L159" s="1678"/>
      <c r="M159" s="1678"/>
      <c r="N159" s="1678"/>
      <c r="O159" s="1678"/>
      <c r="P159" s="1678"/>
      <c r="Q159" s="1678"/>
      <c r="R159" s="1678"/>
      <c r="S159" s="1678"/>
    </row>
    <row r="160" spans="2:19">
      <c r="B160" s="1246">
        <f>B153+1</f>
        <v>97</v>
      </c>
      <c r="D160" s="985" t="s">
        <v>1366</v>
      </c>
      <c r="E160" s="1678"/>
      <c r="F160" s="1678"/>
      <c r="G160" s="1678"/>
      <c r="H160" s="1678"/>
      <c r="I160" s="1678"/>
      <c r="J160" s="1726" t="s">
        <v>1915</v>
      </c>
      <c r="K160" s="1678"/>
      <c r="L160" s="1685">
        <f>'1E - EDIT Amortization'!M200</f>
        <v>0</v>
      </c>
      <c r="M160" s="1678"/>
      <c r="N160" s="1685"/>
      <c r="O160" s="1678"/>
      <c r="P160" s="1678"/>
      <c r="Q160" s="1678"/>
      <c r="R160" s="1685">
        <v>0</v>
      </c>
      <c r="S160" s="1678"/>
    </row>
    <row r="161" spans="2:19">
      <c r="E161" s="1678"/>
      <c r="F161" s="1678"/>
      <c r="G161" s="1678"/>
      <c r="H161" s="1678"/>
      <c r="I161" s="1678"/>
      <c r="J161" s="1678"/>
      <c r="K161" s="1678"/>
      <c r="L161" s="1678"/>
      <c r="M161" s="1678"/>
      <c r="N161" s="1678"/>
      <c r="O161" s="1678"/>
      <c r="P161" s="1678"/>
      <c r="Q161" s="1678"/>
      <c r="R161" s="1678"/>
      <c r="S161" s="1678"/>
    </row>
    <row r="162" spans="2:19">
      <c r="B162" s="1246">
        <f>B160+1</f>
        <v>98</v>
      </c>
      <c r="D162" s="1251" t="s">
        <v>528</v>
      </c>
      <c r="E162" s="1685">
        <v>31</v>
      </c>
      <c r="F162" s="1691">
        <v>0</v>
      </c>
      <c r="G162" s="1691">
        <v>214</v>
      </c>
      <c r="H162" s="1690">
        <f t="shared" ref="H162:H173" si="40">IF(F162=0,0.5,F162/G162)</f>
        <v>0.5</v>
      </c>
      <c r="I162" s="1689"/>
      <c r="J162" s="1685">
        <v>0</v>
      </c>
      <c r="K162" s="1683">
        <f t="shared" ref="K162:K173" si="41">+J162*H162</f>
        <v>0</v>
      </c>
      <c r="L162" s="1683">
        <f>+K162+L160</f>
        <v>0</v>
      </c>
      <c r="M162" s="1689"/>
      <c r="N162" s="1685">
        <v>0</v>
      </c>
      <c r="O162" s="1683">
        <f t="shared" ref="O162:O173" si="42">IF($D$237="True-Up Adjustment",N162-J162,0)</f>
        <v>0</v>
      </c>
      <c r="P162" s="1683">
        <f t="shared" ref="P162:P173" si="43">IF($D$237="True-Up Adjustment",IF(AND(J162&gt;=0,N162&gt;=0),IF(O162&gt;=0,K162+O162,N162/J162*K162),IF(AND(J162&lt;0,N162&lt;0),IF(O162&lt;0,K162+O162,N162/J162*K162),0)),0)</f>
        <v>0</v>
      </c>
      <c r="Q162" s="1683">
        <f t="shared" ref="Q162:Q173" si="44">IF(AND(J162&gt;=0,N162&lt;0),N162,IF(AND(J162&lt;0,N162&gt;=0),N162,0))</f>
        <v>0</v>
      </c>
      <c r="R162" s="1683">
        <f>R160+P162+Q162</f>
        <v>0</v>
      </c>
      <c r="S162" s="1689"/>
    </row>
    <row r="163" spans="2:19">
      <c r="B163" s="1246">
        <f t="shared" ref="B163:B174" si="45">+B162+1</f>
        <v>99</v>
      </c>
      <c r="D163" s="1251" t="s">
        <v>529</v>
      </c>
      <c r="E163" s="1685">
        <v>28</v>
      </c>
      <c r="F163" s="1691">
        <v>0</v>
      </c>
      <c r="G163" s="1691">
        <f t="shared" ref="G163:G173" si="46">G162</f>
        <v>214</v>
      </c>
      <c r="H163" s="1690">
        <f t="shared" si="40"/>
        <v>0.5</v>
      </c>
      <c r="I163" s="1689"/>
      <c r="J163" s="1685">
        <v>0</v>
      </c>
      <c r="K163" s="1683">
        <f t="shared" si="41"/>
        <v>0</v>
      </c>
      <c r="L163" s="1683">
        <f t="shared" ref="L163:L173" si="47">+K163+L162</f>
        <v>0</v>
      </c>
      <c r="M163" s="1689"/>
      <c r="N163" s="1685">
        <v>0</v>
      </c>
      <c r="O163" s="1683">
        <f t="shared" si="42"/>
        <v>0</v>
      </c>
      <c r="P163" s="1683">
        <f t="shared" si="43"/>
        <v>0</v>
      </c>
      <c r="Q163" s="1683">
        <f t="shared" si="44"/>
        <v>0</v>
      </c>
      <c r="R163" s="1683">
        <f t="shared" ref="R163:R173" si="48">R162+P163+Q163</f>
        <v>0</v>
      </c>
      <c r="S163" s="1689"/>
    </row>
    <row r="164" spans="2:19">
      <c r="B164" s="1246">
        <f t="shared" si="45"/>
        <v>100</v>
      </c>
      <c r="D164" s="1251" t="s">
        <v>553</v>
      </c>
      <c r="E164" s="1685">
        <v>31</v>
      </c>
      <c r="F164" s="1691">
        <v>0</v>
      </c>
      <c r="G164" s="1691">
        <f t="shared" si="46"/>
        <v>214</v>
      </c>
      <c r="H164" s="1690">
        <f t="shared" si="40"/>
        <v>0.5</v>
      </c>
      <c r="I164" s="1689"/>
      <c r="J164" s="1685">
        <v>0</v>
      </c>
      <c r="K164" s="1683">
        <f t="shared" si="41"/>
        <v>0</v>
      </c>
      <c r="L164" s="1683">
        <f t="shared" si="47"/>
        <v>0</v>
      </c>
      <c r="M164" s="1689"/>
      <c r="N164" s="1685">
        <v>0</v>
      </c>
      <c r="O164" s="1683">
        <f t="shared" si="42"/>
        <v>0</v>
      </c>
      <c r="P164" s="1683">
        <f t="shared" si="43"/>
        <v>0</v>
      </c>
      <c r="Q164" s="1683">
        <f t="shared" si="44"/>
        <v>0</v>
      </c>
      <c r="R164" s="1683">
        <f t="shared" si="48"/>
        <v>0</v>
      </c>
      <c r="S164" s="1689"/>
    </row>
    <row r="165" spans="2:19">
      <c r="B165" s="1246">
        <f t="shared" si="45"/>
        <v>101</v>
      </c>
      <c r="D165" s="1251" t="s">
        <v>172</v>
      </c>
      <c r="E165" s="1685">
        <v>30</v>
      </c>
      <c r="F165" s="1691">
        <v>0</v>
      </c>
      <c r="G165" s="1691">
        <f t="shared" si="46"/>
        <v>214</v>
      </c>
      <c r="H165" s="1690">
        <f t="shared" si="40"/>
        <v>0.5</v>
      </c>
      <c r="I165" s="1689"/>
      <c r="J165" s="1685">
        <v>0</v>
      </c>
      <c r="K165" s="1683">
        <f t="shared" si="41"/>
        <v>0</v>
      </c>
      <c r="L165" s="1683">
        <f t="shared" si="47"/>
        <v>0</v>
      </c>
      <c r="M165" s="1689"/>
      <c r="N165" s="1685">
        <v>0</v>
      </c>
      <c r="O165" s="1683">
        <f t="shared" si="42"/>
        <v>0</v>
      </c>
      <c r="P165" s="1683">
        <f t="shared" si="43"/>
        <v>0</v>
      </c>
      <c r="Q165" s="1683">
        <f t="shared" si="44"/>
        <v>0</v>
      </c>
      <c r="R165" s="1683">
        <f t="shared" si="48"/>
        <v>0</v>
      </c>
      <c r="S165" s="1689"/>
    </row>
    <row r="166" spans="2:19">
      <c r="B166" s="1246">
        <f t="shared" si="45"/>
        <v>102</v>
      </c>
      <c r="D166" s="1251" t="s">
        <v>173</v>
      </c>
      <c r="E166" s="1685">
        <v>31</v>
      </c>
      <c r="F166" s="1691">
        <v>0</v>
      </c>
      <c r="G166" s="1691">
        <f t="shared" si="46"/>
        <v>214</v>
      </c>
      <c r="H166" s="1690">
        <f t="shared" si="40"/>
        <v>0.5</v>
      </c>
      <c r="I166" s="1689"/>
      <c r="J166" s="1685">
        <v>0</v>
      </c>
      <c r="K166" s="1683">
        <f t="shared" si="41"/>
        <v>0</v>
      </c>
      <c r="L166" s="1683">
        <f t="shared" si="47"/>
        <v>0</v>
      </c>
      <c r="M166" s="1689"/>
      <c r="N166" s="1685">
        <v>0</v>
      </c>
      <c r="O166" s="1683">
        <f t="shared" si="42"/>
        <v>0</v>
      </c>
      <c r="P166" s="1683">
        <f t="shared" si="43"/>
        <v>0</v>
      </c>
      <c r="Q166" s="1683">
        <f t="shared" si="44"/>
        <v>0</v>
      </c>
      <c r="R166" s="1683">
        <f t="shared" si="48"/>
        <v>0</v>
      </c>
      <c r="S166" s="1689"/>
    </row>
    <row r="167" spans="2:19">
      <c r="B167" s="1246">
        <f t="shared" si="45"/>
        <v>103</v>
      </c>
      <c r="D167" s="1251" t="s">
        <v>174</v>
      </c>
      <c r="E167" s="1685">
        <v>30</v>
      </c>
      <c r="F167" s="1691">
        <f t="shared" ref="F167:F172" si="49">E168+F168</f>
        <v>185</v>
      </c>
      <c r="G167" s="1691">
        <f t="shared" si="46"/>
        <v>214</v>
      </c>
      <c r="H167" s="1690">
        <f t="shared" si="40"/>
        <v>0.86448598130841126</v>
      </c>
      <c r="I167" s="1689"/>
      <c r="J167" s="1685">
        <v>0</v>
      </c>
      <c r="K167" s="1683">
        <f t="shared" si="41"/>
        <v>0</v>
      </c>
      <c r="L167" s="1683">
        <f t="shared" si="47"/>
        <v>0</v>
      </c>
      <c r="M167" s="1689"/>
      <c r="N167" s="1685">
        <v>0</v>
      </c>
      <c r="O167" s="1683">
        <f t="shared" si="42"/>
        <v>0</v>
      </c>
      <c r="P167" s="1683">
        <f t="shared" si="43"/>
        <v>0</v>
      </c>
      <c r="Q167" s="1683">
        <f t="shared" si="44"/>
        <v>0</v>
      </c>
      <c r="R167" s="1683">
        <f t="shared" si="48"/>
        <v>0</v>
      </c>
      <c r="S167" s="1689"/>
    </row>
    <row r="168" spans="2:19">
      <c r="B168" s="1246">
        <f t="shared" si="45"/>
        <v>104</v>
      </c>
      <c r="D168" s="1251" t="s">
        <v>531</v>
      </c>
      <c r="E168" s="1685">
        <v>31</v>
      </c>
      <c r="F168" s="1691">
        <f t="shared" si="49"/>
        <v>154</v>
      </c>
      <c r="G168" s="1691">
        <f t="shared" si="46"/>
        <v>214</v>
      </c>
      <c r="H168" s="1690">
        <f t="shared" si="40"/>
        <v>0.71962616822429903</v>
      </c>
      <c r="I168" s="1689"/>
      <c r="J168" s="1685">
        <v>0</v>
      </c>
      <c r="K168" s="1683">
        <f t="shared" si="41"/>
        <v>0</v>
      </c>
      <c r="L168" s="1683">
        <f t="shared" si="47"/>
        <v>0</v>
      </c>
      <c r="M168" s="1689"/>
      <c r="N168" s="1685">
        <v>0</v>
      </c>
      <c r="O168" s="1683">
        <f t="shared" si="42"/>
        <v>0</v>
      </c>
      <c r="P168" s="1683">
        <f t="shared" si="43"/>
        <v>0</v>
      </c>
      <c r="Q168" s="1683">
        <f t="shared" si="44"/>
        <v>0</v>
      </c>
      <c r="R168" s="1683">
        <f t="shared" si="48"/>
        <v>0</v>
      </c>
      <c r="S168" s="1689"/>
    </row>
    <row r="169" spans="2:19">
      <c r="B169" s="1246">
        <f t="shared" si="45"/>
        <v>105</v>
      </c>
      <c r="D169" s="1251" t="s">
        <v>554</v>
      </c>
      <c r="E169" s="1685">
        <v>31</v>
      </c>
      <c r="F169" s="1691">
        <f t="shared" si="49"/>
        <v>123</v>
      </c>
      <c r="G169" s="1691">
        <f t="shared" si="46"/>
        <v>214</v>
      </c>
      <c r="H169" s="1690">
        <f t="shared" si="40"/>
        <v>0.57476635514018692</v>
      </c>
      <c r="I169" s="1689"/>
      <c r="J169" s="1685">
        <v>0</v>
      </c>
      <c r="K169" s="1683">
        <f t="shared" si="41"/>
        <v>0</v>
      </c>
      <c r="L169" s="1683">
        <f t="shared" si="47"/>
        <v>0</v>
      </c>
      <c r="M169" s="1689"/>
      <c r="N169" s="1685">
        <v>0</v>
      </c>
      <c r="O169" s="1683">
        <f t="shared" si="42"/>
        <v>0</v>
      </c>
      <c r="P169" s="1683">
        <f t="shared" si="43"/>
        <v>0</v>
      </c>
      <c r="Q169" s="1683">
        <f t="shared" si="44"/>
        <v>0</v>
      </c>
      <c r="R169" s="1683">
        <f t="shared" si="48"/>
        <v>0</v>
      </c>
      <c r="S169" s="1689"/>
    </row>
    <row r="170" spans="2:19">
      <c r="B170" s="1246">
        <f t="shared" si="45"/>
        <v>106</v>
      </c>
      <c r="D170" s="1251" t="s">
        <v>533</v>
      </c>
      <c r="E170" s="1685">
        <v>30</v>
      </c>
      <c r="F170" s="1691">
        <f t="shared" si="49"/>
        <v>93</v>
      </c>
      <c r="G170" s="1691">
        <f t="shared" si="46"/>
        <v>214</v>
      </c>
      <c r="H170" s="1690">
        <f t="shared" si="40"/>
        <v>0.43457943925233644</v>
      </c>
      <c r="I170" s="1689"/>
      <c r="J170" s="1685">
        <v>0</v>
      </c>
      <c r="K170" s="1683">
        <f t="shared" si="41"/>
        <v>0</v>
      </c>
      <c r="L170" s="1683">
        <f t="shared" si="47"/>
        <v>0</v>
      </c>
      <c r="M170" s="1689"/>
      <c r="N170" s="1685">
        <v>0</v>
      </c>
      <c r="O170" s="1683">
        <f t="shared" si="42"/>
        <v>0</v>
      </c>
      <c r="P170" s="1683">
        <f t="shared" si="43"/>
        <v>0</v>
      </c>
      <c r="Q170" s="1683">
        <f t="shared" si="44"/>
        <v>0</v>
      </c>
      <c r="R170" s="1683">
        <f t="shared" si="48"/>
        <v>0</v>
      </c>
      <c r="S170" s="1689"/>
    </row>
    <row r="171" spans="2:19">
      <c r="B171" s="1246">
        <f t="shared" si="45"/>
        <v>107</v>
      </c>
      <c r="D171" s="1251" t="s">
        <v>534</v>
      </c>
      <c r="E171" s="1685">
        <v>31</v>
      </c>
      <c r="F171" s="1691">
        <f t="shared" si="49"/>
        <v>62</v>
      </c>
      <c r="G171" s="1691">
        <f t="shared" si="46"/>
        <v>214</v>
      </c>
      <c r="H171" s="1690">
        <f t="shared" si="40"/>
        <v>0.28971962616822428</v>
      </c>
      <c r="I171" s="1689"/>
      <c r="J171" s="1685">
        <v>0</v>
      </c>
      <c r="K171" s="1683">
        <f t="shared" si="41"/>
        <v>0</v>
      </c>
      <c r="L171" s="1683">
        <f t="shared" si="47"/>
        <v>0</v>
      </c>
      <c r="M171" s="1689"/>
      <c r="N171" s="1685">
        <v>0</v>
      </c>
      <c r="O171" s="1683">
        <f t="shared" si="42"/>
        <v>0</v>
      </c>
      <c r="P171" s="1683">
        <f t="shared" si="43"/>
        <v>0</v>
      </c>
      <c r="Q171" s="1683">
        <f t="shared" si="44"/>
        <v>0</v>
      </c>
      <c r="R171" s="1683">
        <f t="shared" si="48"/>
        <v>0</v>
      </c>
      <c r="S171" s="1689"/>
    </row>
    <row r="172" spans="2:19">
      <c r="B172" s="1246">
        <f t="shared" si="45"/>
        <v>108</v>
      </c>
      <c r="D172" s="1251" t="s">
        <v>535</v>
      </c>
      <c r="E172" s="1685">
        <v>30</v>
      </c>
      <c r="F172" s="1691">
        <f t="shared" si="49"/>
        <v>32</v>
      </c>
      <c r="G172" s="1691">
        <f t="shared" si="46"/>
        <v>214</v>
      </c>
      <c r="H172" s="1690">
        <f t="shared" si="40"/>
        <v>0.14953271028037382</v>
      </c>
      <c r="I172" s="1689"/>
      <c r="J172" s="1685">
        <v>0</v>
      </c>
      <c r="K172" s="1683">
        <f t="shared" si="41"/>
        <v>0</v>
      </c>
      <c r="L172" s="1683">
        <f t="shared" si="47"/>
        <v>0</v>
      </c>
      <c r="M172" s="1689"/>
      <c r="N172" s="1685">
        <v>0</v>
      </c>
      <c r="O172" s="1683">
        <f t="shared" si="42"/>
        <v>0</v>
      </c>
      <c r="P172" s="1683">
        <f t="shared" si="43"/>
        <v>0</v>
      </c>
      <c r="Q172" s="1683">
        <f t="shared" si="44"/>
        <v>0</v>
      </c>
      <c r="R172" s="1683">
        <f t="shared" si="48"/>
        <v>0</v>
      </c>
      <c r="S172" s="1689"/>
    </row>
    <row r="173" spans="2:19">
      <c r="B173" s="1246">
        <f t="shared" si="45"/>
        <v>109</v>
      </c>
      <c r="D173" s="1252" t="s">
        <v>757</v>
      </c>
      <c r="E173" s="1685">
        <v>31</v>
      </c>
      <c r="F173" s="1692">
        <v>1</v>
      </c>
      <c r="G173" s="1691">
        <f t="shared" si="46"/>
        <v>214</v>
      </c>
      <c r="H173" s="1690">
        <f t="shared" si="40"/>
        <v>4.6728971962616819E-3</v>
      </c>
      <c r="I173" s="1689"/>
      <c r="J173" s="1685">
        <v>0</v>
      </c>
      <c r="K173" s="1683">
        <f t="shared" si="41"/>
        <v>0</v>
      </c>
      <c r="L173" s="1683">
        <f t="shared" si="47"/>
        <v>0</v>
      </c>
      <c r="M173" s="1689"/>
      <c r="N173" s="1685">
        <v>0</v>
      </c>
      <c r="O173" s="1683">
        <f t="shared" si="42"/>
        <v>0</v>
      </c>
      <c r="P173" s="1683">
        <f t="shared" si="43"/>
        <v>0</v>
      </c>
      <c r="Q173" s="1683">
        <f t="shared" si="44"/>
        <v>0</v>
      </c>
      <c r="R173" s="1683">
        <f t="shared" si="48"/>
        <v>0</v>
      </c>
      <c r="S173" s="1689"/>
    </row>
    <row r="174" spans="2:19">
      <c r="B174" s="1246">
        <f t="shared" si="45"/>
        <v>110</v>
      </c>
      <c r="D174" s="1253" t="str">
        <f>"Total (Sum of Lines "&amp;B162&amp;" - "&amp;B173&amp;")"</f>
        <v>Total (Sum of Lines 98 - 109)</v>
      </c>
      <c r="E174" s="1688">
        <f>SUM(E162:E173)</f>
        <v>365</v>
      </c>
      <c r="F174" s="1254"/>
      <c r="G174" s="1254"/>
      <c r="H174" s="1255"/>
      <c r="I174" s="1686"/>
      <c r="J174" s="1688">
        <f>SUM(J162:J173)</f>
        <v>0</v>
      </c>
      <c r="K174" s="1688">
        <f>SUM(K162:K173)</f>
        <v>0</v>
      </c>
      <c r="L174" s="1688"/>
      <c r="M174" s="1686"/>
      <c r="N174" s="1688">
        <f>SUM(N162:N173)</f>
        <v>0</v>
      </c>
      <c r="O174" s="1688">
        <f>SUM(O162:O173)</f>
        <v>0</v>
      </c>
      <c r="P174" s="1688">
        <f>SUM(P162:P173)</f>
        <v>0</v>
      </c>
      <c r="Q174" s="1688">
        <f>SUM(Q162:Q173)</f>
        <v>0</v>
      </c>
      <c r="R174" s="1687"/>
      <c r="S174" s="1686"/>
    </row>
    <row r="175" spans="2:19">
      <c r="D175" s="1256"/>
      <c r="E175" s="1256"/>
      <c r="F175" s="1256"/>
      <c r="G175" s="1256"/>
      <c r="H175" s="1257"/>
      <c r="I175" s="1257"/>
      <c r="K175" s="1258"/>
      <c r="L175" s="1257"/>
      <c r="M175" s="1257"/>
      <c r="N175" s="1266"/>
      <c r="O175" s="1258"/>
      <c r="P175" s="1258"/>
      <c r="Q175" s="1258"/>
      <c r="R175" s="1257"/>
      <c r="S175" s="1257"/>
    </row>
    <row r="176" spans="2:19" ht="15" customHeight="1">
      <c r="B176" s="1246">
        <f>B174+1</f>
        <v>111</v>
      </c>
      <c r="D176" s="985" t="s">
        <v>1367</v>
      </c>
      <c r="I176" s="1257"/>
      <c r="J176" s="1726" t="s">
        <v>1915</v>
      </c>
      <c r="L176" s="1685">
        <f>'1E - EDIT Amortization'!M142+'1E - EDIT Amortization'!M151</f>
        <v>0</v>
      </c>
      <c r="M176" s="1259"/>
      <c r="N176" s="1685"/>
      <c r="R176" s="1685">
        <v>0</v>
      </c>
    </row>
    <row r="177" spans="2:19">
      <c r="B177" s="1246">
        <f>B176+1</f>
        <v>112</v>
      </c>
      <c r="D177" s="985" t="s">
        <v>1368</v>
      </c>
      <c r="I177" s="1257"/>
      <c r="J177" s="1260" t="s">
        <v>647</v>
      </c>
      <c r="L177" s="1261">
        <v>0</v>
      </c>
      <c r="M177" s="1262"/>
      <c r="N177" s="1260"/>
      <c r="R177" s="1261">
        <v>0</v>
      </c>
    </row>
    <row r="178" spans="2:19">
      <c r="B178" s="1246">
        <f>B177+1</f>
        <v>113</v>
      </c>
      <c r="D178" s="985" t="s">
        <v>1369</v>
      </c>
      <c r="I178" s="1257"/>
      <c r="J178" s="1253" t="str">
        <f>"(Col. "&amp;L157&amp;", Line "&amp;B176&amp;" + Line "&amp;B177&amp;")"</f>
        <v>(Col. (H), Line 111 + Line 112)</v>
      </c>
      <c r="L178" s="1684">
        <f>L176+L177</f>
        <v>0</v>
      </c>
      <c r="M178" s="1257"/>
      <c r="N178" s="1253" t="str">
        <f>"(Col. "&amp;R157&amp;", Line "&amp;B176&amp;" + Line "&amp;B177&amp;")"</f>
        <v>(Col. (M), Line 111 + Line 112)</v>
      </c>
      <c r="R178" s="1684">
        <f>R176+R177</f>
        <v>0</v>
      </c>
    </row>
    <row r="179" spans="2:19">
      <c r="I179" s="1257"/>
      <c r="L179" s="1684"/>
      <c r="M179" s="1257"/>
      <c r="R179" s="1684"/>
    </row>
    <row r="180" spans="2:19">
      <c r="B180" s="1246">
        <f>B178+1</f>
        <v>114</v>
      </c>
      <c r="D180" s="985" t="s">
        <v>1370</v>
      </c>
      <c r="I180" s="1257"/>
      <c r="J180" s="1726" t="s">
        <v>1927</v>
      </c>
      <c r="L180" s="1685">
        <f>'1E - EDIT Amortization'!Q142+'1E - EDIT Amortization'!Q152</f>
        <v>0</v>
      </c>
      <c r="M180" s="1259"/>
      <c r="N180" s="1685"/>
      <c r="R180" s="1685">
        <v>0</v>
      </c>
    </row>
    <row r="181" spans="2:19">
      <c r="B181" s="1246">
        <f>B180+1</f>
        <v>115</v>
      </c>
      <c r="D181" s="985" t="s">
        <v>1371</v>
      </c>
      <c r="I181" s="1257"/>
      <c r="J181" s="1260" t="s">
        <v>647</v>
      </c>
      <c r="L181" s="1261">
        <v>0</v>
      </c>
      <c r="M181" s="1257"/>
      <c r="N181" s="1260"/>
      <c r="R181" s="1261">
        <v>0</v>
      </c>
    </row>
    <row r="182" spans="2:19">
      <c r="B182" s="1246">
        <f>B181+1</f>
        <v>116</v>
      </c>
      <c r="D182" s="985" t="s">
        <v>1372</v>
      </c>
      <c r="I182" s="1257"/>
      <c r="J182" s="1253" t="str">
        <f>"(Col. "&amp;L157&amp;", Line "&amp;B180&amp;" + Line "&amp;B181&amp;")"</f>
        <v>(Col. (H), Line 114 + Line 115)</v>
      </c>
      <c r="L182" s="1684">
        <f>L180+L181</f>
        <v>0</v>
      </c>
      <c r="M182" s="1257"/>
      <c r="N182" s="1253" t="str">
        <f>"(Col. "&amp;R157&amp;", Line "&amp;B180&amp;" + Line "&amp;B181&amp;")"</f>
        <v>(Col. (M), Line 114 + Line 115)</v>
      </c>
      <c r="R182" s="1684">
        <f>R180+R181</f>
        <v>0</v>
      </c>
    </row>
    <row r="183" spans="2:19">
      <c r="I183" s="1257"/>
      <c r="L183" s="1684"/>
      <c r="M183" s="1257"/>
      <c r="R183" s="1684"/>
    </row>
    <row r="184" spans="2:19">
      <c r="B184" s="1246">
        <f>B182+1</f>
        <v>117</v>
      </c>
      <c r="D184" s="985" t="s">
        <v>1009</v>
      </c>
      <c r="I184" s="1257"/>
      <c r="J184" s="1253" t="str">
        <f>"([Col. "&amp;L157&amp;", Line "&amp;B178&amp;" + Line "&amp;B182&amp;"] /2)"</f>
        <v>([Col. (H), Line 113 + Line 116] /2)</v>
      </c>
      <c r="L184" s="1683">
        <f>(L178+L182)/2</f>
        <v>0</v>
      </c>
      <c r="M184" s="1257"/>
      <c r="N184" s="1253" t="str">
        <f>"([Col. "&amp;R157&amp;", Line "&amp;B178&amp;" + Line "&amp;B182&amp;"] /2)"</f>
        <v>([Col. (M), Line 113 + Line 116] /2)</v>
      </c>
      <c r="R184" s="1683">
        <f>(R178+R182)/2</f>
        <v>0</v>
      </c>
    </row>
    <row r="185" spans="2:19">
      <c r="B185" s="1246">
        <f>B184+1</f>
        <v>118</v>
      </c>
      <c r="D185" s="1352" t="s">
        <v>1373</v>
      </c>
      <c r="E185" s="1256"/>
      <c r="F185" s="1256"/>
      <c r="G185" s="1256"/>
      <c r="H185" s="1257"/>
      <c r="I185" s="1257"/>
      <c r="J185" s="1253" t="str">
        <f>"(Col. "&amp;L157&amp;", Line "&amp;B173&amp;" )"</f>
        <v>(Col. (H), Line 109 )</v>
      </c>
      <c r="K185" s="1258"/>
      <c r="L185" s="1683">
        <f>L173</f>
        <v>0</v>
      </c>
      <c r="M185" s="1257"/>
      <c r="N185" s="1253" t="str">
        <f>"(Col. "&amp;R157&amp;", Line "&amp;B173&amp;" )"</f>
        <v>(Col. (M), Line 109 )</v>
      </c>
      <c r="R185" s="1683">
        <f>R173</f>
        <v>0</v>
      </c>
    </row>
    <row r="186" spans="2:19" ht="13.5" thickBot="1">
      <c r="B186" s="1246">
        <f>B185+1</f>
        <v>119</v>
      </c>
      <c r="D186" s="1263" t="s">
        <v>1376</v>
      </c>
      <c r="E186" s="1256"/>
      <c r="F186" s="1256"/>
      <c r="G186" s="1256"/>
      <c r="H186" s="1257"/>
      <c r="I186" s="1257"/>
      <c r="J186" s="1253" t="str">
        <f>"(Col. "&amp;L157&amp;", Line "&amp;B184&amp;" + Line "&amp;B185&amp;")"</f>
        <v>(Col. (H), Line 117 + Line 118)</v>
      </c>
      <c r="K186" s="1258"/>
      <c r="L186" s="1682">
        <f>L184+L185</f>
        <v>0</v>
      </c>
      <c r="M186" s="1257"/>
      <c r="N186" s="1253" t="str">
        <f>"(Col. "&amp;R157&amp;", Line "&amp;B184&amp;" + Line "&amp;B185&amp;")"</f>
        <v>(Col. (M), Line 117 + Line 118)</v>
      </c>
      <c r="R186" s="1682">
        <f>R184+R185</f>
        <v>0</v>
      </c>
    </row>
    <row r="187" spans="2:19" ht="13">
      <c r="D187" s="1243"/>
    </row>
    <row r="188" spans="2:19" ht="13">
      <c r="D188" s="1243" t="s">
        <v>1377</v>
      </c>
      <c r="J188" s="1831"/>
      <c r="K188" s="1831"/>
      <c r="L188" s="1831"/>
      <c r="N188" s="1831"/>
      <c r="O188" s="1831"/>
      <c r="P188" s="1831"/>
      <c r="Q188" s="1831"/>
      <c r="R188" s="1831"/>
    </row>
    <row r="189" spans="2:19" ht="13">
      <c r="D189" s="1832" t="s">
        <v>921</v>
      </c>
      <c r="E189" s="1833"/>
      <c r="F189" s="1833"/>
      <c r="G189" s="1833"/>
      <c r="H189" s="1834"/>
      <c r="I189" s="1247"/>
      <c r="J189" s="1826" t="s">
        <v>1364</v>
      </c>
      <c r="K189" s="1827"/>
      <c r="L189" s="1828"/>
      <c r="M189" s="1247"/>
      <c r="N189" s="1826" t="s">
        <v>1365</v>
      </c>
      <c r="O189" s="1827"/>
      <c r="P189" s="1827"/>
      <c r="Q189" s="1827"/>
      <c r="R189" s="1828"/>
      <c r="S189" s="1247"/>
    </row>
    <row r="190" spans="2:19" ht="13">
      <c r="D190" s="1248" t="s">
        <v>175</v>
      </c>
      <c r="E190" s="1248" t="s">
        <v>176</v>
      </c>
      <c r="F190" s="1248" t="s">
        <v>1303</v>
      </c>
      <c r="G190" s="1248" t="s">
        <v>1304</v>
      </c>
      <c r="H190" s="1248" t="s">
        <v>1305</v>
      </c>
      <c r="I190" s="1247"/>
      <c r="J190" s="1248" t="s">
        <v>1306</v>
      </c>
      <c r="K190" s="1248" t="s">
        <v>1307</v>
      </c>
      <c r="L190" s="1248" t="s">
        <v>1308</v>
      </c>
      <c r="M190" s="1247"/>
      <c r="N190" s="1248" t="s">
        <v>1309</v>
      </c>
      <c r="O190" s="1248" t="s">
        <v>1310</v>
      </c>
      <c r="P190" s="1248" t="s">
        <v>1311</v>
      </c>
      <c r="Q190" s="1248" t="s">
        <v>1312</v>
      </c>
      <c r="R190" s="1248" t="s">
        <v>1313</v>
      </c>
      <c r="S190" s="1247"/>
    </row>
    <row r="191" spans="2:19" ht="50">
      <c r="B191" s="1249" t="s">
        <v>1314</v>
      </c>
      <c r="D191" s="1250" t="s">
        <v>170</v>
      </c>
      <c r="E191" s="1250" t="s">
        <v>922</v>
      </c>
      <c r="F191" s="1250" t="s">
        <v>923</v>
      </c>
      <c r="G191" s="1250" t="s">
        <v>924</v>
      </c>
      <c r="H191" s="1250" t="s">
        <v>1315</v>
      </c>
      <c r="I191" s="1678"/>
      <c r="J191" s="1250" t="s">
        <v>925</v>
      </c>
      <c r="K191" s="1250" t="s">
        <v>1316</v>
      </c>
      <c r="L191" s="1250" t="s">
        <v>1317</v>
      </c>
      <c r="M191" s="1678"/>
      <c r="N191" s="1250" t="s">
        <v>1012</v>
      </c>
      <c r="O191" s="1250" t="s">
        <v>1318</v>
      </c>
      <c r="P191" s="1250" t="s">
        <v>1319</v>
      </c>
      <c r="Q191" s="1250" t="s">
        <v>1320</v>
      </c>
      <c r="R191" s="1250" t="s">
        <v>1321</v>
      </c>
      <c r="S191" s="1678"/>
    </row>
    <row r="192" spans="2:19">
      <c r="E192" s="1678"/>
      <c r="F192" s="1678"/>
      <c r="G192" s="1678"/>
      <c r="H192" s="1678"/>
      <c r="I192" s="1678"/>
      <c r="J192" s="1678"/>
      <c r="K192" s="1678"/>
      <c r="L192" s="1678"/>
      <c r="M192" s="1678"/>
      <c r="N192" s="1678"/>
      <c r="O192" s="1678"/>
      <c r="P192" s="1678"/>
      <c r="Q192" s="1678"/>
      <c r="R192" s="1678"/>
      <c r="S192" s="1678"/>
    </row>
    <row r="193" spans="2:19">
      <c r="B193" s="1246">
        <f>B186+1</f>
        <v>120</v>
      </c>
      <c r="D193" s="985" t="s">
        <v>1011</v>
      </c>
      <c r="E193" s="1678"/>
      <c r="F193" s="1678"/>
      <c r="G193" s="1678"/>
      <c r="H193" s="1678"/>
      <c r="I193" s="1678"/>
      <c r="J193" s="1726" t="s">
        <v>1915</v>
      </c>
      <c r="K193" s="1678"/>
      <c r="L193" s="1685">
        <f>'1E - EDIT Amortization'!M200</f>
        <v>0</v>
      </c>
      <c r="M193" s="1678"/>
      <c r="N193" s="1685"/>
      <c r="O193" s="1678"/>
      <c r="P193" s="1678"/>
      <c r="Q193" s="1678"/>
      <c r="R193" s="1685">
        <v>0</v>
      </c>
      <c r="S193" s="1678"/>
    </row>
    <row r="194" spans="2:19">
      <c r="E194" s="1678"/>
      <c r="F194" s="1678"/>
      <c r="G194" s="1678"/>
      <c r="H194" s="1678"/>
      <c r="I194" s="1678"/>
      <c r="J194" s="1678"/>
      <c r="K194" s="1678"/>
      <c r="L194" s="1678"/>
      <c r="M194" s="1678"/>
      <c r="N194" s="1678"/>
      <c r="O194" s="1678"/>
      <c r="P194" s="1678"/>
      <c r="Q194" s="1678"/>
      <c r="R194" s="1678"/>
      <c r="S194" s="1678"/>
    </row>
    <row r="195" spans="2:19">
      <c r="B195" s="1246">
        <f>B193+1</f>
        <v>121</v>
      </c>
      <c r="D195" s="1251" t="s">
        <v>528</v>
      </c>
      <c r="E195" s="1685">
        <v>31</v>
      </c>
      <c r="F195" s="1691">
        <v>0</v>
      </c>
      <c r="G195" s="1691">
        <v>214</v>
      </c>
      <c r="H195" s="1690">
        <f t="shared" ref="H195:H206" si="50">IF(F195=0,0.5,F195/G195)</f>
        <v>0.5</v>
      </c>
      <c r="I195" s="1689"/>
      <c r="J195" s="1685">
        <v>0</v>
      </c>
      <c r="K195" s="1683">
        <f t="shared" ref="K195:K206" si="51">+J195*H195</f>
        <v>0</v>
      </c>
      <c r="L195" s="1683">
        <f>+K195</f>
        <v>0</v>
      </c>
      <c r="M195" s="1689"/>
      <c r="N195" s="1685">
        <v>0</v>
      </c>
      <c r="O195" s="1683">
        <f t="shared" ref="O195:O206" si="52">IF($D$237="True-Up Adjustment",N195-J195,0)</f>
        <v>0</v>
      </c>
      <c r="P195" s="1683">
        <f t="shared" ref="P195:P206" si="53">IF($D$237="True-Up Adjustment",IF(AND(J195&gt;=0,N195&gt;=0),IF(O195&gt;=0,K195+O195,N195/J195*K195),IF(AND(J195&lt;0,N195&lt;0),IF(O195&lt;0,K195+O195,N195/J195*K195),0)),0)</f>
        <v>0</v>
      </c>
      <c r="Q195" s="1683">
        <f t="shared" ref="Q195:Q206" si="54">IF(AND(J195&gt;=0,N195&lt;0),N195,IF(AND(J195&lt;0,N195&gt;=0),N195,0))</f>
        <v>0</v>
      </c>
      <c r="R195" s="1683">
        <f>+P195+Q195</f>
        <v>0</v>
      </c>
      <c r="S195" s="1689"/>
    </row>
    <row r="196" spans="2:19">
      <c r="B196" s="1246">
        <f t="shared" ref="B196:B207" si="55">+B195+1</f>
        <v>122</v>
      </c>
      <c r="D196" s="1251" t="s">
        <v>529</v>
      </c>
      <c r="E196" s="1685">
        <v>28</v>
      </c>
      <c r="F196" s="1691">
        <v>0</v>
      </c>
      <c r="G196" s="1691">
        <f t="shared" ref="G196:G206" si="56">G195</f>
        <v>214</v>
      </c>
      <c r="H196" s="1690">
        <f t="shared" si="50"/>
        <v>0.5</v>
      </c>
      <c r="I196" s="1689"/>
      <c r="J196" s="1685">
        <v>0</v>
      </c>
      <c r="K196" s="1683">
        <f t="shared" si="51"/>
        <v>0</v>
      </c>
      <c r="L196" s="1683">
        <f t="shared" ref="L196:L206" si="57">+K196+L195</f>
        <v>0</v>
      </c>
      <c r="M196" s="1689"/>
      <c r="N196" s="1685">
        <v>0</v>
      </c>
      <c r="O196" s="1683">
        <f t="shared" si="52"/>
        <v>0</v>
      </c>
      <c r="P196" s="1683">
        <f t="shared" si="53"/>
        <v>0</v>
      </c>
      <c r="Q196" s="1683">
        <f t="shared" si="54"/>
        <v>0</v>
      </c>
      <c r="R196" s="1683">
        <f t="shared" ref="R196:R206" si="58">R195+P196+Q196</f>
        <v>0</v>
      </c>
      <c r="S196" s="1689"/>
    </row>
    <row r="197" spans="2:19">
      <c r="B197" s="1246">
        <f t="shared" si="55"/>
        <v>123</v>
      </c>
      <c r="D197" s="1251" t="s">
        <v>553</v>
      </c>
      <c r="E197" s="1685">
        <v>31</v>
      </c>
      <c r="F197" s="1691">
        <v>0</v>
      </c>
      <c r="G197" s="1691">
        <f t="shared" si="56"/>
        <v>214</v>
      </c>
      <c r="H197" s="1690">
        <f t="shared" si="50"/>
        <v>0.5</v>
      </c>
      <c r="I197" s="1689"/>
      <c r="J197" s="1685">
        <v>0</v>
      </c>
      <c r="K197" s="1683">
        <f t="shared" si="51"/>
        <v>0</v>
      </c>
      <c r="L197" s="1683">
        <f t="shared" si="57"/>
        <v>0</v>
      </c>
      <c r="M197" s="1689"/>
      <c r="N197" s="1685">
        <v>0</v>
      </c>
      <c r="O197" s="1683">
        <f t="shared" si="52"/>
        <v>0</v>
      </c>
      <c r="P197" s="1683">
        <f t="shared" si="53"/>
        <v>0</v>
      </c>
      <c r="Q197" s="1683">
        <f t="shared" si="54"/>
        <v>0</v>
      </c>
      <c r="R197" s="1683">
        <f t="shared" si="58"/>
        <v>0</v>
      </c>
      <c r="S197" s="1689"/>
    </row>
    <row r="198" spans="2:19">
      <c r="B198" s="1246">
        <f t="shared" si="55"/>
        <v>124</v>
      </c>
      <c r="D198" s="1251" t="s">
        <v>172</v>
      </c>
      <c r="E198" s="1685">
        <v>30</v>
      </c>
      <c r="F198" s="1691">
        <v>0</v>
      </c>
      <c r="G198" s="1691">
        <f t="shared" si="56"/>
        <v>214</v>
      </c>
      <c r="H198" s="1690">
        <f t="shared" si="50"/>
        <v>0.5</v>
      </c>
      <c r="I198" s="1689"/>
      <c r="J198" s="1685">
        <v>0</v>
      </c>
      <c r="K198" s="1683">
        <f t="shared" si="51"/>
        <v>0</v>
      </c>
      <c r="L198" s="1683">
        <f t="shared" si="57"/>
        <v>0</v>
      </c>
      <c r="M198" s="1689"/>
      <c r="N198" s="1685">
        <v>0</v>
      </c>
      <c r="O198" s="1683">
        <f t="shared" si="52"/>
        <v>0</v>
      </c>
      <c r="P198" s="1683">
        <f t="shared" si="53"/>
        <v>0</v>
      </c>
      <c r="Q198" s="1683">
        <f t="shared" si="54"/>
        <v>0</v>
      </c>
      <c r="R198" s="1683">
        <f t="shared" si="58"/>
        <v>0</v>
      </c>
      <c r="S198" s="1689"/>
    </row>
    <row r="199" spans="2:19">
      <c r="B199" s="1246">
        <f t="shared" si="55"/>
        <v>125</v>
      </c>
      <c r="D199" s="1251" t="s">
        <v>173</v>
      </c>
      <c r="E199" s="1685">
        <v>31</v>
      </c>
      <c r="F199" s="1691">
        <v>0</v>
      </c>
      <c r="G199" s="1691">
        <f t="shared" si="56"/>
        <v>214</v>
      </c>
      <c r="H199" s="1690">
        <f t="shared" si="50"/>
        <v>0.5</v>
      </c>
      <c r="I199" s="1689"/>
      <c r="J199" s="1685">
        <v>0</v>
      </c>
      <c r="K199" s="1683">
        <f t="shared" si="51"/>
        <v>0</v>
      </c>
      <c r="L199" s="1683">
        <f t="shared" si="57"/>
        <v>0</v>
      </c>
      <c r="M199" s="1689"/>
      <c r="N199" s="1685">
        <v>0</v>
      </c>
      <c r="O199" s="1683">
        <f t="shared" si="52"/>
        <v>0</v>
      </c>
      <c r="P199" s="1683">
        <f t="shared" si="53"/>
        <v>0</v>
      </c>
      <c r="Q199" s="1683">
        <f t="shared" si="54"/>
        <v>0</v>
      </c>
      <c r="R199" s="1683">
        <f t="shared" si="58"/>
        <v>0</v>
      </c>
      <c r="S199" s="1689"/>
    </row>
    <row r="200" spans="2:19">
      <c r="B200" s="1246">
        <f t="shared" si="55"/>
        <v>126</v>
      </c>
      <c r="D200" s="1251" t="s">
        <v>174</v>
      </c>
      <c r="E200" s="1685">
        <v>30</v>
      </c>
      <c r="F200" s="1691">
        <f t="shared" ref="F200:F205" si="59">E201+F201</f>
        <v>185</v>
      </c>
      <c r="G200" s="1691">
        <f t="shared" si="56"/>
        <v>214</v>
      </c>
      <c r="H200" s="1690">
        <f t="shared" si="50"/>
        <v>0.86448598130841126</v>
      </c>
      <c r="I200" s="1689"/>
      <c r="J200" s="1685">
        <v>0</v>
      </c>
      <c r="K200" s="1683">
        <f t="shared" si="51"/>
        <v>0</v>
      </c>
      <c r="L200" s="1683">
        <f t="shared" si="57"/>
        <v>0</v>
      </c>
      <c r="M200" s="1689"/>
      <c r="N200" s="1685">
        <v>0</v>
      </c>
      <c r="O200" s="1683">
        <f t="shared" si="52"/>
        <v>0</v>
      </c>
      <c r="P200" s="1683">
        <f t="shared" si="53"/>
        <v>0</v>
      </c>
      <c r="Q200" s="1683">
        <f t="shared" si="54"/>
        <v>0</v>
      </c>
      <c r="R200" s="1683">
        <f t="shared" si="58"/>
        <v>0</v>
      </c>
      <c r="S200" s="1689"/>
    </row>
    <row r="201" spans="2:19">
      <c r="B201" s="1246">
        <f t="shared" si="55"/>
        <v>127</v>
      </c>
      <c r="D201" s="1251" t="s">
        <v>531</v>
      </c>
      <c r="E201" s="1685">
        <v>31</v>
      </c>
      <c r="F201" s="1691">
        <f t="shared" si="59"/>
        <v>154</v>
      </c>
      <c r="G201" s="1691">
        <f t="shared" si="56"/>
        <v>214</v>
      </c>
      <c r="H201" s="1690">
        <f t="shared" si="50"/>
        <v>0.71962616822429903</v>
      </c>
      <c r="I201" s="1689"/>
      <c r="J201" s="1685">
        <v>0</v>
      </c>
      <c r="K201" s="1683">
        <f t="shared" si="51"/>
        <v>0</v>
      </c>
      <c r="L201" s="1683">
        <f t="shared" si="57"/>
        <v>0</v>
      </c>
      <c r="M201" s="1689"/>
      <c r="N201" s="1685">
        <v>0</v>
      </c>
      <c r="O201" s="1683">
        <f t="shared" si="52"/>
        <v>0</v>
      </c>
      <c r="P201" s="1683">
        <f t="shared" si="53"/>
        <v>0</v>
      </c>
      <c r="Q201" s="1683">
        <f t="shared" si="54"/>
        <v>0</v>
      </c>
      <c r="R201" s="1683">
        <f t="shared" si="58"/>
        <v>0</v>
      </c>
      <c r="S201" s="1689"/>
    </row>
    <row r="202" spans="2:19">
      <c r="B202" s="1246">
        <f t="shared" si="55"/>
        <v>128</v>
      </c>
      <c r="D202" s="1251" t="s">
        <v>554</v>
      </c>
      <c r="E202" s="1685">
        <v>31</v>
      </c>
      <c r="F202" s="1691">
        <f t="shared" si="59"/>
        <v>123</v>
      </c>
      <c r="G202" s="1691">
        <f t="shared" si="56"/>
        <v>214</v>
      </c>
      <c r="H202" s="1690">
        <f t="shared" si="50"/>
        <v>0.57476635514018692</v>
      </c>
      <c r="I202" s="1689"/>
      <c r="J202" s="1685">
        <v>0</v>
      </c>
      <c r="K202" s="1683">
        <f t="shared" si="51"/>
        <v>0</v>
      </c>
      <c r="L202" s="1683">
        <f t="shared" si="57"/>
        <v>0</v>
      </c>
      <c r="M202" s="1689"/>
      <c r="N202" s="1685">
        <v>0</v>
      </c>
      <c r="O202" s="1683">
        <f t="shared" si="52"/>
        <v>0</v>
      </c>
      <c r="P202" s="1683">
        <f t="shared" si="53"/>
        <v>0</v>
      </c>
      <c r="Q202" s="1683">
        <f t="shared" si="54"/>
        <v>0</v>
      </c>
      <c r="R202" s="1683">
        <f t="shared" si="58"/>
        <v>0</v>
      </c>
      <c r="S202" s="1689"/>
    </row>
    <row r="203" spans="2:19">
      <c r="B203" s="1246">
        <f t="shared" si="55"/>
        <v>129</v>
      </c>
      <c r="D203" s="1251" t="s">
        <v>533</v>
      </c>
      <c r="E203" s="1685">
        <v>30</v>
      </c>
      <c r="F203" s="1691">
        <f t="shared" si="59"/>
        <v>93</v>
      </c>
      <c r="G203" s="1691">
        <f t="shared" si="56"/>
        <v>214</v>
      </c>
      <c r="H203" s="1690">
        <f t="shared" si="50"/>
        <v>0.43457943925233644</v>
      </c>
      <c r="I203" s="1689"/>
      <c r="J203" s="1685">
        <v>0</v>
      </c>
      <c r="K203" s="1683">
        <f t="shared" si="51"/>
        <v>0</v>
      </c>
      <c r="L203" s="1683">
        <f t="shared" si="57"/>
        <v>0</v>
      </c>
      <c r="M203" s="1689"/>
      <c r="N203" s="1685">
        <v>0</v>
      </c>
      <c r="O203" s="1683">
        <f t="shared" si="52"/>
        <v>0</v>
      </c>
      <c r="P203" s="1683">
        <f t="shared" si="53"/>
        <v>0</v>
      </c>
      <c r="Q203" s="1683">
        <f t="shared" si="54"/>
        <v>0</v>
      </c>
      <c r="R203" s="1683">
        <f t="shared" si="58"/>
        <v>0</v>
      </c>
      <c r="S203" s="1689"/>
    </row>
    <row r="204" spans="2:19">
      <c r="B204" s="1246">
        <f t="shared" si="55"/>
        <v>130</v>
      </c>
      <c r="D204" s="1251" t="s">
        <v>534</v>
      </c>
      <c r="E204" s="1685">
        <v>31</v>
      </c>
      <c r="F204" s="1691">
        <f t="shared" si="59"/>
        <v>62</v>
      </c>
      <c r="G204" s="1691">
        <f t="shared" si="56"/>
        <v>214</v>
      </c>
      <c r="H204" s="1690">
        <f t="shared" si="50"/>
        <v>0.28971962616822428</v>
      </c>
      <c r="I204" s="1689"/>
      <c r="J204" s="1685">
        <v>0</v>
      </c>
      <c r="K204" s="1683">
        <f t="shared" si="51"/>
        <v>0</v>
      </c>
      <c r="L204" s="1683">
        <f t="shared" si="57"/>
        <v>0</v>
      </c>
      <c r="M204" s="1689"/>
      <c r="N204" s="1685">
        <v>0</v>
      </c>
      <c r="O204" s="1683">
        <f t="shared" si="52"/>
        <v>0</v>
      </c>
      <c r="P204" s="1683">
        <f t="shared" si="53"/>
        <v>0</v>
      </c>
      <c r="Q204" s="1683">
        <f t="shared" si="54"/>
        <v>0</v>
      </c>
      <c r="R204" s="1683">
        <f t="shared" si="58"/>
        <v>0</v>
      </c>
      <c r="S204" s="1689"/>
    </row>
    <row r="205" spans="2:19">
      <c r="B205" s="1246">
        <f t="shared" si="55"/>
        <v>131</v>
      </c>
      <c r="D205" s="1251" t="s">
        <v>535</v>
      </c>
      <c r="E205" s="1685">
        <v>30</v>
      </c>
      <c r="F205" s="1691">
        <f t="shared" si="59"/>
        <v>32</v>
      </c>
      <c r="G205" s="1691">
        <f t="shared" si="56"/>
        <v>214</v>
      </c>
      <c r="H205" s="1690">
        <f t="shared" si="50"/>
        <v>0.14953271028037382</v>
      </c>
      <c r="I205" s="1689"/>
      <c r="J205" s="1685">
        <v>0</v>
      </c>
      <c r="K205" s="1683">
        <f t="shared" si="51"/>
        <v>0</v>
      </c>
      <c r="L205" s="1683">
        <f t="shared" si="57"/>
        <v>0</v>
      </c>
      <c r="M205" s="1689"/>
      <c r="N205" s="1685">
        <v>0</v>
      </c>
      <c r="O205" s="1683">
        <f t="shared" si="52"/>
        <v>0</v>
      </c>
      <c r="P205" s="1683">
        <f t="shared" si="53"/>
        <v>0</v>
      </c>
      <c r="Q205" s="1683">
        <f t="shared" si="54"/>
        <v>0</v>
      </c>
      <c r="R205" s="1683">
        <f t="shared" si="58"/>
        <v>0</v>
      </c>
      <c r="S205" s="1689"/>
    </row>
    <row r="206" spans="2:19">
      <c r="B206" s="1246">
        <f t="shared" si="55"/>
        <v>132</v>
      </c>
      <c r="D206" s="1252" t="s">
        <v>757</v>
      </c>
      <c r="E206" s="1685">
        <v>31</v>
      </c>
      <c r="F206" s="1692">
        <v>1</v>
      </c>
      <c r="G206" s="1691">
        <f t="shared" si="56"/>
        <v>214</v>
      </c>
      <c r="H206" s="1690">
        <f t="shared" si="50"/>
        <v>4.6728971962616819E-3</v>
      </c>
      <c r="I206" s="1689"/>
      <c r="J206" s="1685">
        <v>0</v>
      </c>
      <c r="K206" s="1683">
        <f t="shared" si="51"/>
        <v>0</v>
      </c>
      <c r="L206" s="1683">
        <f t="shared" si="57"/>
        <v>0</v>
      </c>
      <c r="M206" s="1689"/>
      <c r="N206" s="1685">
        <v>0</v>
      </c>
      <c r="O206" s="1683">
        <f t="shared" si="52"/>
        <v>0</v>
      </c>
      <c r="P206" s="1683">
        <f t="shared" si="53"/>
        <v>0</v>
      </c>
      <c r="Q206" s="1683">
        <f t="shared" si="54"/>
        <v>0</v>
      </c>
      <c r="R206" s="1683">
        <f t="shared" si="58"/>
        <v>0</v>
      </c>
      <c r="S206" s="1689"/>
    </row>
    <row r="207" spans="2:19">
      <c r="B207" s="1246">
        <f t="shared" si="55"/>
        <v>133</v>
      </c>
      <c r="D207" s="1253" t="str">
        <f>"Total (Sum of Lines "&amp;B195&amp;" - "&amp;B206&amp;")"</f>
        <v>Total (Sum of Lines 121 - 132)</v>
      </c>
      <c r="E207" s="1688">
        <f>SUM(E195:E206)</f>
        <v>365</v>
      </c>
      <c r="F207" s="1254"/>
      <c r="G207" s="1254"/>
      <c r="H207" s="1255"/>
      <c r="I207" s="1686"/>
      <c r="J207" s="1688">
        <f>SUM(J195:J206)</f>
        <v>0</v>
      </c>
      <c r="K207" s="1688">
        <f>SUM(K195:K206)</f>
        <v>0</v>
      </c>
      <c r="L207" s="1687"/>
      <c r="M207" s="1686"/>
      <c r="N207" s="1688">
        <f>SUM(N195:N206)</f>
        <v>0</v>
      </c>
      <c r="O207" s="1688">
        <f>SUM(O195:O206)</f>
        <v>0</v>
      </c>
      <c r="P207" s="1688">
        <f>SUM(P195:P206)</f>
        <v>0</v>
      </c>
      <c r="Q207" s="1688">
        <f>SUM(Q195:Q206)</f>
        <v>0</v>
      </c>
      <c r="R207" s="1687"/>
      <c r="S207" s="1686"/>
    </row>
    <row r="208" spans="2:19">
      <c r="D208" s="1256"/>
      <c r="E208" s="1256"/>
      <c r="F208" s="1256"/>
      <c r="G208" s="1256"/>
      <c r="H208" s="1257"/>
      <c r="I208" s="1257"/>
      <c r="K208" s="1258"/>
      <c r="L208" s="1257"/>
      <c r="M208" s="1257"/>
      <c r="N208" s="1266"/>
      <c r="O208" s="1258"/>
      <c r="P208" s="1258"/>
      <c r="Q208" s="1258"/>
      <c r="R208" s="1257"/>
      <c r="S208" s="1257"/>
    </row>
    <row r="209" spans="2:19">
      <c r="B209" s="1246">
        <f>B207+1</f>
        <v>134</v>
      </c>
      <c r="D209" s="985" t="s">
        <v>1367</v>
      </c>
      <c r="I209" s="1257"/>
      <c r="J209" s="1726" t="s">
        <v>1915</v>
      </c>
      <c r="L209" s="1685">
        <f>'1E - EDIT Amortization'!M143+'1E - EDIT Amortization'!M200</f>
        <v>0</v>
      </c>
      <c r="M209" s="1259"/>
      <c r="N209" s="1685"/>
      <c r="R209" s="1685">
        <v>0</v>
      </c>
    </row>
    <row r="210" spans="2:19">
      <c r="B210" s="1246">
        <f>B209+1</f>
        <v>135</v>
      </c>
      <c r="D210" s="985" t="s">
        <v>1368</v>
      </c>
      <c r="I210" s="1257"/>
      <c r="J210" s="1260" t="s">
        <v>647</v>
      </c>
      <c r="L210" s="1261">
        <v>0</v>
      </c>
      <c r="M210" s="1262"/>
      <c r="N210" s="1260"/>
      <c r="R210" s="1261">
        <v>0</v>
      </c>
    </row>
    <row r="211" spans="2:19">
      <c r="B211" s="1246">
        <f>B210+1</f>
        <v>136</v>
      </c>
      <c r="D211" s="985" t="s">
        <v>1369</v>
      </c>
      <c r="I211" s="1257"/>
      <c r="J211" s="1253" t="str">
        <f>"(Col. "&amp;L190&amp;", Line "&amp;B209&amp;" + Line "&amp;B210&amp;")"</f>
        <v>(Col. (H), Line 134 + Line 135)</v>
      </c>
      <c r="L211" s="1684">
        <f>L209+L210</f>
        <v>0</v>
      </c>
      <c r="M211" s="1257"/>
      <c r="N211" s="1253" t="str">
        <f>"(Col. "&amp;R190&amp;", Line "&amp;B209&amp;" + Line "&amp;B210&amp;")"</f>
        <v>(Col. (M), Line 134 + Line 135)</v>
      </c>
      <c r="R211" s="1684">
        <f>R209+R210</f>
        <v>0</v>
      </c>
    </row>
    <row r="212" spans="2:19">
      <c r="I212" s="1257"/>
      <c r="L212" s="1684"/>
      <c r="M212" s="1257"/>
      <c r="R212" s="1684"/>
    </row>
    <row r="213" spans="2:19">
      <c r="B213" s="1246">
        <f>B211+1</f>
        <v>137</v>
      </c>
      <c r="D213" s="985" t="s">
        <v>1370</v>
      </c>
      <c r="I213" s="1257"/>
      <c r="J213" s="1726" t="s">
        <v>1927</v>
      </c>
      <c r="L213" s="1685">
        <f>'1E - EDIT Amortization'!Q143+'1E - EDIT Amortization'!Q200</f>
        <v>0</v>
      </c>
      <c r="M213" s="1259"/>
      <c r="N213" s="1685"/>
      <c r="R213" s="1685">
        <v>0</v>
      </c>
    </row>
    <row r="214" spans="2:19">
      <c r="B214" s="1246">
        <f>B213+1</f>
        <v>138</v>
      </c>
      <c r="D214" s="985" t="s">
        <v>1371</v>
      </c>
      <c r="I214" s="1257"/>
      <c r="J214" s="1260" t="s">
        <v>647</v>
      </c>
      <c r="L214" s="1261">
        <v>0</v>
      </c>
      <c r="M214" s="1257"/>
      <c r="N214" s="1260"/>
      <c r="R214" s="1261">
        <v>0</v>
      </c>
    </row>
    <row r="215" spans="2:19">
      <c r="B215" s="1246">
        <f>B214+1</f>
        <v>139</v>
      </c>
      <c r="D215" s="985" t="s">
        <v>1372</v>
      </c>
      <c r="I215" s="1257"/>
      <c r="J215" s="1253" t="str">
        <f>"(Col. "&amp;L190&amp;", Line "&amp;B213&amp;" + Line "&amp;B214&amp;")"</f>
        <v>(Col. (H), Line 137 + Line 138)</v>
      </c>
      <c r="L215" s="1684">
        <f>L213+L214</f>
        <v>0</v>
      </c>
      <c r="M215" s="1257"/>
      <c r="N215" s="1253" t="str">
        <f>"(Col. "&amp;R190&amp;", Line "&amp;B213&amp;" + Line "&amp;B214&amp;")"</f>
        <v>(Col. (M), Line 137 + Line 138)</v>
      </c>
      <c r="R215" s="1684">
        <f>R213+R214</f>
        <v>0</v>
      </c>
    </row>
    <row r="216" spans="2:19">
      <c r="I216" s="1257"/>
      <c r="L216" s="1684"/>
      <c r="M216" s="1257"/>
      <c r="R216" s="1684"/>
    </row>
    <row r="217" spans="2:19">
      <c r="B217" s="1246">
        <f>B215+1</f>
        <v>140</v>
      </c>
      <c r="D217" s="985" t="s">
        <v>1009</v>
      </c>
      <c r="I217" s="1257"/>
      <c r="J217" s="1253" t="str">
        <f>"([Col. "&amp;L190&amp;", Line "&amp;B211&amp;" + Line "&amp;B215&amp;"] /2)"</f>
        <v>([Col. (H), Line 136 + Line 139] /2)</v>
      </c>
      <c r="L217" s="1683">
        <f>(L211+L215)/2</f>
        <v>0</v>
      </c>
      <c r="M217" s="1257"/>
      <c r="N217" s="1253" t="str">
        <f>"([Col. "&amp;R190&amp;", Line "&amp;B211&amp;" + Line "&amp;B215&amp;"] /2)"</f>
        <v>([Col. (M), Line 136 + Line 139] /2)</v>
      </c>
      <c r="R217" s="1683">
        <f>(R211+R215)/2</f>
        <v>0</v>
      </c>
    </row>
    <row r="218" spans="2:19">
      <c r="B218" s="1246">
        <f>B217+1</f>
        <v>141</v>
      </c>
      <c r="D218" s="1352" t="s">
        <v>1373</v>
      </c>
      <c r="E218" s="1256"/>
      <c r="F218" s="1256"/>
      <c r="G218" s="1256"/>
      <c r="H218" s="1257"/>
      <c r="I218" s="1257"/>
      <c r="J218" s="1253" t="str">
        <f>"(Col. "&amp;L190&amp;", Line "&amp;B206&amp;" )"</f>
        <v>(Col. (H), Line 132 )</v>
      </c>
      <c r="K218" s="1258"/>
      <c r="L218" s="1683">
        <f>L206</f>
        <v>0</v>
      </c>
      <c r="M218" s="1257"/>
      <c r="N218" s="1253" t="str">
        <f>"(Col. "&amp;R190&amp;", Line "&amp;B206&amp;" )"</f>
        <v>(Col. (M), Line 132 )</v>
      </c>
      <c r="R218" s="1683">
        <f>R206</f>
        <v>0</v>
      </c>
    </row>
    <row r="219" spans="2:19" ht="13.5" thickBot="1">
      <c r="B219" s="1246">
        <f>B218+1</f>
        <v>142</v>
      </c>
      <c r="D219" s="1263" t="s">
        <v>1378</v>
      </c>
      <c r="E219" s="1256"/>
      <c r="F219" s="1256"/>
      <c r="G219" s="1256"/>
      <c r="H219" s="1257"/>
      <c r="I219" s="1257"/>
      <c r="J219" s="1253" t="str">
        <f>"(Col. "&amp;L190&amp;", Line "&amp;B217&amp;" + Line "&amp;B218&amp;")"</f>
        <v>(Col. (H), Line 140 + Line 141)</v>
      </c>
      <c r="K219" s="1258"/>
      <c r="L219" s="1682">
        <f>L217+L218</f>
        <v>0</v>
      </c>
      <c r="M219" s="1257"/>
      <c r="N219" s="1253" t="str">
        <f>"(Col. "&amp;R190&amp;", Line "&amp;B217&amp;" + Line "&amp;B218&amp;")"</f>
        <v>(Col. (M), Line 140 + Line 141)</v>
      </c>
      <c r="R219" s="1682">
        <f>R217+R218</f>
        <v>0</v>
      </c>
    </row>
    <row r="220" spans="2:19">
      <c r="D220" s="1256"/>
      <c r="E220" s="1256"/>
      <c r="F220" s="1256"/>
      <c r="G220" s="1256"/>
      <c r="H220" s="1257"/>
      <c r="I220" s="1257"/>
      <c r="K220" s="1258"/>
      <c r="L220" s="1257"/>
      <c r="M220" s="1257"/>
      <c r="O220" s="1258"/>
      <c r="P220" s="1258"/>
      <c r="Q220" s="1258"/>
      <c r="R220" s="1257"/>
      <c r="S220" s="1257"/>
    </row>
    <row r="221" spans="2:19">
      <c r="D221" s="1256"/>
      <c r="E221" s="1256"/>
      <c r="F221" s="1256" t="s">
        <v>85</v>
      </c>
      <c r="G221" s="1256"/>
      <c r="H221" s="1257"/>
      <c r="I221" s="1257"/>
      <c r="K221" s="1258"/>
      <c r="L221" s="1257"/>
      <c r="M221" s="1257"/>
      <c r="O221" s="1258"/>
      <c r="P221" s="1258"/>
      <c r="Q221" s="1258"/>
      <c r="R221" s="1257"/>
      <c r="S221" s="1257"/>
    </row>
    <row r="222" spans="2:19" ht="13">
      <c r="D222" s="1844" t="s">
        <v>1388</v>
      </c>
      <c r="E222" s="1844"/>
      <c r="F222" s="1844"/>
      <c r="G222" s="1844"/>
      <c r="H222" s="1844"/>
      <c r="I222" s="1257"/>
      <c r="J222" s="1844" t="s">
        <v>1389</v>
      </c>
      <c r="K222" s="1844"/>
      <c r="L222" s="1844"/>
      <c r="M222" s="1844"/>
      <c r="N222" s="1844"/>
      <c r="O222" s="1258"/>
      <c r="P222" s="1258"/>
      <c r="Q222" s="1258"/>
      <c r="R222" s="1257"/>
      <c r="S222" s="1257"/>
    </row>
    <row r="223" spans="2:19" ht="12.75" customHeight="1">
      <c r="B223" s="1842" t="s">
        <v>1314</v>
      </c>
      <c r="C223" s="1676"/>
      <c r="D223" s="1672" t="s">
        <v>175</v>
      </c>
      <c r="E223" s="1673"/>
      <c r="F223" s="1672" t="s">
        <v>176</v>
      </c>
      <c r="G223" s="1674"/>
      <c r="H223" s="1671" t="s">
        <v>1303</v>
      </c>
      <c r="I223" s="1247"/>
      <c r="J223" s="1672" t="s">
        <v>1304</v>
      </c>
      <c r="K223" s="1673"/>
      <c r="L223" s="1672" t="s">
        <v>1305</v>
      </c>
      <c r="M223" s="1674"/>
      <c r="N223" s="1671" t="s">
        <v>1306</v>
      </c>
    </row>
    <row r="224" spans="2:19" ht="26">
      <c r="B224" s="1843"/>
      <c r="C224" s="1676"/>
      <c r="D224" s="1358" t="s">
        <v>1381</v>
      </c>
      <c r="E224" s="1359"/>
      <c r="F224" s="1360" t="s">
        <v>1382</v>
      </c>
      <c r="G224" s="1361"/>
      <c r="H224" s="1357" t="s">
        <v>1390</v>
      </c>
      <c r="J224" s="1358" t="s">
        <v>1381</v>
      </c>
      <c r="K224" s="1359"/>
      <c r="L224" s="1360" t="s">
        <v>1382</v>
      </c>
      <c r="M224" s="1361"/>
      <c r="N224" s="1357" t="s">
        <v>1383</v>
      </c>
      <c r="O224" s="1258"/>
      <c r="P224" s="1258"/>
      <c r="Q224" s="1258"/>
      <c r="R224" s="1257"/>
      <c r="S224" s="1257"/>
    </row>
    <row r="225" spans="1:19" ht="5.15" customHeight="1">
      <c r="B225" s="985"/>
      <c r="E225" s="1256"/>
      <c r="K225" s="1256"/>
      <c r="O225" s="1258"/>
      <c r="P225" s="1258"/>
      <c r="Q225" s="1258"/>
      <c r="R225" s="1257"/>
      <c r="S225" s="1257"/>
    </row>
    <row r="226" spans="1:19">
      <c r="B226" s="1246">
        <f>B219+1</f>
        <v>143</v>
      </c>
      <c r="D226" s="1362" t="s">
        <v>1384</v>
      </c>
      <c r="F226" s="1363" t="str">
        <f>"(Col. "&amp;L124&amp;", Line "&amp;B153&amp;")"</f>
        <v>(Col. (H), Line 96)</v>
      </c>
      <c r="G226" s="1366"/>
      <c r="H226" s="1364">
        <f>L153</f>
        <v>0</v>
      </c>
      <c r="I226" s="1366"/>
      <c r="J226" s="1362" t="s">
        <v>1384</v>
      </c>
      <c r="L226" s="1363" t="str">
        <f>"(Col. "&amp;R124&amp;", Line "&amp;B153&amp;")"</f>
        <v>(Col. (M), Line 96)</v>
      </c>
      <c r="M226" s="1366"/>
      <c r="N226" s="1364">
        <f>R153</f>
        <v>0</v>
      </c>
      <c r="O226" s="1258"/>
      <c r="P226" s="1258"/>
      <c r="Q226" s="1258"/>
      <c r="R226" s="1257"/>
      <c r="S226" s="1257"/>
    </row>
    <row r="227" spans="1:19">
      <c r="B227" s="1246">
        <f>B226+1</f>
        <v>144</v>
      </c>
      <c r="D227" s="1362" t="s">
        <v>1385</v>
      </c>
      <c r="F227" s="1363" t="str">
        <f>"(Col. "&amp;L157&amp;", Line "&amp;B186&amp;")"</f>
        <v>(Col. (H), Line 119)</v>
      </c>
      <c r="H227" s="1365">
        <f>L186</f>
        <v>0</v>
      </c>
      <c r="J227" s="1362" t="s">
        <v>1385</v>
      </c>
      <c r="L227" s="1363" t="str">
        <f>"(Col. "&amp;R157&amp;", Line "&amp;B186&amp;")"</f>
        <v>(Col. (M), Line 119)</v>
      </c>
      <c r="N227" s="1365">
        <f>R186</f>
        <v>0</v>
      </c>
      <c r="O227" s="1258"/>
      <c r="P227" s="1258"/>
      <c r="Q227" s="1258"/>
      <c r="R227" s="1257"/>
      <c r="S227" s="1257"/>
    </row>
    <row r="228" spans="1:19">
      <c r="B228" s="1246">
        <f>B227+1</f>
        <v>145</v>
      </c>
      <c r="D228" s="1362" t="s">
        <v>1386</v>
      </c>
      <c r="F228" s="1363" t="str">
        <f>"(Col. "&amp;L190&amp;", Line "&amp;B219&amp;")"</f>
        <v>(Col. (H), Line 142)</v>
      </c>
      <c r="H228" s="1365">
        <f>L219</f>
        <v>0</v>
      </c>
      <c r="J228" s="1362" t="s">
        <v>1386</v>
      </c>
      <c r="L228" s="1363" t="str">
        <f>"(Col. "&amp;R190&amp;", Line "&amp;B219&amp;")"</f>
        <v>(Col. (M), Line 142)</v>
      </c>
      <c r="N228" s="1365">
        <f>R219</f>
        <v>0</v>
      </c>
      <c r="O228" s="1258"/>
      <c r="P228" s="1258"/>
      <c r="Q228" s="1258"/>
      <c r="R228" s="1257"/>
      <c r="S228" s="1257"/>
    </row>
    <row r="229" spans="1:19" ht="5.15" customHeight="1">
      <c r="D229" s="1256"/>
      <c r="E229" s="1256"/>
      <c r="J229" s="1256"/>
      <c r="K229" s="1256"/>
      <c r="O229" s="1258"/>
      <c r="P229" s="1258"/>
      <c r="Q229" s="1258"/>
      <c r="R229" s="1257"/>
      <c r="S229" s="1257"/>
    </row>
    <row r="230" spans="1:19" ht="13">
      <c r="B230" s="1246">
        <f>B228+1</f>
        <v>146</v>
      </c>
      <c r="D230" s="11" t="s">
        <v>1222</v>
      </c>
      <c r="E230" s="1256"/>
      <c r="F230" s="1363" t="s">
        <v>1867</v>
      </c>
      <c r="G230" s="1366"/>
      <c r="H230" s="1367">
        <f>SUM(H226:H229)</f>
        <v>0</v>
      </c>
      <c r="I230" s="1366"/>
      <c r="J230" s="11" t="s">
        <v>1222</v>
      </c>
      <c r="K230" s="1256"/>
      <c r="L230" s="1368" t="s">
        <v>1867</v>
      </c>
      <c r="M230" s="1366"/>
      <c r="N230" s="1367">
        <f>SUM(N226:N229)</f>
        <v>0</v>
      </c>
      <c r="O230" s="1258"/>
      <c r="P230" s="1258"/>
      <c r="Q230" s="1258"/>
      <c r="R230" s="1257"/>
      <c r="S230" s="1257"/>
    </row>
    <row r="231" spans="1:19">
      <c r="D231" s="1256"/>
      <c r="E231" s="1256"/>
      <c r="F231" s="1256"/>
      <c r="G231" s="1256"/>
      <c r="H231" s="1257"/>
      <c r="I231" s="1257"/>
      <c r="K231" s="1258"/>
      <c r="L231" s="1257"/>
      <c r="M231" s="1257"/>
      <c r="O231" s="1258"/>
      <c r="P231" s="1258"/>
      <c r="Q231" s="1258"/>
      <c r="R231" s="1257"/>
      <c r="S231" s="1257"/>
    </row>
    <row r="232" spans="1:19" ht="13">
      <c r="A232" s="1267"/>
      <c r="B232" s="1268" t="s">
        <v>1282</v>
      </c>
      <c r="C232" s="1267"/>
      <c r="D232" s="1267"/>
      <c r="E232" s="1267"/>
      <c r="F232" s="1267"/>
      <c r="G232" s="1267"/>
      <c r="H232" s="1267"/>
      <c r="I232" s="1267"/>
      <c r="J232" s="1267"/>
      <c r="K232" s="1267"/>
      <c r="L232" s="1267"/>
      <c r="M232" s="1267"/>
      <c r="N232" s="1267"/>
      <c r="O232" s="1267"/>
      <c r="P232" s="1267"/>
      <c r="Q232" s="1267"/>
      <c r="R232" s="1267"/>
      <c r="S232" s="1267"/>
    </row>
    <row r="234" spans="1:19">
      <c r="B234" s="1829" t="s">
        <v>1334</v>
      </c>
      <c r="C234" s="1829"/>
      <c r="D234" s="1829"/>
      <c r="E234" s="1829"/>
      <c r="F234" s="1829"/>
      <c r="G234" s="1829"/>
      <c r="H234" s="1829"/>
      <c r="I234" s="1829"/>
      <c r="J234" s="1829"/>
      <c r="K234" s="1829"/>
      <c r="L234" s="1829"/>
      <c r="M234" s="1257"/>
      <c r="O234" s="1258"/>
      <c r="P234" s="1258"/>
      <c r="Q234" s="1258"/>
      <c r="R234" s="1257"/>
      <c r="S234" s="1257"/>
    </row>
    <row r="235" spans="1:19">
      <c r="B235" s="1829"/>
      <c r="C235" s="1829"/>
      <c r="D235" s="1829"/>
      <c r="E235" s="1829"/>
      <c r="F235" s="1829"/>
      <c r="G235" s="1829"/>
      <c r="H235" s="1829"/>
      <c r="I235" s="1829"/>
      <c r="J235" s="1829"/>
      <c r="K235" s="1829"/>
      <c r="L235" s="1829"/>
      <c r="M235" s="1257"/>
      <c r="O235" s="1258"/>
      <c r="P235" s="1258"/>
      <c r="Q235" s="1258"/>
      <c r="R235" s="1257"/>
      <c r="S235" s="1257"/>
    </row>
    <row r="236" spans="1:19">
      <c r="D236" s="1256"/>
      <c r="E236" s="1256"/>
      <c r="F236" s="1256"/>
      <c r="G236" s="1256"/>
      <c r="H236" s="1257"/>
      <c r="I236" s="1257"/>
      <c r="K236" s="1258"/>
      <c r="L236" s="1257"/>
      <c r="M236" s="1257"/>
      <c r="O236" s="1258"/>
      <c r="P236" s="1258"/>
      <c r="Q236" s="1258"/>
      <c r="R236" s="1257"/>
      <c r="S236" s="1257"/>
    </row>
    <row r="237" spans="1:19" ht="13">
      <c r="B237" s="1244" t="s">
        <v>1335</v>
      </c>
      <c r="D237" s="1269" t="str">
        <f>'1A - ADIT Summary'!D177</f>
        <v>Projected Activity</v>
      </c>
      <c r="E237" s="1270" t="str">
        <f>IF(D237="Projected Activity","Check",IF(D237="True-Up Adjustment","Check","Error"))</f>
        <v>Check</v>
      </c>
      <c r="F237" s="1256"/>
      <c r="G237" s="1256"/>
      <c r="H237" s="1257"/>
      <c r="I237" s="1257"/>
      <c r="K237" s="1258"/>
      <c r="L237" s="1257"/>
      <c r="M237" s="1257"/>
      <c r="O237" s="1258"/>
      <c r="P237" s="1258"/>
      <c r="Q237" s="1258"/>
      <c r="R237" s="1257"/>
      <c r="S237" s="1257"/>
    </row>
    <row r="238" spans="1:19">
      <c r="D238" s="1256"/>
      <c r="E238" s="1256"/>
      <c r="F238" s="1256"/>
      <c r="G238" s="1256"/>
      <c r="H238" s="1257"/>
      <c r="I238" s="1257"/>
      <c r="K238" s="1258"/>
      <c r="L238" s="1257"/>
      <c r="M238" s="1257"/>
      <c r="O238" s="1258"/>
      <c r="P238" s="1258"/>
      <c r="Q238" s="1258"/>
      <c r="R238" s="1257"/>
      <c r="S238" s="1257"/>
    </row>
    <row r="239" spans="1:19">
      <c r="B239" s="1830" t="s">
        <v>1336</v>
      </c>
      <c r="C239" s="1830"/>
      <c r="D239" s="1830"/>
      <c r="E239" s="1830"/>
      <c r="F239" s="1830"/>
      <c r="G239" s="1830"/>
      <c r="H239" s="1830"/>
      <c r="I239" s="1830"/>
      <c r="J239" s="1830"/>
      <c r="K239" s="1830"/>
      <c r="L239" s="1830"/>
      <c r="M239" s="1257"/>
      <c r="O239" s="1258"/>
      <c r="P239" s="1258"/>
      <c r="Q239" s="1258"/>
      <c r="R239" s="1257"/>
      <c r="S239" s="1257"/>
    </row>
    <row r="240" spans="1:19">
      <c r="B240" s="1830"/>
      <c r="C240" s="1830"/>
      <c r="D240" s="1830"/>
      <c r="E240" s="1830"/>
      <c r="F240" s="1830"/>
      <c r="G240" s="1830"/>
      <c r="H240" s="1830"/>
      <c r="I240" s="1830"/>
      <c r="J240" s="1830"/>
      <c r="K240" s="1830"/>
      <c r="L240" s="1830"/>
      <c r="M240" s="1257"/>
      <c r="O240" s="1258"/>
      <c r="P240" s="1258"/>
      <c r="Q240" s="1258"/>
      <c r="R240" s="1257"/>
      <c r="S240" s="1257"/>
    </row>
    <row r="241" spans="1:19">
      <c r="D241" s="1256"/>
      <c r="E241" s="1256"/>
      <c r="F241" s="1256"/>
      <c r="G241" s="1256"/>
      <c r="H241" s="1257"/>
      <c r="I241" s="1257"/>
      <c r="K241" s="1258"/>
      <c r="L241" s="1257"/>
      <c r="M241" s="1257"/>
      <c r="O241" s="1258"/>
      <c r="P241" s="1258"/>
      <c r="Q241" s="1258"/>
      <c r="R241" s="1257"/>
      <c r="S241" s="1257"/>
    </row>
    <row r="242" spans="1:19" ht="13">
      <c r="A242" s="1267"/>
      <c r="B242" s="1268" t="s">
        <v>934</v>
      </c>
      <c r="C242" s="1267"/>
      <c r="D242" s="1267"/>
      <c r="E242" s="1267"/>
      <c r="F242" s="1267"/>
      <c r="G242" s="1267"/>
      <c r="H242" s="1267"/>
      <c r="I242" s="1267"/>
      <c r="J242" s="1267"/>
      <c r="K242" s="1267"/>
      <c r="L242" s="1267"/>
      <c r="M242" s="1267"/>
      <c r="N242" s="1267"/>
      <c r="O242" s="1267"/>
      <c r="P242" s="1267"/>
      <c r="Q242" s="1267"/>
      <c r="R242" s="1267"/>
      <c r="S242" s="1267"/>
    </row>
    <row r="244" spans="1:19" ht="15.75" customHeight="1">
      <c r="A244" s="1243"/>
      <c r="B244" s="1244" t="s">
        <v>9</v>
      </c>
      <c r="C244" s="1829" t="s">
        <v>1391</v>
      </c>
      <c r="D244" s="1829"/>
      <c r="E244" s="1829"/>
      <c r="F244" s="1829"/>
      <c r="G244" s="1829"/>
      <c r="H244" s="1829"/>
      <c r="I244" s="1829"/>
      <c r="J244" s="1829"/>
      <c r="K244" s="1829"/>
      <c r="L244" s="1829"/>
    </row>
    <row r="245" spans="1:19" ht="13">
      <c r="A245" s="1243"/>
      <c r="B245" s="1244"/>
      <c r="C245" s="1829"/>
      <c r="D245" s="1829"/>
      <c r="E245" s="1829"/>
      <c r="F245" s="1829"/>
      <c r="G245" s="1829"/>
      <c r="H245" s="1829"/>
      <c r="I245" s="1829"/>
      <c r="J245" s="1829"/>
      <c r="K245" s="1829"/>
      <c r="L245" s="1829"/>
    </row>
    <row r="246" spans="1:19" ht="13">
      <c r="A246" s="1243"/>
      <c r="B246" s="1244"/>
      <c r="C246" s="1829"/>
      <c r="D246" s="1829"/>
      <c r="E246" s="1829"/>
      <c r="F246" s="1829"/>
      <c r="G246" s="1829"/>
      <c r="H246" s="1829"/>
      <c r="I246" s="1829"/>
      <c r="J246" s="1829"/>
      <c r="K246" s="1829"/>
      <c r="L246" s="1829"/>
    </row>
    <row r="247" spans="1:19">
      <c r="C247" s="1829"/>
      <c r="D247" s="1829"/>
      <c r="E247" s="1829"/>
      <c r="F247" s="1829"/>
      <c r="G247" s="1829"/>
      <c r="H247" s="1829"/>
      <c r="I247" s="1829"/>
      <c r="J247" s="1829"/>
      <c r="K247" s="1829"/>
      <c r="L247" s="1829"/>
    </row>
    <row r="248" spans="1:19">
      <c r="C248" s="1829"/>
      <c r="D248" s="1829"/>
      <c r="E248" s="1829"/>
      <c r="F248" s="1829"/>
      <c r="G248" s="1829"/>
      <c r="H248" s="1829"/>
      <c r="I248" s="1829"/>
      <c r="J248" s="1829"/>
      <c r="K248" s="1829"/>
      <c r="L248" s="1829"/>
    </row>
    <row r="249" spans="1:19" ht="15.75" customHeight="1">
      <c r="A249" s="1243"/>
      <c r="B249" s="1244" t="s">
        <v>10</v>
      </c>
      <c r="C249" s="1829" t="s">
        <v>1392</v>
      </c>
      <c r="D249" s="1829"/>
      <c r="E249" s="1829"/>
      <c r="F249" s="1829"/>
      <c r="G249" s="1829"/>
      <c r="H249" s="1829"/>
      <c r="I249" s="1829"/>
      <c r="J249" s="1829"/>
      <c r="K249" s="1829"/>
      <c r="L249" s="1829"/>
    </row>
    <row r="250" spans="1:19" ht="13">
      <c r="A250" s="1243"/>
      <c r="B250" s="1244"/>
      <c r="C250" s="1829"/>
      <c r="D250" s="1829"/>
      <c r="E250" s="1829"/>
      <c r="F250" s="1829"/>
      <c r="G250" s="1829"/>
      <c r="H250" s="1829"/>
      <c r="I250" s="1829"/>
      <c r="J250" s="1829"/>
      <c r="K250" s="1829"/>
      <c r="L250" s="1829"/>
    </row>
    <row r="251" spans="1:19" ht="13">
      <c r="A251" s="1243"/>
      <c r="B251" s="1244"/>
      <c r="C251" s="1829"/>
      <c r="D251" s="1829"/>
      <c r="E251" s="1829"/>
      <c r="F251" s="1829"/>
      <c r="G251" s="1829"/>
      <c r="H251" s="1829"/>
      <c r="I251" s="1829"/>
      <c r="J251" s="1829"/>
      <c r="K251" s="1829"/>
      <c r="L251" s="1829"/>
    </row>
    <row r="252" spans="1:19" ht="13">
      <c r="A252" s="1243"/>
      <c r="B252" s="1244"/>
      <c r="C252" s="1829"/>
      <c r="D252" s="1829"/>
      <c r="E252" s="1829"/>
      <c r="F252" s="1829"/>
      <c r="G252" s="1829"/>
      <c r="H252" s="1829"/>
      <c r="I252" s="1829"/>
      <c r="J252" s="1829"/>
      <c r="K252" s="1829"/>
      <c r="L252" s="1829"/>
    </row>
    <row r="253" spans="1:19" ht="13">
      <c r="A253" s="1243"/>
      <c r="B253" s="1244"/>
      <c r="C253" s="1829"/>
      <c r="D253" s="1829"/>
      <c r="E253" s="1829"/>
      <c r="F253" s="1829"/>
      <c r="G253" s="1829"/>
      <c r="H253" s="1829"/>
      <c r="I253" s="1829"/>
      <c r="J253" s="1829"/>
      <c r="K253" s="1829"/>
      <c r="L253" s="1829"/>
    </row>
    <row r="254" spans="1:19" ht="13">
      <c r="A254" s="1243"/>
      <c r="B254" s="1244"/>
      <c r="C254" s="1829"/>
      <c r="D254" s="1829"/>
      <c r="E254" s="1829"/>
      <c r="F254" s="1829"/>
      <c r="G254" s="1829"/>
      <c r="H254" s="1829"/>
      <c r="I254" s="1829"/>
      <c r="J254" s="1829"/>
      <c r="K254" s="1829"/>
      <c r="L254" s="1829"/>
    </row>
    <row r="255" spans="1:19" ht="13">
      <c r="A255" s="1243"/>
      <c r="B255" s="1244"/>
      <c r="C255" s="1829"/>
      <c r="D255" s="1829"/>
      <c r="E255" s="1829"/>
      <c r="F255" s="1829"/>
      <c r="G255" s="1829"/>
      <c r="H255" s="1829"/>
      <c r="I255" s="1829"/>
      <c r="J255" s="1829"/>
      <c r="K255" s="1829"/>
      <c r="L255" s="1829"/>
    </row>
    <row r="256" spans="1:19" ht="13">
      <c r="A256" s="1243"/>
      <c r="B256" s="1244"/>
      <c r="C256" s="1829"/>
      <c r="D256" s="1829"/>
      <c r="E256" s="1829"/>
      <c r="F256" s="1829"/>
      <c r="G256" s="1829"/>
      <c r="H256" s="1829"/>
      <c r="I256" s="1829"/>
      <c r="J256" s="1829"/>
      <c r="K256" s="1829"/>
      <c r="L256" s="1829"/>
    </row>
    <row r="257" spans="1:12">
      <c r="C257" s="1829"/>
      <c r="D257" s="1829"/>
      <c r="E257" s="1829"/>
      <c r="F257" s="1829"/>
      <c r="G257" s="1829"/>
      <c r="H257" s="1829"/>
      <c r="I257" s="1829"/>
      <c r="J257" s="1829"/>
      <c r="K257" s="1829"/>
      <c r="L257" s="1829"/>
    </row>
    <row r="258" spans="1:12" ht="15.75" customHeight="1">
      <c r="A258" s="1243"/>
      <c r="B258" s="1244" t="s">
        <v>11</v>
      </c>
      <c r="C258" s="1829" t="s">
        <v>1393</v>
      </c>
      <c r="D258" s="1829"/>
      <c r="E258" s="1829"/>
      <c r="F258" s="1829"/>
      <c r="G258" s="1829"/>
      <c r="H258" s="1829"/>
      <c r="I258" s="1829"/>
      <c r="J258" s="1829"/>
      <c r="K258" s="1829"/>
      <c r="L258" s="1829"/>
    </row>
    <row r="259" spans="1:12" ht="13">
      <c r="A259" s="1243"/>
      <c r="B259" s="1244"/>
      <c r="C259" s="1829"/>
      <c r="D259" s="1829"/>
      <c r="E259" s="1829"/>
      <c r="F259" s="1829"/>
      <c r="G259" s="1829"/>
      <c r="H259" s="1829"/>
      <c r="I259" s="1829"/>
      <c r="J259" s="1829"/>
      <c r="K259" s="1829"/>
      <c r="L259" s="1829"/>
    </row>
    <row r="260" spans="1:12" ht="13">
      <c r="A260" s="1243"/>
      <c r="B260" s="1244"/>
      <c r="C260" s="1829"/>
      <c r="D260" s="1829"/>
      <c r="E260" s="1829"/>
      <c r="F260" s="1829"/>
      <c r="G260" s="1829"/>
      <c r="H260" s="1829"/>
      <c r="I260" s="1829"/>
      <c r="J260" s="1829"/>
      <c r="K260" s="1829"/>
      <c r="L260" s="1829"/>
    </row>
    <row r="261" spans="1:12" ht="13">
      <c r="A261" s="1243"/>
      <c r="B261" s="1244"/>
      <c r="C261" s="1829"/>
      <c r="D261" s="1829"/>
      <c r="E261" s="1829"/>
      <c r="F261" s="1829"/>
      <c r="G261" s="1829"/>
      <c r="H261" s="1829"/>
      <c r="I261" s="1829"/>
      <c r="J261" s="1829"/>
      <c r="K261" s="1829"/>
      <c r="L261" s="1829"/>
    </row>
    <row r="262" spans="1:12" ht="15.75" customHeight="1">
      <c r="A262" s="1243"/>
      <c r="B262" s="1244" t="s">
        <v>14</v>
      </c>
      <c r="C262" s="1829" t="s">
        <v>1394</v>
      </c>
      <c r="D262" s="1829"/>
      <c r="E262" s="1829"/>
      <c r="F262" s="1829"/>
      <c r="G262" s="1829"/>
      <c r="H262" s="1829"/>
      <c r="I262" s="1829"/>
      <c r="J262" s="1829"/>
      <c r="K262" s="1829"/>
      <c r="L262" s="1829"/>
    </row>
    <row r="263" spans="1:12" ht="15.75" customHeight="1">
      <c r="C263" s="1829"/>
      <c r="D263" s="1829"/>
      <c r="E263" s="1829"/>
      <c r="F263" s="1829"/>
      <c r="G263" s="1829"/>
      <c r="H263" s="1829"/>
      <c r="I263" s="1829"/>
      <c r="J263" s="1829"/>
      <c r="K263" s="1829"/>
      <c r="L263" s="1829"/>
    </row>
    <row r="264" spans="1:12" ht="15.75" customHeight="1">
      <c r="A264" s="1243"/>
      <c r="B264" s="1244" t="s">
        <v>137</v>
      </c>
      <c r="C264" s="1829" t="s">
        <v>1395</v>
      </c>
      <c r="D264" s="1829"/>
      <c r="E264" s="1829"/>
      <c r="F264" s="1829"/>
      <c r="G264" s="1829"/>
      <c r="H264" s="1829"/>
      <c r="I264" s="1829"/>
      <c r="J264" s="1829"/>
      <c r="K264" s="1829"/>
      <c r="L264" s="1829"/>
    </row>
    <row r="265" spans="1:12" ht="15.75" customHeight="1">
      <c r="C265" s="1829"/>
      <c r="D265" s="1829"/>
      <c r="E265" s="1829"/>
      <c r="F265" s="1829"/>
      <c r="G265" s="1829"/>
      <c r="H265" s="1829"/>
      <c r="I265" s="1829"/>
      <c r="J265" s="1829"/>
      <c r="K265" s="1829"/>
      <c r="L265" s="1829"/>
    </row>
    <row r="266" spans="1:12" ht="15.75" customHeight="1">
      <c r="A266" s="1243"/>
      <c r="B266" s="1244" t="s">
        <v>138</v>
      </c>
      <c r="C266" s="1825" t="s">
        <v>1396</v>
      </c>
      <c r="D266" s="1825"/>
      <c r="E266" s="1825"/>
      <c r="F266" s="1825"/>
      <c r="G266" s="1825"/>
      <c r="H266" s="1825"/>
      <c r="I266" s="1825"/>
      <c r="J266" s="1825"/>
      <c r="K266" s="1825"/>
      <c r="L266" s="1825"/>
    </row>
    <row r="267" spans="1:12">
      <c r="C267" s="1825"/>
      <c r="D267" s="1825"/>
      <c r="E267" s="1825"/>
      <c r="F267" s="1825"/>
      <c r="G267" s="1825"/>
      <c r="H267" s="1825"/>
      <c r="I267" s="1825"/>
      <c r="J267" s="1825"/>
      <c r="K267" s="1825"/>
      <c r="L267" s="1825"/>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D123:H123"/>
    <mergeCell ref="J123:L123"/>
    <mergeCell ref="N123:R123"/>
    <mergeCell ref="J122:L122"/>
    <mergeCell ref="N122:R122"/>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8111-0D98-42AF-A67E-EAC270CE38DD}">
  <dimension ref="A1:T208"/>
  <sheetViews>
    <sheetView zoomScale="80" zoomScaleNormal="80" workbookViewId="0">
      <selection activeCell="O54" sqref="O54"/>
    </sheetView>
  </sheetViews>
  <sheetFormatPr defaultColWidth="9.1796875" defaultRowHeight="12.5"/>
  <cols>
    <col min="1" max="1" width="9.1796875" style="985"/>
    <col min="2" max="2" width="5.7265625" style="985" customWidth="1"/>
    <col min="3" max="3" width="9.453125" style="985" customWidth="1"/>
    <col min="4" max="4" width="2.7265625" style="985" customWidth="1"/>
    <col min="5" max="5" width="46.81640625" style="985" bestFit="1" customWidth="1"/>
    <col min="6" max="6" width="2.7265625" style="985" customWidth="1"/>
    <col min="7" max="7" width="19.1796875" style="985" bestFit="1" customWidth="1"/>
    <col min="8" max="8" width="2.7265625" style="985" customWidth="1"/>
    <col min="9" max="9" width="19.1796875" style="985" bestFit="1" customWidth="1"/>
    <col min="10" max="10" width="2.7265625" style="985" customWidth="1"/>
    <col min="11" max="11" width="18.54296875" style="985" bestFit="1" customWidth="1"/>
    <col min="12" max="12" width="5.7265625" style="985" customWidth="1"/>
    <col min="13" max="13" width="19.1796875" style="985" bestFit="1" customWidth="1"/>
    <col min="14" max="14" width="2.7265625" style="985" customWidth="1"/>
    <col min="15" max="15" width="17.453125" style="985" customWidth="1"/>
    <col min="16" max="16" width="2.7265625" style="985" customWidth="1"/>
    <col min="17" max="17" width="17.453125" style="985" bestFit="1" customWidth="1"/>
    <col min="18" max="18" width="5.7265625" style="985" customWidth="1"/>
    <col min="19" max="19" width="9.1796875" style="985"/>
    <col min="20" max="20" width="15.26953125" style="985" customWidth="1"/>
    <col min="21" max="21" width="15.1796875" style="985" customWidth="1"/>
    <col min="22" max="16384" width="9.1796875" style="985"/>
  </cols>
  <sheetData>
    <row r="1" spans="1:20" ht="15.5">
      <c r="A1" s="1835" t="s">
        <v>1705</v>
      </c>
      <c r="B1" s="1835"/>
      <c r="C1" s="1835"/>
      <c r="D1" s="1835"/>
      <c r="E1" s="1835"/>
      <c r="F1" s="1835"/>
      <c r="G1" s="1835"/>
      <c r="H1" s="1835"/>
      <c r="I1" s="1835"/>
      <c r="J1" s="1835"/>
      <c r="K1" s="1835"/>
      <c r="L1" s="1835"/>
      <c r="M1" s="1835"/>
      <c r="N1" s="1835"/>
      <c r="O1" s="1835"/>
      <c r="P1" s="1835"/>
      <c r="Q1" s="1835"/>
      <c r="R1" s="1835"/>
      <c r="S1" s="1835"/>
    </row>
    <row r="2" spans="1:20" ht="15.5">
      <c r="A2" s="1835" t="s">
        <v>1397</v>
      </c>
      <c r="B2" s="1835"/>
      <c r="C2" s="1835"/>
      <c r="D2" s="1835"/>
      <c r="E2" s="1835"/>
      <c r="F2" s="1835"/>
      <c r="G2" s="1835"/>
      <c r="H2" s="1835"/>
      <c r="I2" s="1835"/>
      <c r="J2" s="1835"/>
      <c r="K2" s="1835"/>
      <c r="L2" s="1835"/>
      <c r="M2" s="1835"/>
      <c r="N2" s="1835"/>
      <c r="O2" s="1835"/>
      <c r="P2" s="1835"/>
      <c r="Q2" s="1835"/>
      <c r="R2" s="1835"/>
      <c r="S2" s="1835"/>
    </row>
    <row r="3" spans="1:20" ht="15.5">
      <c r="A3" s="1835" t="s">
        <v>1398</v>
      </c>
      <c r="B3" s="1835"/>
      <c r="C3" s="1835"/>
      <c r="D3" s="1835"/>
      <c r="E3" s="1835"/>
      <c r="F3" s="1835"/>
      <c r="G3" s="1835"/>
      <c r="H3" s="1835"/>
      <c r="I3" s="1835"/>
      <c r="J3" s="1835"/>
      <c r="K3" s="1835"/>
      <c r="L3" s="1835"/>
      <c r="M3" s="1835"/>
      <c r="N3" s="1835"/>
      <c r="O3" s="1835"/>
      <c r="P3" s="1835"/>
      <c r="Q3" s="1835"/>
      <c r="R3" s="1835"/>
      <c r="S3" s="1835"/>
    </row>
    <row r="4" spans="1:20" ht="14">
      <c r="A4" s="1369"/>
      <c r="G4" s="1369"/>
      <c r="O4" s="1369"/>
    </row>
    <row r="5" spans="1:20" ht="14">
      <c r="A5" s="1369"/>
      <c r="G5" s="1369"/>
      <c r="O5" s="1369"/>
    </row>
    <row r="6" spans="1:20" ht="15.75" customHeight="1">
      <c r="C6" s="1845" t="s">
        <v>1362</v>
      </c>
      <c r="D6" s="1845"/>
      <c r="E6" s="1845"/>
      <c r="F6" s="1845"/>
      <c r="G6" s="1845"/>
      <c r="H6" s="1845"/>
      <c r="I6" s="1845"/>
      <c r="J6" s="1845"/>
      <c r="K6" s="1845"/>
      <c r="L6" s="1845"/>
      <c r="M6" s="1845"/>
      <c r="N6" s="1845"/>
      <c r="O6" s="1845"/>
      <c r="P6" s="1845"/>
      <c r="Q6" s="1845"/>
    </row>
    <row r="8" spans="1:20" ht="15.75" customHeight="1">
      <c r="C8" s="1847" t="s">
        <v>1399</v>
      </c>
      <c r="D8" s="1848"/>
      <c r="E8" s="1848"/>
      <c r="F8" s="1848"/>
      <c r="G8" s="1848"/>
      <c r="H8" s="1848"/>
      <c r="I8" s="1848"/>
      <c r="J8" s="1848"/>
      <c r="K8" s="1848"/>
      <c r="L8" s="1848"/>
      <c r="M8" s="1848"/>
      <c r="N8" s="1848"/>
      <c r="O8" s="1848"/>
      <c r="P8" s="1848"/>
      <c r="Q8" s="1849"/>
    </row>
    <row r="10" spans="1:20" ht="13">
      <c r="E10" s="1244" t="s">
        <v>175</v>
      </c>
      <c r="F10" s="1244"/>
      <c r="G10" s="1244" t="s">
        <v>176</v>
      </c>
      <c r="H10" s="1244"/>
      <c r="I10" s="1244" t="s">
        <v>1152</v>
      </c>
      <c r="J10" s="1244"/>
      <c r="K10" s="1244" t="s">
        <v>1304</v>
      </c>
      <c r="L10" s="1244"/>
      <c r="M10" s="1244" t="s">
        <v>1400</v>
      </c>
      <c r="N10" s="1244"/>
      <c r="O10" s="1244" t="s">
        <v>1306</v>
      </c>
      <c r="P10" s="1244"/>
      <c r="Q10" s="1244" t="s">
        <v>1307</v>
      </c>
    </row>
    <row r="11" spans="1:20" ht="15" customHeight="1">
      <c r="C11" s="1842" t="s">
        <v>1314</v>
      </c>
      <c r="D11" s="1676"/>
      <c r="E11" s="1851" t="s">
        <v>1381</v>
      </c>
      <c r="G11" s="1853" t="s">
        <v>280</v>
      </c>
      <c r="I11" s="1853" t="s">
        <v>1401</v>
      </c>
      <c r="K11" s="1370" t="s">
        <v>1402</v>
      </c>
      <c r="M11" s="1371" t="s">
        <v>1914</v>
      </c>
      <c r="O11" s="1855" t="s">
        <v>1403</v>
      </c>
      <c r="Q11" s="1802" t="s">
        <v>1925</v>
      </c>
    </row>
    <row r="12" spans="1:20" ht="25">
      <c r="C12" s="1843"/>
      <c r="D12" s="1676"/>
      <c r="E12" s="1852"/>
      <c r="F12" s="1372"/>
      <c r="G12" s="1854"/>
      <c r="H12" s="1372"/>
      <c r="I12" s="1854"/>
      <c r="J12" s="1372"/>
      <c r="K12" s="1373" t="s">
        <v>1404</v>
      </c>
      <c r="M12" s="1679" t="s">
        <v>1405</v>
      </c>
      <c r="O12" s="1856"/>
      <c r="Q12" s="1679" t="s">
        <v>1406</v>
      </c>
    </row>
    <row r="13" spans="1:20" ht="5.15" customHeight="1"/>
    <row r="14" spans="1:20" ht="13">
      <c r="A14" s="1374"/>
      <c r="B14" s="1374"/>
      <c r="C14" s="1246">
        <v>1</v>
      </c>
      <c r="D14" s="1374"/>
      <c r="E14" s="1375" t="s">
        <v>1407</v>
      </c>
      <c r="F14" s="1374"/>
      <c r="G14" s="1376"/>
      <c r="H14" s="1374"/>
      <c r="I14" s="1376"/>
      <c r="J14" s="1374"/>
      <c r="K14" s="1377"/>
      <c r="M14" s="1366"/>
      <c r="O14" s="1378"/>
      <c r="Q14" s="1374"/>
    </row>
    <row r="15" spans="1:20" ht="5.15" customHeight="1"/>
    <row r="16" spans="1:20">
      <c r="C16" s="1246">
        <f>C14+1</f>
        <v>2</v>
      </c>
      <c r="E16" s="1362" t="s">
        <v>1384</v>
      </c>
      <c r="G16" s="1703" t="s">
        <v>823</v>
      </c>
      <c r="I16" s="1376" t="s">
        <v>1408</v>
      </c>
      <c r="K16" s="1364">
        <f>SUMIFS('1F - ADIT Remeasurement'!$AF$11:$AF$174,'1F - ADIT Remeasurement'!$E$11:$E$174,"Non-Property",'1F - ADIT Remeasurement'!$AH$11:$AH$174,"190")</f>
        <v>-2276084.4922092138</v>
      </c>
      <c r="L16" s="1366"/>
      <c r="M16" s="1364">
        <v>-569021.12305230345</v>
      </c>
      <c r="N16" s="1366"/>
      <c r="O16" s="1364">
        <f>-K16/4</f>
        <v>569021.12305230345</v>
      </c>
      <c r="P16" s="1366"/>
      <c r="Q16" s="1364">
        <f>M16+O16</f>
        <v>0</v>
      </c>
      <c r="T16" s="1266"/>
    </row>
    <row r="17" spans="1:20">
      <c r="C17" s="1246">
        <f>C16+1</f>
        <v>3</v>
      </c>
      <c r="E17" s="1362" t="s">
        <v>1409</v>
      </c>
      <c r="G17" s="1703" t="s">
        <v>823</v>
      </c>
      <c r="I17" s="1376" t="s">
        <v>1408</v>
      </c>
      <c r="K17" s="1379">
        <f>SUMIFS('1F - ADIT Remeasurement'!$AF$11:$AF$174,'1F - ADIT Remeasurement'!$E$11:$E$174,"Non-Property",'1F - ADIT Remeasurement'!$AH$11:$AH$174,"281")</f>
        <v>0</v>
      </c>
      <c r="L17" s="1729"/>
      <c r="M17" s="1379">
        <v>0</v>
      </c>
      <c r="N17" s="1729"/>
      <c r="O17" s="1379">
        <f>-K17/4</f>
        <v>0</v>
      </c>
      <c r="P17" s="1729"/>
      <c r="Q17" s="1379">
        <f>M17+O17</f>
        <v>0</v>
      </c>
    </row>
    <row r="18" spans="1:20">
      <c r="C18" s="1246">
        <f>C17+1</f>
        <v>4</v>
      </c>
      <c r="E18" s="1362" t="s">
        <v>1385</v>
      </c>
      <c r="G18" s="1703" t="s">
        <v>823</v>
      </c>
      <c r="I18" s="1376" t="s">
        <v>1408</v>
      </c>
      <c r="K18" s="1379">
        <f>SUMIFS('1F - ADIT Remeasurement'!$AF$11:$AF$174,'1F - ADIT Remeasurement'!$E$11:$E$174,"Non-Property",'1F - ADIT Remeasurement'!$AH$11:$AH$174,"282")</f>
        <v>0</v>
      </c>
      <c r="L18" s="1729"/>
      <c r="M18" s="1379">
        <v>0</v>
      </c>
      <c r="N18" s="1729"/>
      <c r="O18" s="1379">
        <f>-K18/4</f>
        <v>0</v>
      </c>
      <c r="P18" s="1729"/>
      <c r="Q18" s="1379">
        <f>M18+O18</f>
        <v>0</v>
      </c>
    </row>
    <row r="19" spans="1:20">
      <c r="C19" s="1246">
        <f>C18+1</f>
        <v>5</v>
      </c>
      <c r="E19" s="1362" t="s">
        <v>1386</v>
      </c>
      <c r="G19" s="1703" t="s">
        <v>823</v>
      </c>
      <c r="I19" s="1376" t="s">
        <v>1408</v>
      </c>
      <c r="K19" s="1379">
        <f>SUMIFS('1F - ADIT Remeasurement'!$AF$11:$AF$174,'1F - ADIT Remeasurement'!$E$11:$E$174,"Non-Property",'1F - ADIT Remeasurement'!$AH$11:$AH$174,"283")</f>
        <v>-2583952.3407537979</v>
      </c>
      <c r="L19" s="1729"/>
      <c r="M19" s="1379">
        <v>-645988.08518844971</v>
      </c>
      <c r="N19" s="1729"/>
      <c r="O19" s="1379">
        <f>-K19/4</f>
        <v>645988.08518844948</v>
      </c>
      <c r="P19" s="1729"/>
      <c r="Q19" s="1379">
        <f>M19+O19</f>
        <v>0</v>
      </c>
      <c r="T19" s="1266"/>
    </row>
    <row r="20" spans="1:20" ht="5.15" customHeight="1">
      <c r="K20" s="1380"/>
      <c r="M20" s="1380"/>
      <c r="O20" s="1380"/>
      <c r="Q20" s="1380"/>
    </row>
    <row r="21" spans="1:20" ht="13">
      <c r="C21" s="1246">
        <f>C19+1</f>
        <v>6</v>
      </c>
      <c r="E21" s="1243" t="s">
        <v>1410</v>
      </c>
      <c r="K21" s="1366">
        <f>SUM(K15:K20)</f>
        <v>-4860036.8329630122</v>
      </c>
      <c r="L21" s="1366"/>
      <c r="M21" s="1366">
        <f>SUM(M15:M20)</f>
        <v>-1215009.208240753</v>
      </c>
      <c r="N21" s="1366"/>
      <c r="O21" s="1366">
        <f>SUM(O15:O20)</f>
        <v>1215009.208240753</v>
      </c>
      <c r="P21" s="1366"/>
      <c r="Q21" s="1366">
        <f>SUM(Q15:Q20)</f>
        <v>0</v>
      </c>
    </row>
    <row r="22" spans="1:20">
      <c r="C22" s="1246"/>
    </row>
    <row r="23" spans="1:20" ht="13">
      <c r="A23" s="1374"/>
      <c r="B23" s="1374"/>
      <c r="C23" s="1246">
        <f>C21+1</f>
        <v>7</v>
      </c>
      <c r="D23" s="1374"/>
      <c r="E23" s="1375" t="s">
        <v>1411</v>
      </c>
      <c r="F23" s="1374"/>
      <c r="G23" s="1376"/>
      <c r="H23" s="1374"/>
      <c r="I23" s="1376"/>
      <c r="J23" s="1374"/>
      <c r="K23" s="1377"/>
      <c r="M23" s="1366"/>
      <c r="O23" s="1378"/>
      <c r="Q23" s="1374"/>
    </row>
    <row r="24" spans="1:20" ht="5.15" customHeight="1"/>
    <row r="25" spans="1:20">
      <c r="C25" s="1246">
        <f>C23+1</f>
        <v>8</v>
      </c>
      <c r="E25" s="1362" t="s">
        <v>1384</v>
      </c>
      <c r="G25" s="1703" t="s">
        <v>823</v>
      </c>
      <c r="I25" s="1376" t="s">
        <v>1412</v>
      </c>
      <c r="K25" s="1364">
        <f>SUMIFS('1F - ADIT Remeasurement'!$AF$11:$AF$174,'1F - ADIT Remeasurement'!$E$11:$E$174,"Unprotected Property",'1F - ADIT Remeasurement'!$AH$11:$AH$174,"190")</f>
        <v>0</v>
      </c>
      <c r="L25" s="1366"/>
      <c r="M25" s="1364">
        <v>0</v>
      </c>
      <c r="N25" s="1366"/>
      <c r="O25" s="1364">
        <f>-K25/5</f>
        <v>0</v>
      </c>
      <c r="P25" s="1366"/>
      <c r="Q25" s="1364">
        <f>M25+O25</f>
        <v>0</v>
      </c>
    </row>
    <row r="26" spans="1:20">
      <c r="C26" s="1246">
        <f>C25+1</f>
        <v>9</v>
      </c>
      <c r="E26" s="1362" t="s">
        <v>1409</v>
      </c>
      <c r="G26" s="1703" t="s">
        <v>823</v>
      </c>
      <c r="I26" s="1376" t="s">
        <v>1412</v>
      </c>
      <c r="K26" s="1379">
        <f>SUMIFS('1F - ADIT Remeasurement'!$AF$11:$AF$174,'1F - ADIT Remeasurement'!$E$11:$E$174,"Unprotected Property",'1F - ADIT Remeasurement'!$AH$11:$AH$174,"281")</f>
        <v>0</v>
      </c>
      <c r="L26" s="1729"/>
      <c r="M26" s="1379">
        <v>0</v>
      </c>
      <c r="N26" s="1729"/>
      <c r="O26" s="1379">
        <f>-K26/5</f>
        <v>0</v>
      </c>
      <c r="P26" s="1729"/>
      <c r="Q26" s="1379">
        <f>M26+O26</f>
        <v>0</v>
      </c>
    </row>
    <row r="27" spans="1:20">
      <c r="C27" s="1246">
        <f>C26+1</f>
        <v>10</v>
      </c>
      <c r="E27" s="1362" t="s">
        <v>1385</v>
      </c>
      <c r="G27" s="1703" t="s">
        <v>823</v>
      </c>
      <c r="I27" s="1376" t="s">
        <v>1412</v>
      </c>
      <c r="K27" s="1379">
        <f>SUMIFS('1F - ADIT Remeasurement'!$AF$11:$AF$174,'1F - ADIT Remeasurement'!$E$11:$E$174,"Unprotected Property",'1F - ADIT Remeasurement'!$AH$11:$AH$174,"282")</f>
        <v>-46442704.063265227</v>
      </c>
      <c r="L27" s="1729"/>
      <c r="M27" s="1379">
        <v>-18577081.562040858</v>
      </c>
      <c r="N27" s="1729"/>
      <c r="O27" s="1379">
        <f>-K27/5</f>
        <v>9288540.8126530461</v>
      </c>
      <c r="P27" s="1729"/>
      <c r="Q27" s="1379">
        <f>M27+O27</f>
        <v>-9288540.7493878119</v>
      </c>
      <c r="T27" s="1266"/>
    </row>
    <row r="28" spans="1:20">
      <c r="C28" s="1246">
        <f>C27+1</f>
        <v>11</v>
      </c>
      <c r="E28" s="1362" t="s">
        <v>1386</v>
      </c>
      <c r="G28" s="1703" t="s">
        <v>823</v>
      </c>
      <c r="I28" s="1376" t="s">
        <v>1412</v>
      </c>
      <c r="K28" s="1379">
        <f>SUMIFS('1F - ADIT Remeasurement'!$AF$11:$AF$174,'1F - ADIT Remeasurement'!$E$11:$E$174,"Unprotected Property",'1F - ADIT Remeasurement'!$AH$11:$AH$174,"283")</f>
        <v>0</v>
      </c>
      <c r="L28" s="1729"/>
      <c r="M28" s="1379">
        <v>0</v>
      </c>
      <c r="N28" s="1729"/>
      <c r="O28" s="1379">
        <f>-K28/5</f>
        <v>0</v>
      </c>
      <c r="P28" s="1729"/>
      <c r="Q28" s="1379">
        <f>M28+O28</f>
        <v>0</v>
      </c>
    </row>
    <row r="29" spans="1:20" ht="5.15" customHeight="1">
      <c r="K29" s="1380"/>
      <c r="M29" s="1380"/>
      <c r="O29" s="1380"/>
      <c r="Q29" s="1380"/>
    </row>
    <row r="30" spans="1:20" ht="13">
      <c r="C30" s="1246">
        <f>C28+1</f>
        <v>12</v>
      </c>
      <c r="E30" s="1243" t="s">
        <v>1410</v>
      </c>
      <c r="K30" s="1366">
        <f>SUM(K24:K29)</f>
        <v>-46442704.063265227</v>
      </c>
      <c r="L30" s="1366"/>
      <c r="M30" s="1366">
        <f>SUM(M24:M29)</f>
        <v>-18577081.562040858</v>
      </c>
      <c r="N30" s="1366"/>
      <c r="O30" s="1366">
        <f>SUM(O24:O29)</f>
        <v>9288540.8126530461</v>
      </c>
      <c r="P30" s="1366"/>
      <c r="Q30" s="1366">
        <f>SUM(Q24:Q29)</f>
        <v>-9288540.7493878119</v>
      </c>
    </row>
    <row r="32" spans="1:20" ht="13">
      <c r="A32" s="1374"/>
      <c r="B32" s="1374"/>
      <c r="C32" s="1246">
        <f>C30+1</f>
        <v>13</v>
      </c>
      <c r="D32" s="1374"/>
      <c r="E32" s="1375" t="s">
        <v>1413</v>
      </c>
      <c r="F32" s="1374"/>
      <c r="G32" s="1376"/>
      <c r="H32" s="1374"/>
      <c r="I32" s="1376"/>
      <c r="J32" s="1374"/>
      <c r="K32" s="1377"/>
      <c r="M32" s="1366"/>
      <c r="O32" s="1378"/>
      <c r="Q32" s="1374"/>
    </row>
    <row r="33" spans="3:20" ht="5.15" customHeight="1"/>
    <row r="34" spans="3:20">
      <c r="C34" s="1246">
        <f>C32+1</f>
        <v>14</v>
      </c>
      <c r="E34" s="1362" t="s">
        <v>1384</v>
      </c>
      <c r="G34" s="1703" t="s">
        <v>823</v>
      </c>
      <c r="I34" s="1376" t="s">
        <v>1414</v>
      </c>
      <c r="K34" s="1364">
        <f>SUMIFS('1F - ADIT Remeasurement'!$AF$11:$AF$174,'1F - ADIT Remeasurement'!$E$11:$E$174,"Protected Property",'1F - ADIT Remeasurement'!$AH$11:$AH$174,"190")</f>
        <v>3047280.9342206866</v>
      </c>
      <c r="L34" s="1366"/>
      <c r="M34" s="1364">
        <v>3047281</v>
      </c>
      <c r="N34" s="1366"/>
      <c r="O34" s="1364">
        <v>0</v>
      </c>
      <c r="P34" s="1366"/>
      <c r="Q34" s="1364">
        <f>M34+O34</f>
        <v>3047281</v>
      </c>
    </row>
    <row r="35" spans="3:20">
      <c r="C35" s="1246">
        <f>C34+1</f>
        <v>15</v>
      </c>
      <c r="E35" s="1362" t="s">
        <v>1409</v>
      </c>
      <c r="G35" s="1703" t="s">
        <v>823</v>
      </c>
      <c r="I35" s="1376" t="s">
        <v>1414</v>
      </c>
      <c r="K35" s="1379">
        <f>SUMIFS('1F - ADIT Remeasurement'!$AF$11:$AF$174,'1F - ADIT Remeasurement'!$E$11:$E$174,"Protected Property",'1F - ADIT Remeasurement'!$AH$11:$AH$174,"281")</f>
        <v>0</v>
      </c>
      <c r="L35" s="1729"/>
      <c r="M35" s="1379">
        <v>0</v>
      </c>
      <c r="N35" s="1729"/>
      <c r="O35" s="1379">
        <v>0</v>
      </c>
      <c r="P35" s="1729"/>
      <c r="Q35" s="1379">
        <f>M35+O35</f>
        <v>0</v>
      </c>
    </row>
    <row r="36" spans="3:20">
      <c r="C36" s="1246">
        <f>C35+1</f>
        <v>16</v>
      </c>
      <c r="E36" s="1362" t="s">
        <v>1385</v>
      </c>
      <c r="G36" s="1703" t="s">
        <v>823</v>
      </c>
      <c r="I36" s="1376" t="s">
        <v>1414</v>
      </c>
      <c r="K36" s="1379">
        <f>SUMIFS('1F - ADIT Remeasurement'!$AF$11:$AF$174,'1F - ADIT Remeasurement'!$E$11:$E$174,"Protected Property",'1F - ADIT Remeasurement'!$AH$11:$AH$174,"282")</f>
        <v>-68077222.677850693</v>
      </c>
      <c r="L36" s="1729"/>
      <c r="M36" s="1379">
        <v>-64047302</v>
      </c>
      <c r="N36" s="1729"/>
      <c r="O36" s="1379">
        <v>1571564.2399227</v>
      </c>
      <c r="P36" s="1729"/>
      <c r="Q36" s="1379">
        <f>M36+O36</f>
        <v>-62475737.760077298</v>
      </c>
    </row>
    <row r="37" spans="3:20">
      <c r="C37" s="1246">
        <f>C36+1</f>
        <v>17</v>
      </c>
      <c r="E37" s="1362" t="s">
        <v>1386</v>
      </c>
      <c r="G37" s="1703" t="s">
        <v>823</v>
      </c>
      <c r="I37" s="1376" t="s">
        <v>1414</v>
      </c>
      <c r="K37" s="1379">
        <f>SUMIFS('1F - ADIT Remeasurement'!$AF$11:$AF$174,'1F - ADIT Remeasurement'!$E$11:$E$174,"Protected Property",'1F - ADIT Remeasurement'!$AH$11:$AH$174,"283")</f>
        <v>0</v>
      </c>
      <c r="L37" s="1729"/>
      <c r="M37" s="1379">
        <v>0</v>
      </c>
      <c r="N37" s="1729"/>
      <c r="O37" s="1379">
        <v>0</v>
      </c>
      <c r="P37" s="1729"/>
      <c r="Q37" s="1379">
        <f>M37+O37</f>
        <v>0</v>
      </c>
    </row>
    <row r="38" spans="3:20" ht="5.15" customHeight="1">
      <c r="K38" s="1380"/>
      <c r="M38" s="1380"/>
      <c r="O38" s="1380"/>
      <c r="Q38" s="1380"/>
    </row>
    <row r="39" spans="3:20" ht="13">
      <c r="C39" s="1246">
        <f>C37+1</f>
        <v>18</v>
      </c>
      <c r="E39" s="1243" t="s">
        <v>1410</v>
      </c>
      <c r="K39" s="1366">
        <f>SUM(K33:K38)</f>
        <v>-65029941.743630007</v>
      </c>
      <c r="L39" s="1366"/>
      <c r="M39" s="1366">
        <f>SUM(M33:M38)</f>
        <v>-61000021</v>
      </c>
      <c r="N39" s="1366"/>
      <c r="O39" s="1366">
        <f>SUM(O33:O38)</f>
        <v>1571564.2399227</v>
      </c>
      <c r="P39" s="1366"/>
      <c r="Q39" s="1366">
        <f>SUM(Q33:Q38)</f>
        <v>-59428456.760077298</v>
      </c>
      <c r="T39" s="1266"/>
    </row>
    <row r="41" spans="3:20" ht="13.5" thickBot="1">
      <c r="C41" s="1246">
        <f>C39+1</f>
        <v>19</v>
      </c>
      <c r="E41" s="1243" t="s">
        <v>1415</v>
      </c>
      <c r="K41" s="1381">
        <f>K21+K30+K39</f>
        <v>-116332682.63985825</v>
      </c>
      <c r="L41" s="1366"/>
      <c r="M41" s="1381">
        <f>M21+M30+M39</f>
        <v>-80792111.770281613</v>
      </c>
      <c r="N41" s="1366"/>
      <c r="O41" s="1381">
        <f>O21+O30+O39</f>
        <v>12075114.2608165</v>
      </c>
      <c r="P41" s="1366"/>
      <c r="Q41" s="1381">
        <f>Q21+Q30+Q39</f>
        <v>-68716997.509465113</v>
      </c>
      <c r="T41" s="1382"/>
    </row>
    <row r="44" spans="3:20" ht="15.75" customHeight="1">
      <c r="C44" s="1847" t="s">
        <v>1416</v>
      </c>
      <c r="D44" s="1848"/>
      <c r="E44" s="1848"/>
      <c r="F44" s="1848"/>
      <c r="G44" s="1848"/>
      <c r="H44" s="1848"/>
      <c r="I44" s="1848"/>
      <c r="J44" s="1848"/>
      <c r="K44" s="1848"/>
      <c r="L44" s="1848"/>
      <c r="M44" s="1848"/>
      <c r="N44" s="1848"/>
      <c r="O44" s="1848"/>
      <c r="P44" s="1848"/>
      <c r="Q44" s="1849"/>
    </row>
    <row r="46" spans="3:20" ht="13">
      <c r="E46" s="1244" t="s">
        <v>175</v>
      </c>
      <c r="F46" s="1244"/>
      <c r="G46" s="1244" t="s">
        <v>176</v>
      </c>
      <c r="H46" s="1244"/>
      <c r="I46" s="1244" t="s">
        <v>1152</v>
      </c>
      <c r="J46" s="1244"/>
      <c r="K46" s="1244" t="s">
        <v>1304</v>
      </c>
      <c r="L46" s="1244"/>
      <c r="M46" s="1244" t="s">
        <v>1400</v>
      </c>
      <c r="N46" s="1244"/>
      <c r="O46" s="1244" t="s">
        <v>1306</v>
      </c>
      <c r="P46" s="1244"/>
      <c r="Q46" s="1244" t="s">
        <v>1307</v>
      </c>
    </row>
    <row r="47" spans="3:20" ht="15" customHeight="1">
      <c r="C47" s="1842" t="s">
        <v>1314</v>
      </c>
      <c r="D47" s="1676"/>
      <c r="E47" s="1851" t="s">
        <v>1381</v>
      </c>
      <c r="G47" s="1853" t="s">
        <v>280</v>
      </c>
      <c r="I47" s="1853" t="s">
        <v>1401</v>
      </c>
      <c r="K47" s="1383" t="s">
        <v>1417</v>
      </c>
      <c r="M47" s="1371" t="str">
        <f>M11</f>
        <v>December 31, 2020</v>
      </c>
      <c r="O47" s="1855" t="s">
        <v>1403</v>
      </c>
      <c r="Q47" s="1371" t="str">
        <f>Q11</f>
        <v>December 31, 2021</v>
      </c>
    </row>
    <row r="48" spans="3:20" ht="25">
      <c r="C48" s="1843"/>
      <c r="D48" s="1676"/>
      <c r="E48" s="1852"/>
      <c r="F48" s="1372"/>
      <c r="G48" s="1854"/>
      <c r="H48" s="1372"/>
      <c r="I48" s="1854"/>
      <c r="J48" s="1372"/>
      <c r="K48" s="1373" t="s">
        <v>1404</v>
      </c>
      <c r="M48" s="1679" t="s">
        <v>1405</v>
      </c>
      <c r="O48" s="1856"/>
      <c r="Q48" s="1679" t="s">
        <v>1406</v>
      </c>
    </row>
    <row r="49" spans="1:20" ht="5.15" customHeight="1"/>
    <row r="50" spans="1:20" ht="13">
      <c r="A50" s="1374"/>
      <c r="B50" s="1374"/>
      <c r="C50" s="1246">
        <f>C41+1</f>
        <v>20</v>
      </c>
      <c r="D50" s="1374"/>
      <c r="E50" s="1375" t="s">
        <v>1413</v>
      </c>
      <c r="F50" s="1374"/>
      <c r="G50" s="1376"/>
      <c r="H50" s="1374"/>
      <c r="I50" s="1376"/>
      <c r="J50" s="1374"/>
      <c r="K50" s="1377"/>
      <c r="M50" s="1366"/>
      <c r="O50" s="1378"/>
      <c r="Q50" s="1374"/>
    </row>
    <row r="51" spans="1:20" ht="5.15" customHeight="1"/>
    <row r="52" spans="1:20">
      <c r="C52" s="1246">
        <f>C50+1</f>
        <v>21</v>
      </c>
      <c r="E52" s="1362" t="s">
        <v>1384</v>
      </c>
      <c r="G52" s="1703" t="s">
        <v>323</v>
      </c>
      <c r="I52" s="1376" t="s">
        <v>1414</v>
      </c>
      <c r="K52" s="1364">
        <v>0</v>
      </c>
      <c r="L52" s="1366"/>
      <c r="M52" s="1364">
        <v>0</v>
      </c>
      <c r="N52" s="1366"/>
      <c r="O52" s="1364">
        <v>0</v>
      </c>
      <c r="P52" s="1366"/>
      <c r="Q52" s="1364">
        <f>M52+O52</f>
        <v>0</v>
      </c>
    </row>
    <row r="53" spans="1:20">
      <c r="C53" s="1246">
        <f>C52+1</f>
        <v>22</v>
      </c>
      <c r="E53" s="1362" t="s">
        <v>1409</v>
      </c>
      <c r="G53" s="1703" t="s">
        <v>323</v>
      </c>
      <c r="I53" s="1376" t="s">
        <v>1414</v>
      </c>
      <c r="K53" s="1379">
        <v>0</v>
      </c>
      <c r="L53" s="1729"/>
      <c r="M53" s="1379">
        <v>0</v>
      </c>
      <c r="N53" s="1729"/>
      <c r="O53" s="1379">
        <v>0</v>
      </c>
      <c r="P53" s="1729"/>
      <c r="Q53" s="1379">
        <f>M53+O53</f>
        <v>0</v>
      </c>
    </row>
    <row r="54" spans="1:20">
      <c r="C54" s="1246">
        <f>C53+1</f>
        <v>23</v>
      </c>
      <c r="E54" s="1362" t="s">
        <v>1385</v>
      </c>
      <c r="G54" s="1703" t="s">
        <v>323</v>
      </c>
      <c r="I54" s="1376" t="s">
        <v>1414</v>
      </c>
      <c r="K54" s="1379">
        <v>83678</v>
      </c>
      <c r="L54" s="1729"/>
      <c r="M54" s="1379">
        <f>9280</f>
        <v>9280</v>
      </c>
      <c r="N54" s="1729"/>
      <c r="O54" s="1379">
        <f>-9280</f>
        <v>-9280</v>
      </c>
      <c r="P54" s="1729"/>
      <c r="Q54" s="1379">
        <f>M54+O54</f>
        <v>0</v>
      </c>
    </row>
    <row r="55" spans="1:20">
      <c r="C55" s="1246">
        <f>C54+1</f>
        <v>24</v>
      </c>
      <c r="E55" s="1362" t="s">
        <v>1386</v>
      </c>
      <c r="G55" s="1703" t="s">
        <v>323</v>
      </c>
      <c r="I55" s="1376" t="s">
        <v>1414</v>
      </c>
      <c r="K55" s="1379">
        <v>0</v>
      </c>
      <c r="L55" s="1729"/>
      <c r="M55" s="1379">
        <v>0</v>
      </c>
      <c r="N55" s="1729"/>
      <c r="O55" s="1379">
        <v>0</v>
      </c>
      <c r="P55" s="1729"/>
      <c r="Q55" s="1379">
        <f>M55+O55</f>
        <v>0</v>
      </c>
      <c r="R55" s="985" t="s">
        <v>85</v>
      </c>
      <c r="S55" s="985" t="s">
        <v>85</v>
      </c>
      <c r="T55" s="985" t="s">
        <v>85</v>
      </c>
    </row>
    <row r="56" spans="1:20" ht="5.15" customHeight="1">
      <c r="K56" s="1380"/>
      <c r="M56" s="1380"/>
      <c r="O56" s="1380"/>
      <c r="Q56" s="1380"/>
    </row>
    <row r="57" spans="1:20" ht="13">
      <c r="C57" s="1246">
        <f>C55+1</f>
        <v>25</v>
      </c>
      <c r="E57" s="1243" t="s">
        <v>1410</v>
      </c>
      <c r="K57" s="1366">
        <f>SUM(K51:K56)</f>
        <v>83678</v>
      </c>
      <c r="L57" s="1366"/>
      <c r="M57" s="1366">
        <f>SUM(M51:M56)</f>
        <v>9280</v>
      </c>
      <c r="N57" s="1366"/>
      <c r="O57" s="1366">
        <f>SUM(O51:O56)</f>
        <v>-9280</v>
      </c>
      <c r="P57" s="1366"/>
      <c r="Q57" s="1366">
        <f>SUM(Q51:Q56)</f>
        <v>0</v>
      </c>
    </row>
    <row r="59" spans="1:20" ht="13.5" thickBot="1">
      <c r="C59" s="1246">
        <f>C57+1</f>
        <v>26</v>
      </c>
      <c r="E59" s="1243" t="s">
        <v>1415</v>
      </c>
      <c r="K59" s="1381">
        <f>K57</f>
        <v>83678</v>
      </c>
      <c r="L59" s="1366"/>
      <c r="M59" s="1381">
        <f>M57</f>
        <v>9280</v>
      </c>
      <c r="N59" s="1366"/>
      <c r="O59" s="1381">
        <f>O57</f>
        <v>-9280</v>
      </c>
      <c r="P59" s="1366"/>
      <c r="Q59" s="1381">
        <f>Q57</f>
        <v>0</v>
      </c>
    </row>
    <row r="62" spans="1:20" ht="15.75" customHeight="1">
      <c r="C62" s="1847" t="s">
        <v>1418</v>
      </c>
      <c r="D62" s="1848"/>
      <c r="E62" s="1848"/>
      <c r="F62" s="1848"/>
      <c r="G62" s="1848"/>
      <c r="H62" s="1848"/>
      <c r="I62" s="1848"/>
      <c r="J62" s="1848"/>
      <c r="K62" s="1848"/>
      <c r="L62" s="1848"/>
      <c r="M62" s="1848"/>
      <c r="N62" s="1848"/>
      <c r="O62" s="1848"/>
      <c r="P62" s="1848"/>
      <c r="Q62" s="1849"/>
    </row>
    <row r="64" spans="1:20" ht="13">
      <c r="E64" s="1244" t="s">
        <v>175</v>
      </c>
      <c r="F64" s="1244"/>
      <c r="G64" s="1244" t="s">
        <v>176</v>
      </c>
      <c r="H64" s="1244"/>
      <c r="I64" s="1244" t="s">
        <v>1152</v>
      </c>
      <c r="J64" s="1244"/>
      <c r="K64" s="1244" t="s">
        <v>1304</v>
      </c>
      <c r="L64" s="1244"/>
      <c r="M64" s="1244" t="s">
        <v>1400</v>
      </c>
      <c r="N64" s="1244"/>
      <c r="O64" s="1244" t="s">
        <v>1306</v>
      </c>
      <c r="P64" s="1244"/>
      <c r="Q64" s="1244" t="s">
        <v>1307</v>
      </c>
    </row>
    <row r="65" spans="3:19" ht="15" customHeight="1">
      <c r="C65" s="1842" t="s">
        <v>1314</v>
      </c>
      <c r="D65" s="1676"/>
      <c r="E65" s="1851" t="s">
        <v>1381</v>
      </c>
      <c r="G65" s="1853" t="s">
        <v>280</v>
      </c>
      <c r="I65" s="1853" t="s">
        <v>1401</v>
      </c>
      <c r="M65" s="1371" t="str">
        <f>M47</f>
        <v>December 31, 2020</v>
      </c>
      <c r="O65" s="1855" t="s">
        <v>1403</v>
      </c>
      <c r="Q65" s="1371" t="str">
        <f>Q47</f>
        <v>December 31, 2021</v>
      </c>
    </row>
    <row r="66" spans="3:19" ht="25">
      <c r="C66" s="1843"/>
      <c r="D66" s="1676"/>
      <c r="E66" s="1852"/>
      <c r="F66" s="1372"/>
      <c r="G66" s="1854"/>
      <c r="H66" s="1372"/>
      <c r="I66" s="1854"/>
      <c r="J66" s="1372"/>
      <c r="K66" s="1373" t="s">
        <v>1404</v>
      </c>
      <c r="M66" s="1679" t="s">
        <v>1405</v>
      </c>
      <c r="O66" s="1856"/>
      <c r="Q66" s="1679" t="s">
        <v>1406</v>
      </c>
    </row>
    <row r="68" spans="3:19" ht="13">
      <c r="E68" s="1375" t="s">
        <v>1407</v>
      </c>
    </row>
    <row r="69" spans="3:19" ht="13">
      <c r="E69" s="1781"/>
    </row>
    <row r="70" spans="3:19">
      <c r="C70" s="1246">
        <f>C59+1</f>
        <v>27</v>
      </c>
      <c r="E70" s="1362" t="s">
        <v>1384</v>
      </c>
      <c r="K70" s="1364">
        <f>K16+K25+K34+K52</f>
        <v>771196.44201147277</v>
      </c>
      <c r="L70" s="1366"/>
      <c r="M70" s="1364">
        <f>M16+M25+M34+M52</f>
        <v>2478259.8769476963</v>
      </c>
      <c r="N70" s="1366"/>
      <c r="O70" s="1364">
        <f>O16+O25+O34+O52</f>
        <v>569021.12305230345</v>
      </c>
      <c r="P70" s="1366"/>
      <c r="Q70" s="1364">
        <f>M70+O70</f>
        <v>3047281</v>
      </c>
    </row>
    <row r="71" spans="3:19">
      <c r="C71" s="1246">
        <f>C70+1</f>
        <v>28</v>
      </c>
      <c r="E71" s="1362" t="s">
        <v>1409</v>
      </c>
      <c r="K71" s="1365">
        <f>K17+K26+K35+K53</f>
        <v>0</v>
      </c>
      <c r="M71" s="1365">
        <f>M17+M26+M35+M53</f>
        <v>0</v>
      </c>
      <c r="O71" s="1365">
        <f>O17+O26+O35+O53</f>
        <v>0</v>
      </c>
      <c r="Q71" s="1379">
        <f>M71+O71</f>
        <v>0</v>
      </c>
    </row>
    <row r="72" spans="3:19">
      <c r="C72" s="1246">
        <f>C71+1</f>
        <v>29</v>
      </c>
      <c r="E72" s="1362" t="s">
        <v>1385</v>
      </c>
      <c r="K72" s="1365">
        <f>K18+K27+K36+K54</f>
        <v>-114436248.74111593</v>
      </c>
      <c r="M72" s="1365">
        <f>M18+M27+M36+M54</f>
        <v>-82615103.562040865</v>
      </c>
      <c r="O72" s="1365">
        <f>O18+O27+O36+O54</f>
        <v>10850825.052575747</v>
      </c>
      <c r="Q72" s="1379">
        <f>M72+O72</f>
        <v>-71764278.509465113</v>
      </c>
    </row>
    <row r="73" spans="3:19">
      <c r="C73" s="1246">
        <f>C72+1</f>
        <v>30</v>
      </c>
      <c r="E73" s="1362" t="s">
        <v>1386</v>
      </c>
      <c r="K73" s="1365">
        <f>K19+K28+K37+K55</f>
        <v>-2583952.3407537979</v>
      </c>
      <c r="M73" s="1365">
        <f>M19+M28+M37+M55</f>
        <v>-645988.08518844971</v>
      </c>
      <c r="O73" s="1365">
        <f>O19+O28+O37+O55</f>
        <v>645988.08518844948</v>
      </c>
      <c r="Q73" s="1379">
        <f>M73+O73</f>
        <v>0</v>
      </c>
    </row>
    <row r="74" spans="3:19" ht="5.15" customHeight="1">
      <c r="Q74" s="1380"/>
    </row>
    <row r="75" spans="3:19" ht="13">
      <c r="C75" s="1246">
        <f>C73+1</f>
        <v>31</v>
      </c>
      <c r="E75" s="1243" t="s">
        <v>1415</v>
      </c>
      <c r="K75" s="1385">
        <f>SUM(K70:K74)</f>
        <v>-116249004.63985825</v>
      </c>
      <c r="L75" s="1366"/>
      <c r="M75" s="1385">
        <f>SUM(M70:M74)</f>
        <v>-80782831.770281613</v>
      </c>
      <c r="N75" s="1366"/>
      <c r="O75" s="1385">
        <f>SUM(O70:O74)</f>
        <v>12065834.2608165</v>
      </c>
      <c r="P75" s="1366"/>
      <c r="Q75" s="1385">
        <f>SUM(Q70:Q74)</f>
        <v>-68716997.509465113</v>
      </c>
    </row>
    <row r="76" spans="3:19" ht="5.15" customHeight="1"/>
    <row r="77" spans="3:19">
      <c r="C77" s="1246">
        <f>C75+1</f>
        <v>32</v>
      </c>
      <c r="E77" s="1362" t="s">
        <v>1254</v>
      </c>
      <c r="G77" s="985" t="s">
        <v>1868</v>
      </c>
      <c r="K77" s="1386">
        <f>'ATT H-3D'!$H$254</f>
        <v>1.3834128795739087</v>
      </c>
      <c r="M77" s="1386">
        <f>'ATT H-3D'!$H$254</f>
        <v>1.3834128795739087</v>
      </c>
      <c r="O77" s="1386">
        <f>'ATT H-3D'!$H$254</f>
        <v>1.3834128795739087</v>
      </c>
      <c r="Q77" s="1386">
        <f>'ATT H-3D'!$H$254</f>
        <v>1.3834128795739087</v>
      </c>
    </row>
    <row r="78" spans="3:19" ht="5.15" customHeight="1"/>
    <row r="79" spans="3:19" ht="13.5" thickBot="1">
      <c r="C79" s="1246">
        <f>C77+1</f>
        <v>33</v>
      </c>
      <c r="E79" s="1243" t="s">
        <v>1419</v>
      </c>
      <c r="K79" s="1387">
        <f>K75*K77</f>
        <v>-160820370.25642696</v>
      </c>
      <c r="L79" s="1366"/>
      <c r="M79" s="1387">
        <f>M75*M77</f>
        <v>-111756009.91945992</v>
      </c>
      <c r="N79" s="1366"/>
      <c r="O79" s="1387">
        <f>O75*O77</f>
        <v>16692030.519217677</v>
      </c>
      <c r="P79" s="1366"/>
      <c r="Q79" s="1387">
        <f>Q75*Q77</f>
        <v>-95063979.400242239</v>
      </c>
      <c r="S79" s="120"/>
    </row>
    <row r="80" spans="3:19" ht="13" thickTop="1"/>
    <row r="81" spans="3:17" ht="15.75" customHeight="1">
      <c r="C81" s="1847" t="s">
        <v>1420</v>
      </c>
      <c r="D81" s="1848"/>
      <c r="E81" s="1848"/>
      <c r="F81" s="1848"/>
      <c r="G81" s="1848"/>
      <c r="H81" s="1848"/>
      <c r="I81" s="1848"/>
      <c r="J81" s="1848"/>
      <c r="K81" s="1848"/>
      <c r="L81" s="1848"/>
      <c r="M81" s="1848"/>
      <c r="N81" s="1848"/>
      <c r="O81" s="1848"/>
      <c r="P81" s="1848"/>
      <c r="Q81" s="1849"/>
    </row>
    <row r="83" spans="3:17" ht="13">
      <c r="E83" s="1244" t="s">
        <v>175</v>
      </c>
      <c r="F83" s="1244"/>
      <c r="G83" s="1244" t="s">
        <v>176</v>
      </c>
      <c r="H83" s="1244"/>
      <c r="I83" s="1244" t="s">
        <v>1152</v>
      </c>
      <c r="J83" s="1244"/>
      <c r="K83" s="1244" t="s">
        <v>1304</v>
      </c>
      <c r="L83" s="1244"/>
      <c r="M83" s="1244" t="s">
        <v>1400</v>
      </c>
      <c r="N83" s="1244"/>
      <c r="O83" s="1244" t="s">
        <v>1306</v>
      </c>
      <c r="P83" s="1244"/>
      <c r="Q83" s="1244" t="s">
        <v>1307</v>
      </c>
    </row>
    <row r="84" spans="3:17">
      <c r="C84" s="1857" t="s">
        <v>1314</v>
      </c>
      <c r="E84" s="1858" t="s">
        <v>1421</v>
      </c>
      <c r="G84" s="1860" t="s">
        <v>280</v>
      </c>
      <c r="H84" s="1860"/>
      <c r="I84" s="1860"/>
      <c r="K84" s="1370"/>
      <c r="M84" s="1371" t="str">
        <f>M65</f>
        <v>December 31, 2020</v>
      </c>
      <c r="Q84" s="1371" t="str">
        <f>Q65</f>
        <v>December 31, 2021</v>
      </c>
    </row>
    <row r="85" spans="3:17" ht="25">
      <c r="C85" s="1831"/>
      <c r="E85" s="1859"/>
      <c r="G85" s="1861"/>
      <c r="H85" s="1861"/>
      <c r="I85" s="1861"/>
      <c r="J85" s="1372"/>
      <c r="K85" s="1373" t="s">
        <v>1404</v>
      </c>
      <c r="M85" s="1679" t="s">
        <v>1405</v>
      </c>
      <c r="O85" s="1679" t="s">
        <v>1403</v>
      </c>
      <c r="Q85" s="1679" t="s">
        <v>1406</v>
      </c>
    </row>
    <row r="86" spans="3:17" ht="5.15" customHeight="1"/>
    <row r="87" spans="3:17">
      <c r="C87" s="1246">
        <f>C79+1</f>
        <v>34</v>
      </c>
      <c r="E87" s="1362" t="s">
        <v>1422</v>
      </c>
      <c r="K87" s="1364">
        <v>0</v>
      </c>
      <c r="L87" s="1366"/>
      <c r="M87" s="1364">
        <v>0</v>
      </c>
      <c r="N87" s="1366"/>
      <c r="O87" s="1364">
        <v>0</v>
      </c>
      <c r="P87" s="1366"/>
      <c r="Q87" s="1364">
        <f>M87+O87</f>
        <v>0</v>
      </c>
    </row>
    <row r="88" spans="3:17">
      <c r="C88" s="1246">
        <f>C87+1</f>
        <v>35</v>
      </c>
      <c r="E88" s="1362" t="s">
        <v>1423</v>
      </c>
      <c r="K88" s="1365">
        <f>K79</f>
        <v>-160820370.25642696</v>
      </c>
      <c r="M88" s="1365">
        <f>M79</f>
        <v>-111756009.91945992</v>
      </c>
      <c r="O88" s="1365">
        <f>O79</f>
        <v>16692030.519217677</v>
      </c>
      <c r="Q88" s="1379">
        <f>M88+O88</f>
        <v>-95063979.400242239</v>
      </c>
    </row>
    <row r="89" spans="3:17" ht="5.15" customHeight="1">
      <c r="K89" s="1380"/>
      <c r="M89" s="1380"/>
      <c r="O89" s="1380"/>
      <c r="Q89" s="1380"/>
    </row>
    <row r="90" spans="3:17" ht="13">
      <c r="C90" s="1246">
        <f>C88+1</f>
        <v>36</v>
      </c>
      <c r="E90" s="1243" t="s">
        <v>1424</v>
      </c>
      <c r="K90" s="1366">
        <f>SUM(K87:K89)</f>
        <v>-160820370.25642696</v>
      </c>
      <c r="L90" s="1366"/>
      <c r="M90" s="1366">
        <f>SUM(M87:M89)</f>
        <v>-111756009.91945992</v>
      </c>
      <c r="N90" s="1366"/>
      <c r="O90" s="1366">
        <f>SUM(O87:O89)</f>
        <v>16692030.519217677</v>
      </c>
      <c r="P90" s="1366"/>
      <c r="Q90" s="1366">
        <f>SUM(Q87:Q89)</f>
        <v>-95063979.400242239</v>
      </c>
    </row>
    <row r="94" spans="3:17" ht="15.75" customHeight="1">
      <c r="C94" s="1845" t="s">
        <v>1387</v>
      </c>
      <c r="D94" s="1845"/>
      <c r="E94" s="1845"/>
      <c r="F94" s="1845"/>
      <c r="G94" s="1845"/>
      <c r="H94" s="1845"/>
      <c r="I94" s="1845"/>
      <c r="J94" s="1845"/>
      <c r="K94" s="1845"/>
      <c r="L94" s="1845"/>
      <c r="M94" s="1845"/>
      <c r="N94" s="1845"/>
      <c r="O94" s="1845"/>
      <c r="P94" s="1845"/>
      <c r="Q94" s="1845"/>
    </row>
    <row r="96" spans="3:17" ht="15.75" customHeight="1">
      <c r="C96" s="1847" t="s">
        <v>1713</v>
      </c>
      <c r="D96" s="1848"/>
      <c r="E96" s="1848"/>
      <c r="F96" s="1848"/>
      <c r="G96" s="1848"/>
      <c r="H96" s="1848"/>
      <c r="I96" s="1848"/>
      <c r="J96" s="1848"/>
      <c r="K96" s="1848"/>
      <c r="L96" s="1848"/>
      <c r="M96" s="1848"/>
      <c r="N96" s="1848"/>
      <c r="O96" s="1848"/>
      <c r="P96" s="1848"/>
      <c r="Q96" s="1849"/>
    </row>
    <row r="98" spans="1:17" ht="13">
      <c r="E98" s="1244" t="s">
        <v>175</v>
      </c>
      <c r="F98" s="1244"/>
      <c r="G98" s="1244" t="s">
        <v>176</v>
      </c>
      <c r="H98" s="1244"/>
      <c r="I98" s="1244" t="s">
        <v>1152</v>
      </c>
      <c r="J98" s="1244"/>
      <c r="K98" s="1244" t="s">
        <v>1304</v>
      </c>
      <c r="L98" s="1244"/>
      <c r="M98" s="1244" t="s">
        <v>1400</v>
      </c>
      <c r="N98" s="1244"/>
      <c r="O98" s="1244" t="s">
        <v>1306</v>
      </c>
      <c r="P98" s="1244"/>
      <c r="Q98" s="1244" t="s">
        <v>1307</v>
      </c>
    </row>
    <row r="99" spans="1:17" ht="15" customHeight="1">
      <c r="C99" s="1842" t="s">
        <v>1314</v>
      </c>
      <c r="D99" s="1676"/>
      <c r="E99" s="1851" t="s">
        <v>1381</v>
      </c>
      <c r="G99" s="1853" t="s">
        <v>280</v>
      </c>
      <c r="I99" s="1853" t="s">
        <v>1401</v>
      </c>
      <c r="K99" s="1370"/>
      <c r="M99" s="1371" t="str">
        <f>M84</f>
        <v>December 31, 2020</v>
      </c>
      <c r="O99" s="1855" t="s">
        <v>1403</v>
      </c>
      <c r="Q99" s="1371" t="str">
        <f>Q84</f>
        <v>December 31, 2021</v>
      </c>
    </row>
    <row r="100" spans="1:17" ht="25">
      <c r="C100" s="1843"/>
      <c r="D100" s="1676"/>
      <c r="E100" s="1852"/>
      <c r="F100" s="1372"/>
      <c r="G100" s="1854"/>
      <c r="H100" s="1372"/>
      <c r="I100" s="1854"/>
      <c r="J100" s="1372"/>
      <c r="K100" s="1373" t="s">
        <v>1404</v>
      </c>
      <c r="M100" s="1679" t="s">
        <v>1405</v>
      </c>
      <c r="O100" s="1856"/>
      <c r="Q100" s="1679" t="s">
        <v>1406</v>
      </c>
    </row>
    <row r="101" spans="1:17" ht="5.15" customHeight="1"/>
    <row r="102" spans="1:17" ht="13">
      <c r="A102" s="1374"/>
      <c r="B102" s="1374"/>
      <c r="C102" s="1246">
        <f>C90+1</f>
        <v>37</v>
      </c>
      <c r="D102" s="1374"/>
      <c r="E102" s="1375" t="s">
        <v>1407</v>
      </c>
      <c r="F102" s="1374"/>
      <c r="G102" s="1376"/>
      <c r="H102" s="1374"/>
      <c r="I102" s="1376"/>
      <c r="J102" s="1374"/>
      <c r="K102" s="1377"/>
      <c r="M102" s="1366"/>
      <c r="O102" s="1378"/>
      <c r="Q102" s="1374"/>
    </row>
    <row r="103" spans="1:17" ht="5.15" customHeight="1">
      <c r="C103" s="1246"/>
    </row>
    <row r="104" spans="1:17">
      <c r="C104" s="1246">
        <f>C102+1</f>
        <v>38</v>
      </c>
      <c r="E104" s="1362" t="s">
        <v>1384</v>
      </c>
      <c r="G104" s="1703" t="s">
        <v>66</v>
      </c>
      <c r="I104" s="1376" t="s">
        <v>1408</v>
      </c>
      <c r="K104" s="1364">
        <v>0</v>
      </c>
      <c r="L104" s="1366"/>
      <c r="M104" s="1364">
        <v>0</v>
      </c>
      <c r="N104" s="1366"/>
      <c r="O104" s="1364">
        <f>-K104/4</f>
        <v>0</v>
      </c>
      <c r="P104" s="1366"/>
      <c r="Q104" s="1364">
        <f>M104+O104</f>
        <v>0</v>
      </c>
    </row>
    <row r="105" spans="1:17">
      <c r="C105" s="1246">
        <f>C104+1</f>
        <v>39</v>
      </c>
      <c r="E105" s="1362" t="s">
        <v>1409</v>
      </c>
      <c r="G105" s="1703" t="s">
        <v>66</v>
      </c>
      <c r="I105" s="1376" t="s">
        <v>1408</v>
      </c>
      <c r="K105" s="1379">
        <v>0</v>
      </c>
      <c r="L105" s="1729"/>
      <c r="M105" s="1379">
        <v>0</v>
      </c>
      <c r="N105" s="1729"/>
      <c r="O105" s="1379">
        <f>-K105/4</f>
        <v>0</v>
      </c>
      <c r="P105" s="1729"/>
      <c r="Q105" s="1379">
        <f>M105+O105</f>
        <v>0</v>
      </c>
    </row>
    <row r="106" spans="1:17">
      <c r="C106" s="1246">
        <f>C105+1</f>
        <v>40</v>
      </c>
      <c r="E106" s="1362" t="s">
        <v>1385</v>
      </c>
      <c r="G106" s="1703" t="s">
        <v>66</v>
      </c>
      <c r="I106" s="1376" t="s">
        <v>1408</v>
      </c>
      <c r="K106" s="1379">
        <v>0</v>
      </c>
      <c r="L106" s="1729"/>
      <c r="M106" s="1379">
        <v>0</v>
      </c>
      <c r="N106" s="1729"/>
      <c r="O106" s="1379">
        <f>-K106/4</f>
        <v>0</v>
      </c>
      <c r="P106" s="1729"/>
      <c r="Q106" s="1379">
        <f>M106+O106</f>
        <v>0</v>
      </c>
    </row>
    <row r="107" spans="1:17">
      <c r="C107" s="1246">
        <f>C106+1</f>
        <v>41</v>
      </c>
      <c r="E107" s="1362" t="s">
        <v>1386</v>
      </c>
      <c r="G107" s="1703" t="s">
        <v>66</v>
      </c>
      <c r="I107" s="1376" t="s">
        <v>1408</v>
      </c>
      <c r="K107" s="1379">
        <v>0</v>
      </c>
      <c r="L107" s="1729"/>
      <c r="M107" s="1379">
        <v>0</v>
      </c>
      <c r="N107" s="1729"/>
      <c r="O107" s="1379">
        <f>-K107/4</f>
        <v>0</v>
      </c>
      <c r="P107" s="1729"/>
      <c r="Q107" s="1379">
        <f>M107+O107</f>
        <v>0</v>
      </c>
    </row>
    <row r="108" spans="1:17" ht="5.15" customHeight="1">
      <c r="K108" s="1380"/>
      <c r="M108" s="1380"/>
      <c r="O108" s="1380"/>
      <c r="Q108" s="1380"/>
    </row>
    <row r="109" spans="1:17" ht="13">
      <c r="C109" s="1246">
        <f>C107+1</f>
        <v>42</v>
      </c>
      <c r="E109" s="1243" t="s">
        <v>1410</v>
      </c>
      <c r="K109" s="1366">
        <f>SUM(K103:K108)</f>
        <v>0</v>
      </c>
      <c r="L109" s="1366"/>
      <c r="M109" s="1366">
        <f>SUM(M103:M108)</f>
        <v>0</v>
      </c>
      <c r="N109" s="1366"/>
      <c r="O109" s="1366">
        <f>SUM(O103:O108)</f>
        <v>0</v>
      </c>
      <c r="P109" s="1366"/>
      <c r="Q109" s="1366">
        <f>SUM(Q103:Q108)</f>
        <v>0</v>
      </c>
    </row>
    <row r="111" spans="1:17" ht="13">
      <c r="A111" s="1374"/>
      <c r="B111" s="1374"/>
      <c r="C111" s="1246">
        <f>C109+1</f>
        <v>43</v>
      </c>
      <c r="D111" s="1374"/>
      <c r="E111" s="1375" t="s">
        <v>1411</v>
      </c>
      <c r="F111" s="1374"/>
      <c r="G111" s="1376"/>
      <c r="H111" s="1374"/>
      <c r="I111" s="1376"/>
      <c r="J111" s="1374"/>
      <c r="K111" s="1377"/>
      <c r="M111" s="1366"/>
      <c r="O111" s="1378"/>
      <c r="Q111" s="1374"/>
    </row>
    <row r="112" spans="1:17" ht="5.15" customHeight="1"/>
    <row r="113" spans="1:17">
      <c r="C113" s="1246">
        <f>C111+1</f>
        <v>44</v>
      </c>
      <c r="E113" s="1362" t="s">
        <v>1384</v>
      </c>
      <c r="G113" s="1703" t="s">
        <v>66</v>
      </c>
      <c r="I113" s="1376" t="s">
        <v>1412</v>
      </c>
      <c r="K113" s="1364">
        <v>0</v>
      </c>
      <c r="L113" s="1366"/>
      <c r="M113" s="1364">
        <v>0</v>
      </c>
      <c r="N113" s="1366"/>
      <c r="O113" s="1364">
        <f>-K113/4</f>
        <v>0</v>
      </c>
      <c r="P113" s="1366"/>
      <c r="Q113" s="1364">
        <f>M113+O113</f>
        <v>0</v>
      </c>
    </row>
    <row r="114" spans="1:17">
      <c r="C114" s="1246">
        <f>C113+1</f>
        <v>45</v>
      </c>
      <c r="E114" s="1362" t="s">
        <v>1409</v>
      </c>
      <c r="G114" s="1703" t="s">
        <v>66</v>
      </c>
      <c r="I114" s="1376" t="s">
        <v>1412</v>
      </c>
      <c r="K114" s="1379">
        <v>0</v>
      </c>
      <c r="L114" s="1729"/>
      <c r="M114" s="1379">
        <v>0</v>
      </c>
      <c r="N114" s="1729"/>
      <c r="O114" s="1379">
        <f>-K114/4</f>
        <v>0</v>
      </c>
      <c r="P114" s="1729"/>
      <c r="Q114" s="1379">
        <f>M114+O114</f>
        <v>0</v>
      </c>
    </row>
    <row r="115" spans="1:17">
      <c r="C115" s="1246">
        <f>C114+1</f>
        <v>46</v>
      </c>
      <c r="E115" s="1362" t="s">
        <v>1385</v>
      </c>
      <c r="G115" s="1703" t="s">
        <v>66</v>
      </c>
      <c r="I115" s="1376" t="s">
        <v>1412</v>
      </c>
      <c r="K115" s="1379">
        <v>0</v>
      </c>
      <c r="L115" s="1729"/>
      <c r="M115" s="1379">
        <v>0</v>
      </c>
      <c r="N115" s="1729"/>
      <c r="O115" s="1379">
        <f>-K115/4</f>
        <v>0</v>
      </c>
      <c r="P115" s="1729"/>
      <c r="Q115" s="1379">
        <f>M115+O115</f>
        <v>0</v>
      </c>
    </row>
    <row r="116" spans="1:17">
      <c r="C116" s="1246">
        <f>C115+1</f>
        <v>47</v>
      </c>
      <c r="E116" s="1362" t="s">
        <v>1386</v>
      </c>
      <c r="G116" s="1703" t="s">
        <v>66</v>
      </c>
      <c r="I116" s="1376" t="s">
        <v>1412</v>
      </c>
      <c r="K116" s="1379">
        <v>0</v>
      </c>
      <c r="L116" s="1729"/>
      <c r="M116" s="1379">
        <v>0</v>
      </c>
      <c r="N116" s="1729"/>
      <c r="O116" s="1379">
        <f>-K116/4</f>
        <v>0</v>
      </c>
      <c r="P116" s="1729"/>
      <c r="Q116" s="1379">
        <f>M116+O116</f>
        <v>0</v>
      </c>
    </row>
    <row r="117" spans="1:17" ht="5.15" customHeight="1">
      <c r="K117" s="1380"/>
      <c r="M117" s="1380"/>
      <c r="O117" s="1380"/>
      <c r="Q117" s="1380"/>
    </row>
    <row r="118" spans="1:17" ht="13">
      <c r="C118" s="1246">
        <f>C116+1</f>
        <v>48</v>
      </c>
      <c r="E118" s="1243" t="s">
        <v>1410</v>
      </c>
      <c r="K118" s="1366">
        <f>SUM(K112:K117)</f>
        <v>0</v>
      </c>
      <c r="L118" s="1366"/>
      <c r="M118" s="1366">
        <f>SUM(M112:M117)</f>
        <v>0</v>
      </c>
      <c r="N118" s="1366"/>
      <c r="O118" s="1366">
        <f>SUM(O112:O117)</f>
        <v>0</v>
      </c>
      <c r="P118" s="1366"/>
      <c r="Q118" s="1366">
        <f>SUM(Q112:Q117)</f>
        <v>0</v>
      </c>
    </row>
    <row r="120" spans="1:17" ht="13">
      <c r="A120" s="1374"/>
      <c r="B120" s="1374"/>
      <c r="C120" s="1246">
        <f>C118+1</f>
        <v>49</v>
      </c>
      <c r="D120" s="1374"/>
      <c r="E120" s="1375" t="s">
        <v>1413</v>
      </c>
      <c r="F120" s="1374"/>
      <c r="G120" s="1376"/>
      <c r="H120" s="1374"/>
      <c r="I120" s="1376"/>
      <c r="J120" s="1374"/>
      <c r="K120" s="1377"/>
      <c r="M120" s="1366"/>
      <c r="O120" s="1378"/>
      <c r="Q120" s="1374"/>
    </row>
    <row r="121" spans="1:17" ht="5.15" customHeight="1"/>
    <row r="122" spans="1:17">
      <c r="C122" s="1246">
        <f>C120+1</f>
        <v>50</v>
      </c>
      <c r="E122" s="1362" t="s">
        <v>1384</v>
      </c>
      <c r="G122" s="1703" t="s">
        <v>66</v>
      </c>
      <c r="I122" s="1376" t="s">
        <v>1425</v>
      </c>
      <c r="K122" s="1364">
        <v>0</v>
      </c>
      <c r="L122" s="1366"/>
      <c r="M122" s="1364">
        <v>0</v>
      </c>
      <c r="N122" s="1366"/>
      <c r="O122" s="1364">
        <f>-K122/4</f>
        <v>0</v>
      </c>
      <c r="P122" s="1366"/>
      <c r="Q122" s="1364">
        <f>M122+O122</f>
        <v>0</v>
      </c>
    </row>
    <row r="123" spans="1:17">
      <c r="C123" s="1246">
        <f>C122+1</f>
        <v>51</v>
      </c>
      <c r="E123" s="1362" t="s">
        <v>1409</v>
      </c>
      <c r="G123" s="1703" t="s">
        <v>66</v>
      </c>
      <c r="I123" s="1376" t="s">
        <v>1425</v>
      </c>
      <c r="K123" s="1379">
        <v>0</v>
      </c>
      <c r="L123" s="1729"/>
      <c r="M123" s="1379">
        <v>0</v>
      </c>
      <c r="N123" s="1729"/>
      <c r="O123" s="1379">
        <f>-K123/4</f>
        <v>0</v>
      </c>
      <c r="P123" s="1729"/>
      <c r="Q123" s="1379">
        <f>M123+O123</f>
        <v>0</v>
      </c>
    </row>
    <row r="124" spans="1:17">
      <c r="C124" s="1246">
        <f>C123+1</f>
        <v>52</v>
      </c>
      <c r="E124" s="1362" t="s">
        <v>1385</v>
      </c>
      <c r="G124" s="1703" t="s">
        <v>66</v>
      </c>
      <c r="I124" s="1376" t="s">
        <v>1425</v>
      </c>
      <c r="K124" s="1379">
        <v>0</v>
      </c>
      <c r="L124" s="1729"/>
      <c r="M124" s="1379">
        <v>0</v>
      </c>
      <c r="N124" s="1729"/>
      <c r="O124" s="1379">
        <f>-K124/4</f>
        <v>0</v>
      </c>
      <c r="P124" s="1729"/>
      <c r="Q124" s="1379">
        <f>M124+O124</f>
        <v>0</v>
      </c>
    </row>
    <row r="125" spans="1:17">
      <c r="C125" s="1246">
        <f>C124+1</f>
        <v>53</v>
      </c>
      <c r="E125" s="1362" t="s">
        <v>1386</v>
      </c>
      <c r="G125" s="1703" t="s">
        <v>66</v>
      </c>
      <c r="I125" s="1376" t="s">
        <v>1425</v>
      </c>
      <c r="K125" s="1379">
        <v>0</v>
      </c>
      <c r="L125" s="1729"/>
      <c r="M125" s="1379">
        <v>0</v>
      </c>
      <c r="N125" s="1729"/>
      <c r="O125" s="1379">
        <f>-K125/4</f>
        <v>0</v>
      </c>
      <c r="P125" s="1729"/>
      <c r="Q125" s="1379">
        <f>M125+O125</f>
        <v>0</v>
      </c>
    </row>
    <row r="126" spans="1:17" ht="5.15" customHeight="1">
      <c r="K126" s="1380"/>
      <c r="M126" s="1380"/>
      <c r="O126" s="1380"/>
      <c r="Q126" s="1380"/>
    </row>
    <row r="127" spans="1:17" ht="13">
      <c r="C127" s="1246">
        <f>C125+1</f>
        <v>54</v>
      </c>
      <c r="E127" s="1243" t="s">
        <v>1410</v>
      </c>
      <c r="K127" s="1366">
        <f>SUM(K121:K126)</f>
        <v>0</v>
      </c>
      <c r="L127" s="1366"/>
      <c r="M127" s="1366">
        <f>SUM(M121:M126)</f>
        <v>0</v>
      </c>
      <c r="N127" s="1366"/>
      <c r="O127" s="1366">
        <f>SUM(O121:O126)</f>
        <v>0</v>
      </c>
      <c r="P127" s="1366"/>
      <c r="Q127" s="1366">
        <f>SUM(Q121:Q126)</f>
        <v>0</v>
      </c>
    </row>
    <row r="129" spans="3:20" ht="13.5" thickBot="1">
      <c r="C129" s="1246">
        <f>C127+1</f>
        <v>55</v>
      </c>
      <c r="E129" s="1243" t="s">
        <v>1415</v>
      </c>
      <c r="K129" s="1381">
        <f>K109+K118+K127</f>
        <v>0</v>
      </c>
      <c r="L129" s="1366"/>
      <c r="M129" s="1381">
        <f>M109+M118+M127</f>
        <v>0</v>
      </c>
      <c r="N129" s="1366"/>
      <c r="O129" s="1381">
        <f>O109+O118+O127</f>
        <v>0</v>
      </c>
      <c r="P129" s="1366"/>
      <c r="Q129" s="1381">
        <f>Q109+Q118+Q127</f>
        <v>0</v>
      </c>
    </row>
    <row r="132" spans="3:20" ht="13">
      <c r="C132" s="1246"/>
      <c r="E132" s="1243"/>
      <c r="K132" s="1384"/>
      <c r="L132" s="1366"/>
      <c r="M132" s="1384"/>
      <c r="N132" s="1366"/>
      <c r="O132" s="1384"/>
      <c r="P132" s="1366"/>
      <c r="Q132" s="1384"/>
      <c r="T132" s="1382"/>
    </row>
    <row r="133" spans="3:20" ht="15.5">
      <c r="E133" s="1847" t="s">
        <v>1426</v>
      </c>
      <c r="F133" s="1848"/>
      <c r="G133" s="1848"/>
      <c r="H133" s="1848"/>
      <c r="I133" s="1848"/>
      <c r="J133" s="1848"/>
      <c r="K133" s="1848"/>
      <c r="L133" s="1848"/>
      <c r="M133" s="1848"/>
      <c r="N133" s="1848"/>
      <c r="O133" s="1848"/>
      <c r="P133" s="1848"/>
      <c r="Q133" s="1849"/>
    </row>
    <row r="135" spans="3:20" ht="13">
      <c r="E135" s="1244" t="s">
        <v>175</v>
      </c>
      <c r="F135" s="1244"/>
      <c r="G135" s="1244" t="s">
        <v>176</v>
      </c>
      <c r="H135" s="1244"/>
      <c r="I135" s="1244" t="s">
        <v>1152</v>
      </c>
      <c r="J135" s="1244"/>
      <c r="K135" s="1244" t="s">
        <v>1304</v>
      </c>
      <c r="L135" s="1244"/>
      <c r="M135" s="1244" t="s">
        <v>1400</v>
      </c>
      <c r="N135" s="1244"/>
      <c r="O135" s="1244" t="s">
        <v>1306</v>
      </c>
      <c r="P135" s="1244"/>
      <c r="Q135" s="1244" t="s">
        <v>1307</v>
      </c>
    </row>
    <row r="136" spans="3:20" ht="15" customHeight="1">
      <c r="C136" s="1842" t="s">
        <v>1314</v>
      </c>
      <c r="D136" s="1676"/>
      <c r="E136" s="1851" t="s">
        <v>1381</v>
      </c>
      <c r="G136" s="1853" t="s">
        <v>280</v>
      </c>
      <c r="I136" s="1853" t="s">
        <v>1401</v>
      </c>
      <c r="M136" s="1371" t="str">
        <f>M99</f>
        <v>December 31, 2020</v>
      </c>
      <c r="O136" s="1855" t="s">
        <v>1403</v>
      </c>
      <c r="Q136" s="1371" t="str">
        <f>Q99</f>
        <v>December 31, 2021</v>
      </c>
    </row>
    <row r="137" spans="3:20" ht="25">
      <c r="C137" s="1843"/>
      <c r="D137" s="1676"/>
      <c r="E137" s="1852"/>
      <c r="F137" s="1372"/>
      <c r="G137" s="1854"/>
      <c r="H137" s="1372"/>
      <c r="I137" s="1854"/>
      <c r="J137" s="1372"/>
      <c r="K137" s="1373" t="s">
        <v>1404</v>
      </c>
      <c r="M137" s="1679" t="s">
        <v>1405</v>
      </c>
      <c r="O137" s="1856"/>
      <c r="Q137" s="1679" t="s">
        <v>1406</v>
      </c>
    </row>
    <row r="138" spans="3:20" ht="5.15" customHeight="1"/>
    <row r="140" spans="3:20">
      <c r="C140" s="1246">
        <f>C129+1</f>
        <v>56</v>
      </c>
      <c r="E140" s="1362" t="s">
        <v>1384</v>
      </c>
      <c r="K140" s="1364">
        <f>K104</f>
        <v>0</v>
      </c>
      <c r="L140" s="1366"/>
      <c r="M140" s="1364">
        <f>M104</f>
        <v>0</v>
      </c>
      <c r="N140" s="1366"/>
      <c r="O140" s="1364">
        <f>O104</f>
        <v>0</v>
      </c>
      <c r="P140" s="1366"/>
      <c r="Q140" s="1364">
        <f>M140+O140</f>
        <v>0</v>
      </c>
    </row>
    <row r="141" spans="3:20">
      <c r="C141" s="1246">
        <f>C140+1</f>
        <v>57</v>
      </c>
      <c r="E141" s="1362" t="s">
        <v>1409</v>
      </c>
      <c r="K141" s="1364">
        <f>K105</f>
        <v>0</v>
      </c>
      <c r="L141" s="1729"/>
      <c r="M141" s="1364">
        <f>M105</f>
        <v>0</v>
      </c>
      <c r="N141" s="1729"/>
      <c r="O141" s="1364">
        <f>O105</f>
        <v>0</v>
      </c>
      <c r="P141" s="1729"/>
      <c r="Q141" s="1379">
        <f>M141+O141</f>
        <v>0</v>
      </c>
    </row>
    <row r="142" spans="3:20">
      <c r="C142" s="1246">
        <f>C141+1</f>
        <v>58</v>
      </c>
      <c r="E142" s="1362" t="s">
        <v>1385</v>
      </c>
      <c r="K142" s="1364">
        <f>K106</f>
        <v>0</v>
      </c>
      <c r="L142" s="1729"/>
      <c r="M142" s="1364">
        <f>M106</f>
        <v>0</v>
      </c>
      <c r="N142" s="1729"/>
      <c r="O142" s="1364">
        <f>O106</f>
        <v>0</v>
      </c>
      <c r="P142" s="1729"/>
      <c r="Q142" s="1379">
        <f>M142+O142</f>
        <v>0</v>
      </c>
    </row>
    <row r="143" spans="3:20">
      <c r="C143" s="1246">
        <f>C142+1</f>
        <v>59</v>
      </c>
      <c r="E143" s="1362" t="s">
        <v>1386</v>
      </c>
      <c r="K143" s="1364">
        <f>K107</f>
        <v>0</v>
      </c>
      <c r="L143" s="1729"/>
      <c r="M143" s="1364">
        <f>M107</f>
        <v>0</v>
      </c>
      <c r="N143" s="1729"/>
      <c r="O143" s="1364">
        <f>O107</f>
        <v>0</v>
      </c>
      <c r="P143" s="1729"/>
      <c r="Q143" s="1379">
        <f>M143+O143</f>
        <v>0</v>
      </c>
    </row>
    <row r="144" spans="3:20" ht="5.15" customHeight="1">
      <c r="Q144" s="1380"/>
    </row>
    <row r="145" spans="3:17" ht="13">
      <c r="C145" s="1246">
        <f>C143+1</f>
        <v>60</v>
      </c>
      <c r="E145" s="1243" t="s">
        <v>1415</v>
      </c>
      <c r="K145" s="1385">
        <f>SUM(K140:K144)</f>
        <v>0</v>
      </c>
      <c r="L145" s="1366"/>
      <c r="M145" s="1385">
        <f>SUM(M140:M144)</f>
        <v>0</v>
      </c>
      <c r="N145" s="1366"/>
      <c r="O145" s="1385">
        <f>SUM(O140:O144)</f>
        <v>0</v>
      </c>
      <c r="P145" s="1366"/>
      <c r="Q145" s="1385">
        <f>SUM(Q140:Q144)</f>
        <v>0</v>
      </c>
    </row>
    <row r="146" spans="3:17" ht="5.15" customHeight="1"/>
    <row r="147" spans="3:17">
      <c r="C147" s="1246">
        <f>C145+1</f>
        <v>61</v>
      </c>
      <c r="E147" s="1362" t="s">
        <v>1254</v>
      </c>
      <c r="G147" s="985" t="s">
        <v>1868</v>
      </c>
      <c r="K147" s="1386">
        <f>'ATT H-3D'!$H$254</f>
        <v>1.3834128795739087</v>
      </c>
      <c r="M147" s="1386">
        <f>'ATT H-3D'!$H$254</f>
        <v>1.3834128795739087</v>
      </c>
      <c r="O147" s="1386">
        <f>'ATT H-3D'!$H$254</f>
        <v>1.3834128795739087</v>
      </c>
      <c r="Q147" s="1386">
        <f>'ATT H-3D'!$H$254</f>
        <v>1.3834128795739087</v>
      </c>
    </row>
    <row r="149" spans="3:17" ht="13.5" thickBot="1">
      <c r="C149" s="1246">
        <f>C147+1</f>
        <v>62</v>
      </c>
      <c r="E149" s="1243" t="s">
        <v>1419</v>
      </c>
      <c r="K149" s="1387">
        <f>K145*K147</f>
        <v>0</v>
      </c>
      <c r="L149" s="1366"/>
      <c r="M149" s="1387">
        <f>M145*M147</f>
        <v>0</v>
      </c>
      <c r="N149" s="1366"/>
      <c r="O149" s="1387">
        <f>O145*O147</f>
        <v>0</v>
      </c>
      <c r="P149" s="1366"/>
      <c r="Q149" s="1387">
        <f>Q145*Q147</f>
        <v>0</v>
      </c>
    </row>
    <row r="150" spans="3:17" ht="13" thickTop="1"/>
    <row r="154" spans="3:17" ht="15.5">
      <c r="E154" s="1847" t="s">
        <v>1427</v>
      </c>
      <c r="F154" s="1848"/>
      <c r="G154" s="1848"/>
      <c r="H154" s="1848"/>
      <c r="I154" s="1848"/>
      <c r="J154" s="1848"/>
      <c r="K154" s="1848"/>
      <c r="L154" s="1848"/>
      <c r="M154" s="1848"/>
      <c r="N154" s="1848"/>
      <c r="O154" s="1848"/>
      <c r="P154" s="1848"/>
      <c r="Q154" s="1849"/>
    </row>
    <row r="156" spans="3:17" ht="13">
      <c r="E156" s="1244" t="s">
        <v>175</v>
      </c>
      <c r="F156" s="1244"/>
      <c r="G156" s="1244" t="s">
        <v>176</v>
      </c>
      <c r="H156" s="1244"/>
      <c r="I156" s="1244" t="s">
        <v>1152</v>
      </c>
      <c r="J156" s="1244"/>
      <c r="K156" s="1244" t="s">
        <v>1304</v>
      </c>
      <c r="L156" s="1244"/>
      <c r="M156" s="1244" t="s">
        <v>1400</v>
      </c>
      <c r="N156" s="1244"/>
      <c r="O156" s="1244" t="s">
        <v>1306</v>
      </c>
      <c r="P156" s="1244"/>
      <c r="Q156" s="1244" t="s">
        <v>1307</v>
      </c>
    </row>
    <row r="157" spans="3:17">
      <c r="C157" s="1857" t="s">
        <v>1314</v>
      </c>
      <c r="E157" s="1858" t="s">
        <v>1421</v>
      </c>
      <c r="G157" s="1860" t="s">
        <v>280</v>
      </c>
      <c r="H157" s="1860"/>
      <c r="I157" s="1860"/>
      <c r="K157" s="1370"/>
      <c r="M157" s="1371" t="str">
        <f>M136</f>
        <v>December 31, 2020</v>
      </c>
      <c r="Q157" s="1371" t="str">
        <f>Q136</f>
        <v>December 31, 2021</v>
      </c>
    </row>
    <row r="158" spans="3:17" ht="25">
      <c r="C158" s="1831"/>
      <c r="E158" s="1859"/>
      <c r="G158" s="1861"/>
      <c r="H158" s="1861"/>
      <c r="I158" s="1861"/>
      <c r="J158" s="1372"/>
      <c r="K158" s="1373" t="s">
        <v>1404</v>
      </c>
      <c r="M158" s="1679" t="s">
        <v>1405</v>
      </c>
      <c r="O158" s="1679" t="s">
        <v>1403</v>
      </c>
      <c r="Q158" s="1679" t="s">
        <v>1406</v>
      </c>
    </row>
    <row r="159" spans="3:17" ht="5.15" customHeight="1"/>
    <row r="160" spans="3:17">
      <c r="C160" s="1246">
        <f>C149+1</f>
        <v>63</v>
      </c>
      <c r="E160" s="1362" t="s">
        <v>1422</v>
      </c>
      <c r="K160" s="1364">
        <v>0</v>
      </c>
      <c r="L160" s="1366"/>
      <c r="M160" s="1364">
        <v>0</v>
      </c>
      <c r="N160" s="1366"/>
      <c r="O160" s="1364">
        <v>0</v>
      </c>
      <c r="P160" s="1366"/>
      <c r="Q160" s="1364">
        <v>0</v>
      </c>
    </row>
    <row r="161" spans="3:17">
      <c r="C161" s="1246">
        <f>C160+1</f>
        <v>64</v>
      </c>
      <c r="E161" s="1362" t="s">
        <v>1423</v>
      </c>
      <c r="K161" s="1365">
        <f>K149</f>
        <v>0</v>
      </c>
      <c r="M161" s="1365">
        <f>M149</f>
        <v>0</v>
      </c>
      <c r="O161" s="1365">
        <f>O149</f>
        <v>0</v>
      </c>
      <c r="Q161" s="1365">
        <f>Q149</f>
        <v>0</v>
      </c>
    </row>
    <row r="162" spans="3:17" ht="5.15" customHeight="1">
      <c r="K162" s="1380"/>
      <c r="M162" s="1380"/>
      <c r="O162" s="1380"/>
      <c r="Q162" s="1380"/>
    </row>
    <row r="163" spans="3:17" ht="13">
      <c r="C163" s="1246">
        <f>C161+1</f>
        <v>65</v>
      </c>
      <c r="E163" s="1243" t="s">
        <v>1424</v>
      </c>
      <c r="K163" s="1366">
        <f>SUM(K160:K162)</f>
        <v>0</v>
      </c>
      <c r="L163" s="1366"/>
      <c r="M163" s="1366">
        <f>SUM(M160:M162)</f>
        <v>0</v>
      </c>
      <c r="N163" s="1366"/>
      <c r="O163" s="1366">
        <f>SUM(O160:O162)</f>
        <v>0</v>
      </c>
      <c r="P163" s="1366"/>
      <c r="Q163" s="1366">
        <f>SUM(Q160:Q162)</f>
        <v>0</v>
      </c>
    </row>
    <row r="164" spans="3:17">
      <c r="K164" s="1382"/>
    </row>
    <row r="166" spans="3:17" ht="15.5">
      <c r="E166" s="1845" t="s">
        <v>1428</v>
      </c>
      <c r="F166" s="1845"/>
      <c r="G166" s="1845"/>
      <c r="H166" s="1845"/>
      <c r="I166" s="1845"/>
      <c r="J166" s="1845"/>
      <c r="K166" s="1845"/>
      <c r="L166" s="1845"/>
      <c r="M166" s="1845"/>
      <c r="N166" s="1845"/>
      <c r="O166" s="1845"/>
      <c r="P166" s="1845"/>
      <c r="Q166" s="1845"/>
    </row>
    <row r="168" spans="3:17" ht="15.5">
      <c r="E168" s="1847" t="s">
        <v>1429</v>
      </c>
      <c r="F168" s="1848"/>
      <c r="G168" s="1848"/>
      <c r="H168" s="1848"/>
      <c r="I168" s="1848"/>
      <c r="J168" s="1848"/>
      <c r="K168" s="1848"/>
      <c r="L168" s="1848"/>
      <c r="M168" s="1848"/>
      <c r="N168" s="1848"/>
      <c r="O168" s="1848"/>
      <c r="P168" s="1848"/>
      <c r="Q168" s="1849"/>
    </row>
    <row r="170" spans="3:17" ht="13">
      <c r="E170" s="1244" t="s">
        <v>175</v>
      </c>
      <c r="F170" s="1244"/>
      <c r="G170" s="1244" t="s">
        <v>176</v>
      </c>
      <c r="H170" s="1244"/>
      <c r="I170" s="1244" t="s">
        <v>1152</v>
      </c>
      <c r="J170" s="1244"/>
      <c r="K170" s="1244" t="s">
        <v>1304</v>
      </c>
      <c r="L170" s="1244"/>
      <c r="M170" s="1244" t="s">
        <v>1400</v>
      </c>
      <c r="N170" s="1244"/>
      <c r="O170" s="1244" t="s">
        <v>1306</v>
      </c>
      <c r="P170" s="1244"/>
      <c r="Q170" s="1244" t="s">
        <v>1307</v>
      </c>
    </row>
    <row r="171" spans="3:17">
      <c r="C171" s="1857" t="s">
        <v>1314</v>
      </c>
      <c r="E171" s="1858" t="s">
        <v>1421</v>
      </c>
      <c r="G171" s="1860" t="s">
        <v>280</v>
      </c>
      <c r="H171" s="1860"/>
      <c r="I171" s="1860"/>
      <c r="K171" s="1370"/>
      <c r="M171" s="1371" t="str">
        <f>M157</f>
        <v>December 31, 2020</v>
      </c>
      <c r="Q171" s="1371" t="str">
        <f>Q157</f>
        <v>December 31, 2021</v>
      </c>
    </row>
    <row r="172" spans="3:17" ht="25">
      <c r="C172" s="1831"/>
      <c r="E172" s="1859"/>
      <c r="G172" s="1861"/>
      <c r="H172" s="1861"/>
      <c r="I172" s="1861"/>
      <c r="J172" s="1372"/>
      <c r="K172" s="1373" t="s">
        <v>1404</v>
      </c>
      <c r="M172" s="1679" t="s">
        <v>1405</v>
      </c>
      <c r="O172" s="1679" t="s">
        <v>1403</v>
      </c>
      <c r="Q172" s="1679" t="s">
        <v>1406</v>
      </c>
    </row>
    <row r="173" spans="3:17" ht="5.15" customHeight="1"/>
    <row r="174" spans="3:17">
      <c r="C174" s="1246">
        <f>C163+1</f>
        <v>66</v>
      </c>
      <c r="E174" s="1362" t="s">
        <v>1422</v>
      </c>
      <c r="K174" s="1364">
        <f>K87+K160</f>
        <v>0</v>
      </c>
      <c r="L174" s="1366"/>
      <c r="M174" s="1364">
        <f>M87+M160</f>
        <v>0</v>
      </c>
      <c r="N174" s="1366"/>
      <c r="O174" s="1364">
        <f>O87+O160</f>
        <v>0</v>
      </c>
      <c r="P174" s="1366"/>
      <c r="Q174" s="1364">
        <f>Q87+Q160</f>
        <v>0</v>
      </c>
    </row>
    <row r="175" spans="3:17">
      <c r="C175" s="1246">
        <f>C174+1</f>
        <v>67</v>
      </c>
      <c r="E175" s="1362" t="s">
        <v>1423</v>
      </c>
      <c r="K175" s="1379">
        <f>K88+K161</f>
        <v>-160820370.25642696</v>
      </c>
      <c r="M175" s="1379">
        <f>M88+M161</f>
        <v>-111756009.91945992</v>
      </c>
      <c r="O175" s="1379">
        <f>O88+O161</f>
        <v>16692030.519217677</v>
      </c>
      <c r="Q175" s="1379">
        <f>Q88+Q161</f>
        <v>-95063979.400242239</v>
      </c>
    </row>
    <row r="176" spans="3:17" ht="5.15" customHeight="1">
      <c r="K176" s="1380"/>
      <c r="M176" s="1380"/>
      <c r="O176" s="1380"/>
      <c r="Q176" s="1380"/>
    </row>
    <row r="177" spans="1:19" ht="13">
      <c r="C177" s="1246">
        <f>C175+1</f>
        <v>68</v>
      </c>
      <c r="E177" s="1243" t="s">
        <v>1424</v>
      </c>
      <c r="K177" s="1366">
        <f>SUM(K174:K176)</f>
        <v>-160820370.25642696</v>
      </c>
      <c r="L177" s="1366"/>
      <c r="M177" s="1366">
        <f>SUM(M174:M176)</f>
        <v>-111756009.91945992</v>
      </c>
      <c r="N177" s="1366"/>
      <c r="O177" s="1366">
        <f>SUM(O174:O176)</f>
        <v>16692030.519217677</v>
      </c>
      <c r="P177" s="1366"/>
      <c r="Q177" s="1366">
        <f>SUM(Q174:Q176)</f>
        <v>-95063979.400242239</v>
      </c>
    </row>
    <row r="181" spans="1:19" ht="18">
      <c r="A181" s="894"/>
      <c r="B181" s="894" t="s">
        <v>1430</v>
      </c>
      <c r="C181" s="894"/>
      <c r="D181" s="894"/>
      <c r="E181" s="894"/>
      <c r="F181" s="894"/>
      <c r="G181" s="894"/>
      <c r="H181" s="894"/>
      <c r="I181" s="894"/>
      <c r="J181" s="894"/>
      <c r="K181" s="894"/>
      <c r="L181" s="894"/>
      <c r="M181" s="894"/>
      <c r="N181" s="894"/>
      <c r="O181" s="894"/>
      <c r="P181" s="894"/>
      <c r="Q181" s="894"/>
      <c r="R181" s="894"/>
      <c r="S181" s="894"/>
    </row>
    <row r="182" spans="1:19">
      <c r="A182" s="36"/>
      <c r="B182" s="36"/>
      <c r="C182" s="36"/>
      <c r="D182" s="36"/>
      <c r="E182" s="36"/>
      <c r="F182" s="36"/>
      <c r="G182" s="36"/>
      <c r="H182" s="36"/>
      <c r="I182" s="36"/>
      <c r="J182" s="36"/>
      <c r="K182" s="36"/>
      <c r="L182" s="36"/>
      <c r="M182" s="36"/>
      <c r="N182" s="36"/>
      <c r="O182" s="36"/>
      <c r="P182" s="36"/>
      <c r="Q182" s="36"/>
    </row>
    <row r="183" spans="1:19">
      <c r="A183" s="36"/>
      <c r="B183" s="1850" t="s">
        <v>1431</v>
      </c>
      <c r="C183" s="1850"/>
      <c r="D183" s="1850"/>
      <c r="E183" s="1850"/>
      <c r="F183" s="1850"/>
      <c r="G183" s="1850"/>
      <c r="H183" s="1850"/>
      <c r="I183" s="1850"/>
      <c r="J183" s="1850"/>
      <c r="K183" s="1850"/>
      <c r="L183" s="1850"/>
      <c r="M183" s="1850"/>
      <c r="N183" s="1850"/>
      <c r="O183" s="1850"/>
      <c r="P183" s="1850"/>
      <c r="Q183" s="1850"/>
    </row>
    <row r="184" spans="1:19">
      <c r="A184" s="36"/>
      <c r="B184" s="1850"/>
      <c r="C184" s="1850"/>
      <c r="D184" s="1850"/>
      <c r="E184" s="1850"/>
      <c r="F184" s="1850"/>
      <c r="G184" s="1850"/>
      <c r="H184" s="1850"/>
      <c r="I184" s="1850"/>
      <c r="J184" s="1850"/>
      <c r="K184" s="1850"/>
      <c r="L184" s="1850"/>
      <c r="M184" s="1850"/>
      <c r="N184" s="1850"/>
      <c r="O184" s="1850"/>
      <c r="P184" s="1850"/>
      <c r="Q184" s="1850"/>
    </row>
    <row r="185" spans="1:19">
      <c r="A185" s="36"/>
      <c r="B185" s="1850"/>
      <c r="C185" s="1850"/>
      <c r="D185" s="1850"/>
      <c r="E185" s="1850"/>
      <c r="F185" s="1850"/>
      <c r="G185" s="1850"/>
      <c r="H185" s="1850"/>
      <c r="I185" s="1850"/>
      <c r="J185" s="1850"/>
      <c r="K185" s="1850"/>
      <c r="L185" s="1850"/>
      <c r="M185" s="1850"/>
      <c r="N185" s="1850"/>
      <c r="O185" s="1850"/>
      <c r="P185" s="1850"/>
      <c r="Q185" s="1850"/>
    </row>
    <row r="186" spans="1:19">
      <c r="A186" s="36"/>
      <c r="B186" s="1850" t="s">
        <v>1432</v>
      </c>
      <c r="C186" s="1850"/>
      <c r="D186" s="1850"/>
      <c r="E186" s="1850"/>
      <c r="F186" s="1850"/>
      <c r="G186" s="1850"/>
      <c r="H186" s="1850"/>
      <c r="I186" s="1850"/>
      <c r="J186" s="1850"/>
      <c r="K186" s="1850"/>
      <c r="L186" s="1850"/>
      <c r="M186" s="1850"/>
      <c r="N186" s="1850"/>
      <c r="O186" s="1850"/>
      <c r="P186" s="1850"/>
      <c r="Q186" s="1850"/>
    </row>
    <row r="187" spans="1:19">
      <c r="A187" s="36"/>
      <c r="B187" s="1850"/>
      <c r="C187" s="1850"/>
      <c r="D187" s="1850"/>
      <c r="E187" s="1850"/>
      <c r="F187" s="1850"/>
      <c r="G187" s="1850"/>
      <c r="H187" s="1850"/>
      <c r="I187" s="1850"/>
      <c r="J187" s="1850"/>
      <c r="K187" s="1850"/>
      <c r="L187" s="1850"/>
      <c r="M187" s="1850"/>
      <c r="N187" s="1850"/>
      <c r="O187" s="1850"/>
      <c r="P187" s="1850"/>
      <c r="Q187" s="1850"/>
    </row>
    <row r="188" spans="1:19">
      <c r="A188" s="36"/>
      <c r="B188" s="1850"/>
      <c r="C188" s="1850"/>
      <c r="D188" s="1850"/>
      <c r="E188" s="1850"/>
      <c r="F188" s="1850"/>
      <c r="G188" s="1850"/>
      <c r="H188" s="1850"/>
      <c r="I188" s="1850"/>
      <c r="J188" s="1850"/>
      <c r="K188" s="1850"/>
      <c r="L188" s="1850"/>
      <c r="M188" s="1850"/>
      <c r="N188" s="1850"/>
      <c r="O188" s="1850"/>
      <c r="P188" s="1850"/>
      <c r="Q188" s="1850"/>
    </row>
    <row r="189" spans="1:19">
      <c r="A189" s="36"/>
      <c r="B189" s="1850" t="s">
        <v>1433</v>
      </c>
      <c r="C189" s="1850"/>
      <c r="D189" s="1850"/>
      <c r="E189" s="1850"/>
      <c r="F189" s="1850"/>
      <c r="G189" s="1850"/>
      <c r="H189" s="1850"/>
      <c r="I189" s="1850"/>
      <c r="J189" s="1850"/>
      <c r="K189" s="1850"/>
      <c r="L189" s="1850"/>
      <c r="M189" s="1850"/>
      <c r="N189" s="1850"/>
      <c r="O189" s="1850"/>
      <c r="P189" s="1850"/>
      <c r="Q189" s="1850"/>
    </row>
    <row r="190" spans="1:19">
      <c r="A190" s="36"/>
      <c r="B190" s="1850"/>
      <c r="C190" s="1850"/>
      <c r="D190" s="1850"/>
      <c r="E190" s="1850"/>
      <c r="F190" s="1850"/>
      <c r="G190" s="1850"/>
      <c r="H190" s="1850"/>
      <c r="I190" s="1850"/>
      <c r="J190" s="1850"/>
      <c r="K190" s="1850"/>
      <c r="L190" s="1850"/>
      <c r="M190" s="1850"/>
      <c r="N190" s="1850"/>
      <c r="O190" s="1850"/>
      <c r="P190" s="1850"/>
      <c r="Q190" s="1850"/>
    </row>
    <row r="191" spans="1:19">
      <c r="A191" s="36"/>
      <c r="B191" s="1850"/>
      <c r="C191" s="1850"/>
      <c r="D191" s="1850"/>
      <c r="E191" s="1850"/>
      <c r="F191" s="1850"/>
      <c r="G191" s="1850"/>
      <c r="H191" s="1850"/>
      <c r="I191" s="1850"/>
      <c r="J191" s="1850"/>
      <c r="K191" s="1850"/>
      <c r="L191" s="1850"/>
      <c r="M191" s="1850"/>
      <c r="N191" s="1850"/>
      <c r="O191" s="1850"/>
      <c r="P191" s="1850"/>
      <c r="Q191" s="1850"/>
    </row>
    <row r="192" spans="1:19">
      <c r="A192" s="36"/>
      <c r="B192" s="1850" t="s">
        <v>1434</v>
      </c>
      <c r="C192" s="1850"/>
      <c r="D192" s="1850"/>
      <c r="E192" s="1850"/>
      <c r="F192" s="1850"/>
      <c r="G192" s="1850"/>
      <c r="H192" s="1850"/>
      <c r="I192" s="1850"/>
      <c r="J192" s="1850"/>
      <c r="K192" s="1850"/>
      <c r="L192" s="1850"/>
      <c r="M192" s="1850"/>
      <c r="N192" s="1850"/>
      <c r="O192" s="1850"/>
      <c r="P192" s="1850"/>
      <c r="Q192" s="1850"/>
    </row>
    <row r="193" spans="1:19">
      <c r="A193" s="36"/>
      <c r="B193" s="1850"/>
      <c r="C193" s="1850"/>
      <c r="D193" s="1850"/>
      <c r="E193" s="1850"/>
      <c r="F193" s="1850"/>
      <c r="G193" s="1850"/>
      <c r="H193" s="1850"/>
      <c r="I193" s="1850"/>
      <c r="J193" s="1850"/>
      <c r="K193" s="1850"/>
      <c r="L193" s="1850"/>
      <c r="M193" s="1850"/>
      <c r="N193" s="1850"/>
      <c r="O193" s="1850"/>
      <c r="P193" s="1850"/>
      <c r="Q193" s="1850"/>
    </row>
    <row r="194" spans="1:19">
      <c r="A194" s="36"/>
      <c r="B194" s="1677"/>
      <c r="C194" s="1677"/>
      <c r="D194" s="1677"/>
      <c r="E194" s="1677"/>
      <c r="F194" s="1677"/>
      <c r="G194" s="1677"/>
      <c r="H194" s="1677"/>
      <c r="I194" s="1677"/>
      <c r="J194" s="1677"/>
      <c r="K194" s="1677"/>
      <c r="L194" s="1677"/>
      <c r="M194" s="1677"/>
      <c r="N194" s="1677"/>
      <c r="O194" s="1677"/>
      <c r="P194" s="1677"/>
      <c r="Q194" s="1677"/>
    </row>
    <row r="195" spans="1:19" ht="18">
      <c r="A195" s="894"/>
      <c r="B195" s="894" t="s">
        <v>934</v>
      </c>
      <c r="C195" s="894"/>
      <c r="D195" s="894"/>
      <c r="E195" s="894"/>
      <c r="F195" s="894"/>
      <c r="G195" s="894"/>
      <c r="H195" s="894"/>
      <c r="I195" s="894"/>
      <c r="J195" s="894"/>
      <c r="K195" s="894"/>
      <c r="L195" s="894"/>
      <c r="M195" s="894"/>
      <c r="N195" s="894"/>
      <c r="O195" s="894"/>
      <c r="P195" s="894"/>
      <c r="Q195" s="894"/>
      <c r="R195" s="894"/>
      <c r="S195" s="894"/>
    </row>
    <row r="196" spans="1:19">
      <c r="A196" s="36"/>
      <c r="B196" s="36"/>
      <c r="C196" s="36"/>
      <c r="D196" s="36"/>
      <c r="E196" s="36"/>
      <c r="F196" s="36"/>
      <c r="G196" s="36"/>
      <c r="H196" s="36"/>
      <c r="I196" s="36" t="s">
        <v>85</v>
      </c>
      <c r="J196" s="36"/>
      <c r="K196" s="36"/>
      <c r="L196" s="36"/>
      <c r="M196" s="36"/>
      <c r="N196" s="36"/>
      <c r="O196" s="36"/>
      <c r="P196" s="36"/>
      <c r="Q196" s="36"/>
    </row>
    <row r="197" spans="1:19" ht="12.75" customHeight="1">
      <c r="A197" s="36"/>
      <c r="B197" s="36" t="s">
        <v>9</v>
      </c>
      <c r="C197" s="1850" t="s">
        <v>1599</v>
      </c>
      <c r="D197" s="1850"/>
      <c r="E197" s="1850"/>
      <c r="F197" s="1850"/>
      <c r="G197" s="1850"/>
      <c r="H197" s="1850"/>
      <c r="I197" s="1850"/>
      <c r="J197" s="1850"/>
      <c r="K197" s="1850"/>
      <c r="L197" s="1850"/>
      <c r="M197" s="1850"/>
      <c r="N197" s="1850"/>
      <c r="O197" s="1850"/>
      <c r="P197" s="1850"/>
      <c r="Q197" s="1850"/>
    </row>
    <row r="198" spans="1:19">
      <c r="A198" s="36"/>
      <c r="B198" s="36"/>
      <c r="C198" s="1850"/>
      <c r="D198" s="1850"/>
      <c r="E198" s="1850"/>
      <c r="F198" s="1850"/>
      <c r="G198" s="1850"/>
      <c r="H198" s="1850"/>
      <c r="I198" s="1850"/>
      <c r="J198" s="1850"/>
      <c r="K198" s="1850"/>
      <c r="L198" s="1850"/>
      <c r="M198" s="1850"/>
      <c r="N198" s="1850"/>
      <c r="O198" s="1850"/>
      <c r="P198" s="1850"/>
      <c r="Q198" s="1850"/>
    </row>
    <row r="199" spans="1:19">
      <c r="A199" s="36"/>
      <c r="B199" s="36"/>
      <c r="C199" s="1850"/>
      <c r="D199" s="1850"/>
      <c r="E199" s="1850"/>
      <c r="F199" s="1850"/>
      <c r="G199" s="1850"/>
      <c r="H199" s="1850"/>
      <c r="I199" s="1850"/>
      <c r="J199" s="1850"/>
      <c r="K199" s="1850"/>
      <c r="L199" s="1850"/>
      <c r="M199" s="1850"/>
      <c r="N199" s="1850"/>
      <c r="O199" s="1850"/>
      <c r="P199" s="1850"/>
      <c r="Q199" s="1850"/>
    </row>
    <row r="200" spans="1:19">
      <c r="A200" s="36"/>
      <c r="B200" s="36"/>
      <c r="C200" s="1850"/>
      <c r="D200" s="1850"/>
      <c r="E200" s="1850"/>
      <c r="F200" s="1850"/>
      <c r="G200" s="1850"/>
      <c r="H200" s="1850"/>
      <c r="I200" s="1850"/>
      <c r="J200" s="1850"/>
      <c r="K200" s="1850"/>
      <c r="L200" s="1850"/>
      <c r="M200" s="1850"/>
      <c r="N200" s="1850"/>
      <c r="O200" s="1850"/>
      <c r="P200" s="1850"/>
      <c r="Q200" s="1850"/>
    </row>
    <row r="201" spans="1:19">
      <c r="A201" s="36"/>
      <c r="B201" s="36"/>
      <c r="C201" s="1850"/>
      <c r="D201" s="1850"/>
      <c r="E201" s="1850"/>
      <c r="F201" s="1850"/>
      <c r="G201" s="1850"/>
      <c r="H201" s="1850"/>
      <c r="I201" s="1850"/>
      <c r="J201" s="1850"/>
      <c r="K201" s="1850"/>
      <c r="L201" s="1850"/>
      <c r="M201" s="1850"/>
      <c r="N201" s="1850"/>
      <c r="O201" s="1850"/>
      <c r="P201" s="1850"/>
      <c r="Q201" s="1850"/>
    </row>
    <row r="202" spans="1:19">
      <c r="A202" s="36"/>
      <c r="B202" s="36"/>
      <c r="C202" s="1850"/>
      <c r="D202" s="1850"/>
      <c r="E202" s="1850"/>
      <c r="F202" s="1850"/>
      <c r="G202" s="1850"/>
      <c r="H202" s="1850"/>
      <c r="I202" s="1850"/>
      <c r="J202" s="1850"/>
      <c r="K202" s="1850"/>
      <c r="L202" s="1850"/>
      <c r="M202" s="1850"/>
      <c r="N202" s="1850"/>
      <c r="O202" s="1850"/>
      <c r="P202" s="1850"/>
      <c r="Q202" s="1850"/>
    </row>
    <row r="203" spans="1:19">
      <c r="A203" s="36"/>
      <c r="B203" s="36"/>
      <c r="C203" s="1850"/>
      <c r="D203" s="1850"/>
      <c r="E203" s="1850"/>
      <c r="F203" s="1850"/>
      <c r="G203" s="1850"/>
      <c r="H203" s="1850"/>
      <c r="I203" s="1850"/>
      <c r="J203" s="1850"/>
      <c r="K203" s="1850"/>
      <c r="L203" s="1850"/>
      <c r="M203" s="1850"/>
      <c r="N203" s="1850"/>
      <c r="O203" s="1850"/>
      <c r="P203" s="1850"/>
      <c r="Q203" s="1850"/>
    </row>
    <row r="204" spans="1:19" ht="12.75" customHeight="1">
      <c r="A204" s="36"/>
      <c r="B204" s="36" t="s">
        <v>10</v>
      </c>
      <c r="C204" s="1850" t="s">
        <v>1435</v>
      </c>
      <c r="D204" s="1850"/>
      <c r="E204" s="1850"/>
      <c r="F204" s="1850"/>
      <c r="G204" s="1850"/>
      <c r="H204" s="1850"/>
      <c r="I204" s="1850"/>
      <c r="J204" s="1850"/>
      <c r="K204" s="1850"/>
      <c r="L204" s="1850"/>
      <c r="M204" s="1850"/>
      <c r="N204" s="1850"/>
      <c r="O204" s="1850"/>
      <c r="P204" s="1850"/>
      <c r="Q204" s="1850"/>
    </row>
    <row r="205" spans="1:19" ht="12.75" customHeight="1">
      <c r="A205" s="36"/>
      <c r="B205" s="36"/>
      <c r="C205" s="1850"/>
      <c r="D205" s="1850"/>
      <c r="E205" s="1850"/>
      <c r="F205" s="1850"/>
      <c r="G205" s="1850"/>
      <c r="H205" s="1850"/>
      <c r="I205" s="1850"/>
      <c r="J205" s="1850"/>
      <c r="K205" s="1850"/>
      <c r="L205" s="1850"/>
      <c r="M205" s="1850"/>
      <c r="N205" s="1850"/>
      <c r="O205" s="1850"/>
      <c r="P205" s="1850"/>
      <c r="Q205" s="1850"/>
    </row>
    <row r="206" spans="1:19">
      <c r="A206" s="36"/>
      <c r="B206" s="36"/>
      <c r="C206" s="1850"/>
      <c r="D206" s="1850"/>
      <c r="E206" s="1850"/>
      <c r="F206" s="1850"/>
      <c r="G206" s="1850"/>
      <c r="H206" s="1850"/>
      <c r="I206" s="1850"/>
      <c r="J206" s="1850"/>
      <c r="K206" s="1850"/>
      <c r="L206" s="1850"/>
      <c r="M206" s="1850"/>
      <c r="N206" s="1850"/>
      <c r="O206" s="1850"/>
      <c r="P206" s="1850"/>
      <c r="Q206" s="1850"/>
    </row>
    <row r="207" spans="1:19">
      <c r="E207" s="1670"/>
      <c r="F207" s="1670"/>
      <c r="G207" s="1670"/>
      <c r="H207" s="1670"/>
      <c r="I207" s="1670"/>
      <c r="J207" s="1670"/>
      <c r="K207" s="1670"/>
      <c r="L207" s="1670"/>
      <c r="M207" s="1670"/>
      <c r="N207" s="1670"/>
      <c r="O207" s="1670"/>
      <c r="P207" s="1670"/>
      <c r="Q207" s="1670"/>
    </row>
    <row r="208" spans="1:19" ht="15.5">
      <c r="A208" s="1350" t="s">
        <v>493</v>
      </c>
      <c r="B208" s="1350"/>
      <c r="C208" s="1350"/>
      <c r="D208" s="1350"/>
      <c r="E208" s="1351"/>
      <c r="F208" s="209"/>
      <c r="G208" s="209"/>
      <c r="H208" s="559"/>
      <c r="I208" s="209"/>
      <c r="J208" s="209"/>
      <c r="K208" s="209"/>
      <c r="L208" s="209"/>
      <c r="M208" s="209"/>
      <c r="N208" s="209"/>
      <c r="O208" s="209"/>
      <c r="P208" s="209"/>
      <c r="Q208" s="209"/>
      <c r="R208" s="209"/>
      <c r="S208" s="209"/>
    </row>
  </sheetData>
  <mergeCells count="54">
    <mergeCell ref="A1:S1"/>
    <mergeCell ref="A2:S2"/>
    <mergeCell ref="A3:S3"/>
    <mergeCell ref="C6:Q6"/>
    <mergeCell ref="C8:Q8"/>
    <mergeCell ref="C11:C12"/>
    <mergeCell ref="E11:E12"/>
    <mergeCell ref="G11:G12"/>
    <mergeCell ref="I11:I12"/>
    <mergeCell ref="O11:O12"/>
    <mergeCell ref="C81:Q81"/>
    <mergeCell ref="C84:C85"/>
    <mergeCell ref="E84:E85"/>
    <mergeCell ref="C44:Q44"/>
    <mergeCell ref="C47:C48"/>
    <mergeCell ref="E47:E48"/>
    <mergeCell ref="G47:G48"/>
    <mergeCell ref="I47:I48"/>
    <mergeCell ref="O47:O48"/>
    <mergeCell ref="C62:Q62"/>
    <mergeCell ref="C65:C66"/>
    <mergeCell ref="E65:E66"/>
    <mergeCell ref="G65:G66"/>
    <mergeCell ref="I65:I66"/>
    <mergeCell ref="O65:O66"/>
    <mergeCell ref="G84:I85"/>
    <mergeCell ref="C197:Q203"/>
    <mergeCell ref="C204:Q206"/>
    <mergeCell ref="C157:C158"/>
    <mergeCell ref="E157:E158"/>
    <mergeCell ref="G157:I158"/>
    <mergeCell ref="E166:Q166"/>
    <mergeCell ref="E168:Q168"/>
    <mergeCell ref="C171:C172"/>
    <mergeCell ref="E171:E172"/>
    <mergeCell ref="G171:I172"/>
    <mergeCell ref="C94:Q94"/>
    <mergeCell ref="E133:Q133"/>
    <mergeCell ref="C99:C100"/>
    <mergeCell ref="E99:E100"/>
    <mergeCell ref="G99:G100"/>
    <mergeCell ref="I99:I100"/>
    <mergeCell ref="O99:O100"/>
    <mergeCell ref="C96:Q96"/>
    <mergeCell ref="C136:C137"/>
    <mergeCell ref="E136:E137"/>
    <mergeCell ref="G136:G137"/>
    <mergeCell ref="I136:I137"/>
    <mergeCell ref="O136:O137"/>
    <mergeCell ref="E154:Q154"/>
    <mergeCell ref="B183:Q185"/>
    <mergeCell ref="B186:Q188"/>
    <mergeCell ref="B189:Q191"/>
    <mergeCell ref="B192:Q193"/>
  </mergeCells>
  <pageMargins left="0.7" right="0.7" top="0.75" bottom="0.75" header="0.3" footer="0.3"/>
  <pageSetup scale="52" orientation="landscape" r:id="rId1"/>
  <rowBreaks count="3" manualBreakCount="3">
    <brk id="60" max="19" man="1"/>
    <brk id="91" max="19" man="1"/>
    <brk id="180"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C475-AA29-4386-9524-C3072CF81C36}">
  <dimension ref="A1:FF411"/>
  <sheetViews>
    <sheetView zoomScale="68" zoomScaleNormal="68" workbookViewId="0">
      <selection activeCell="G87" sqref="G87"/>
    </sheetView>
  </sheetViews>
  <sheetFormatPr defaultColWidth="9.1796875" defaultRowHeight="12.5"/>
  <cols>
    <col min="1" max="1" width="9.1796875" style="1744" customWidth="1"/>
    <col min="2" max="2" width="9.453125" style="1746" customWidth="1"/>
    <col min="3" max="3" width="75.26953125" style="1746" customWidth="1"/>
    <col min="4" max="4" width="50.7265625" style="1746" bestFit="1" customWidth="1"/>
    <col min="5" max="5" width="25.81640625" style="1746" bestFit="1" customWidth="1"/>
    <col min="6" max="6" width="23.453125" style="1744" bestFit="1" customWidth="1"/>
    <col min="7" max="7" width="23" style="1744" bestFit="1" customWidth="1"/>
    <col min="8" max="9" width="21.453125" style="1744" customWidth="1"/>
    <col min="10" max="10" width="25.453125" style="1744" bestFit="1" customWidth="1"/>
    <col min="11" max="11" width="5.453125" style="1744" customWidth="1"/>
    <col min="12" max="12" width="23" style="1744" bestFit="1" customWidth="1"/>
    <col min="13" max="15" width="21.453125" style="1744" customWidth="1"/>
    <col min="16" max="16" width="25.1796875" style="1744" bestFit="1" customWidth="1"/>
    <col min="17" max="17" width="2.7265625" style="1744" customWidth="1"/>
    <col min="18" max="18" width="26.54296875" style="1744" customWidth="1"/>
    <col min="19" max="19" width="2.7265625" style="1744" customWidth="1"/>
    <col min="20" max="20" width="21.453125" style="1744" customWidth="1"/>
    <col min="21" max="21" width="2.7265625" style="1744" customWidth="1"/>
    <col min="22" max="22" width="24.26953125" style="1744" customWidth="1"/>
    <col min="23" max="23" width="2.7265625" style="1744" customWidth="1"/>
    <col min="24" max="24" width="26.54296875" style="1744" customWidth="1"/>
    <col min="25" max="25" width="2.7265625" style="1744" customWidth="1"/>
    <col min="26" max="26" width="22.7265625" style="1746" customWidth="1"/>
    <col min="27" max="27" width="2.7265625" style="1744" customWidth="1"/>
    <col min="28" max="28" width="18.7265625" style="1746" customWidth="1"/>
    <col min="29" max="29" width="2.7265625" style="1744" customWidth="1"/>
    <col min="30" max="30" width="14.453125" style="1744" customWidth="1"/>
    <col min="31" max="31" width="2.453125" style="1744" customWidth="1"/>
    <col min="32" max="32" width="31.81640625" style="1744" bestFit="1" customWidth="1"/>
    <col min="33" max="33" width="2.453125" style="1744" customWidth="1"/>
    <col min="34" max="34" width="19.81640625" style="1745" customWidth="1"/>
    <col min="35" max="35" width="2.453125" style="1745" customWidth="1"/>
    <col min="36" max="16384" width="9.1796875" style="1744"/>
  </cols>
  <sheetData>
    <row r="1" spans="1:162" ht="13">
      <c r="A1" s="1404" t="s">
        <v>1705</v>
      </c>
      <c r="B1" s="1404"/>
      <c r="C1" s="1744"/>
      <c r="D1" s="1744"/>
      <c r="E1" s="1744"/>
      <c r="X1" s="1404"/>
      <c r="Z1" s="1744"/>
      <c r="AB1" s="1744"/>
    </row>
    <row r="2" spans="1:162" ht="13">
      <c r="A2" s="1404" t="s">
        <v>1436</v>
      </c>
      <c r="B2" s="1404"/>
      <c r="C2" s="1744"/>
      <c r="D2" s="1744"/>
      <c r="E2" s="1744"/>
      <c r="X2" s="1404"/>
      <c r="Z2" s="1744"/>
      <c r="AB2" s="1744"/>
    </row>
    <row r="3" spans="1:162" ht="13">
      <c r="A3" s="1404" t="s">
        <v>1437</v>
      </c>
      <c r="B3" s="1404"/>
      <c r="C3" s="1744"/>
      <c r="D3" s="1744"/>
      <c r="E3" s="1744"/>
      <c r="Z3" s="1744"/>
      <c r="AB3" s="1744"/>
    </row>
    <row r="4" spans="1:162" ht="13">
      <c r="B4" s="1404"/>
    </row>
    <row r="5" spans="1:162" s="1768" customFormat="1" ht="19">
      <c r="B5" s="1864" t="s">
        <v>1399</v>
      </c>
      <c r="C5" s="1865"/>
      <c r="D5" s="1865"/>
      <c r="E5" s="1865"/>
      <c r="F5" s="1865"/>
      <c r="G5" s="1865"/>
      <c r="H5" s="1865"/>
      <c r="I5" s="1865"/>
      <c r="J5" s="1865"/>
      <c r="K5" s="1865"/>
      <c r="L5" s="1865"/>
      <c r="M5" s="1865"/>
      <c r="N5" s="1865"/>
      <c r="O5" s="1865"/>
      <c r="P5" s="1865"/>
      <c r="Q5" s="1865"/>
      <c r="R5" s="1865"/>
      <c r="S5" s="1865"/>
      <c r="T5" s="1865"/>
      <c r="U5" s="1865"/>
      <c r="V5" s="1865"/>
      <c r="W5" s="1865"/>
      <c r="X5" s="1865"/>
      <c r="Y5" s="1865"/>
      <c r="Z5" s="1865"/>
      <c r="AA5" s="1865"/>
      <c r="AB5" s="1865"/>
      <c r="AC5" s="1865"/>
      <c r="AD5" s="1865"/>
      <c r="AE5" s="1865"/>
      <c r="AF5" s="1865"/>
      <c r="AG5" s="1865"/>
      <c r="AH5" s="1866"/>
      <c r="AI5" s="1769"/>
    </row>
    <row r="6" spans="1:162" ht="13">
      <c r="B6" s="1404"/>
    </row>
    <row r="7" spans="1:162" s="1388" customFormat="1" ht="15.5">
      <c r="B7" s="1389"/>
      <c r="C7" s="1389"/>
      <c r="D7" s="1389"/>
      <c r="E7" s="1389"/>
      <c r="F7" s="1867" t="s">
        <v>1438</v>
      </c>
      <c r="G7" s="1868"/>
      <c r="H7" s="1868"/>
      <c r="I7" s="1868"/>
      <c r="J7" s="1869"/>
      <c r="L7" s="1867" t="s">
        <v>1439</v>
      </c>
      <c r="M7" s="1868"/>
      <c r="N7" s="1868"/>
      <c r="O7" s="1868"/>
      <c r="P7" s="1869"/>
      <c r="R7" s="1867" t="s">
        <v>1440</v>
      </c>
      <c r="S7" s="1868"/>
      <c r="T7" s="1868"/>
      <c r="U7" s="1868"/>
      <c r="V7" s="1868"/>
      <c r="W7" s="1868"/>
      <c r="X7" s="1868"/>
      <c r="Y7" s="1868"/>
      <c r="Z7" s="1868"/>
      <c r="AA7" s="1868"/>
      <c r="AB7" s="1868"/>
      <c r="AC7" s="1868"/>
      <c r="AD7" s="1868"/>
      <c r="AE7" s="1868"/>
      <c r="AF7" s="1869"/>
      <c r="AG7" s="1390"/>
      <c r="AH7" s="1391"/>
      <c r="AI7" s="1391"/>
    </row>
    <row r="8" spans="1:162" s="1392" customFormat="1" ht="61.5" customHeight="1">
      <c r="B8" s="1747" t="s">
        <v>581</v>
      </c>
      <c r="C8" s="1748" t="s">
        <v>1441</v>
      </c>
      <c r="D8" s="1748" t="s">
        <v>1256</v>
      </c>
      <c r="E8" s="1747" t="s">
        <v>1442</v>
      </c>
      <c r="F8" s="1747" t="s">
        <v>1443</v>
      </c>
      <c r="G8" s="1747" t="s">
        <v>1444</v>
      </c>
      <c r="H8" s="1747" t="s">
        <v>1445</v>
      </c>
      <c r="I8" s="1747" t="s">
        <v>1446</v>
      </c>
      <c r="J8" s="1747" t="s">
        <v>1447</v>
      </c>
      <c r="K8" s="1747"/>
      <c r="L8" s="1747" t="s">
        <v>1443</v>
      </c>
      <c r="M8" s="1747" t="s">
        <v>1448</v>
      </c>
      <c r="N8" s="1747" t="s">
        <v>1445</v>
      </c>
      <c r="O8" s="1747" t="s">
        <v>1446</v>
      </c>
      <c r="P8" s="1747" t="s">
        <v>1447</v>
      </c>
      <c r="Q8" s="1747"/>
      <c r="R8" s="1747" t="s">
        <v>1449</v>
      </c>
      <c r="S8" s="1747"/>
      <c r="T8" s="1747" t="s">
        <v>1107</v>
      </c>
      <c r="U8" s="1747"/>
      <c r="V8" s="1747" t="s">
        <v>1450</v>
      </c>
      <c r="W8" s="1747"/>
      <c r="X8" s="1747" t="s">
        <v>1451</v>
      </c>
      <c r="Y8" s="1747"/>
      <c r="Z8" s="1747" t="s">
        <v>1452</v>
      </c>
      <c r="AA8" s="1747"/>
      <c r="AB8" s="1747" t="s">
        <v>1453</v>
      </c>
      <c r="AC8" s="1747"/>
      <c r="AD8" s="1747" t="s">
        <v>1896</v>
      </c>
      <c r="AE8" s="1747"/>
      <c r="AF8" s="1747" t="s">
        <v>1454</v>
      </c>
      <c r="AG8" s="1747"/>
      <c r="AH8" s="1747" t="s">
        <v>1455</v>
      </c>
      <c r="AI8" s="1744"/>
      <c r="AJ8" s="1744"/>
      <c r="AK8" s="1744"/>
      <c r="AL8" s="1744"/>
      <c r="AM8" s="1744"/>
      <c r="AN8" s="1744"/>
      <c r="AO8" s="1744"/>
      <c r="AP8" s="1744"/>
      <c r="AQ8" s="1744"/>
      <c r="AR8" s="1744"/>
      <c r="AS8" s="1744"/>
      <c r="AT8" s="1744"/>
      <c r="AU8" s="1744"/>
      <c r="AV8" s="1744"/>
      <c r="AW8" s="1744"/>
      <c r="AX8" s="1744"/>
      <c r="AY8" s="1744"/>
      <c r="AZ8" s="1744"/>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c r="CF8" s="1744"/>
      <c r="CG8" s="1744"/>
      <c r="CH8" s="1744"/>
      <c r="CI8" s="1744"/>
      <c r="CJ8" s="1744"/>
      <c r="CK8" s="1744"/>
      <c r="CL8" s="1744"/>
      <c r="CM8" s="1744"/>
      <c r="CN8" s="1744"/>
      <c r="CO8" s="1744"/>
      <c r="CP8" s="1744"/>
      <c r="CQ8" s="1744"/>
      <c r="CR8" s="1744"/>
      <c r="CS8" s="1744"/>
      <c r="CT8" s="1744"/>
      <c r="CU8" s="1744"/>
      <c r="CV8" s="1744"/>
      <c r="CW8" s="1744"/>
      <c r="CX8" s="1744"/>
      <c r="CY8" s="1744"/>
      <c r="CZ8" s="1744"/>
      <c r="DA8" s="1744"/>
      <c r="DB8" s="1744"/>
      <c r="DC8" s="1744"/>
      <c r="DD8" s="1744"/>
      <c r="DE8" s="1744"/>
      <c r="DF8" s="1744"/>
      <c r="DG8" s="1744"/>
      <c r="DH8" s="1744"/>
      <c r="DI8" s="1744"/>
      <c r="DJ8" s="1744"/>
      <c r="DK8" s="1744"/>
      <c r="DL8" s="1744"/>
      <c r="DM8" s="1744"/>
      <c r="DN8" s="1744"/>
      <c r="DO8" s="1744"/>
      <c r="DP8" s="1744"/>
      <c r="DQ8" s="1744"/>
      <c r="DR8" s="1744"/>
      <c r="DS8" s="1744"/>
      <c r="DT8" s="1744"/>
      <c r="DU8" s="1744"/>
      <c r="DV8" s="1744"/>
      <c r="DW8" s="1744"/>
      <c r="DX8" s="1744"/>
      <c r="DY8" s="1744"/>
      <c r="DZ8" s="1744"/>
      <c r="EA8" s="1744"/>
      <c r="EB8" s="1744"/>
      <c r="EC8" s="1744"/>
      <c r="ED8" s="1744"/>
      <c r="EE8" s="1744"/>
      <c r="EF8" s="1744"/>
      <c r="EG8" s="1744"/>
      <c r="EH8" s="1744"/>
      <c r="EI8" s="1744"/>
      <c r="EJ8" s="1744"/>
      <c r="EK8" s="1744"/>
      <c r="EL8" s="1744"/>
      <c r="EM8" s="1744"/>
      <c r="EN8" s="1744"/>
      <c r="EO8" s="1744"/>
      <c r="EP8" s="1744"/>
      <c r="EQ8" s="1744"/>
      <c r="ER8" s="1744"/>
      <c r="ES8" s="1744"/>
      <c r="ET8" s="1744"/>
      <c r="EU8" s="1744"/>
      <c r="EV8" s="1744"/>
      <c r="EW8" s="1744"/>
      <c r="EX8" s="1744"/>
      <c r="EY8" s="1744"/>
      <c r="EZ8" s="1744"/>
      <c r="FA8" s="1744"/>
      <c r="FB8" s="1744"/>
      <c r="FC8" s="1744"/>
      <c r="FD8" s="1744"/>
      <c r="FE8" s="1744"/>
      <c r="FF8" s="1744"/>
    </row>
    <row r="9" spans="1:162" ht="15" customHeight="1">
      <c r="B9" s="1393"/>
      <c r="C9" s="1749" t="s">
        <v>175</v>
      </c>
      <c r="D9" s="1750" t="s">
        <v>176</v>
      </c>
      <c r="E9" s="1750" t="s">
        <v>1152</v>
      </c>
      <c r="F9" s="1750" t="s">
        <v>1304</v>
      </c>
      <c r="G9" s="1750" t="s">
        <v>1456</v>
      </c>
      <c r="H9" s="1750" t="s">
        <v>1306</v>
      </c>
      <c r="I9" s="1750" t="s">
        <v>1457</v>
      </c>
      <c r="J9" s="1750" t="s">
        <v>1458</v>
      </c>
      <c r="K9" s="1394"/>
      <c r="L9" s="1750" t="s">
        <v>1309</v>
      </c>
      <c r="M9" s="1750" t="s">
        <v>1459</v>
      </c>
      <c r="N9" s="1750" t="s">
        <v>1311</v>
      </c>
      <c r="O9" s="1750" t="s">
        <v>1460</v>
      </c>
      <c r="P9" s="1750" t="s">
        <v>1461</v>
      </c>
      <c r="Q9" s="1395"/>
      <c r="R9" s="1750" t="s">
        <v>1462</v>
      </c>
      <c r="S9" s="1750"/>
      <c r="T9" s="1750" t="s">
        <v>1463</v>
      </c>
      <c r="U9" s="1750"/>
      <c r="V9" s="1750" t="s">
        <v>1464</v>
      </c>
      <c r="W9" s="1750"/>
      <c r="X9" s="1750" t="s">
        <v>1465</v>
      </c>
      <c r="Y9" s="1750"/>
      <c r="Z9" s="1750" t="s">
        <v>1466</v>
      </c>
      <c r="AA9" s="1750"/>
      <c r="AB9" s="1750" t="s">
        <v>1467</v>
      </c>
      <c r="AC9" s="1750"/>
      <c r="AD9" s="1750" t="s">
        <v>1468</v>
      </c>
      <c r="AE9" s="1750"/>
      <c r="AF9" s="1750" t="s">
        <v>1469</v>
      </c>
      <c r="AG9" s="1750"/>
      <c r="AH9" s="1750" t="s">
        <v>1470</v>
      </c>
      <c r="AI9" s="1744"/>
    </row>
    <row r="10" spans="1:162" s="1392" customFormat="1" ht="15" customHeight="1">
      <c r="B10" s="1751"/>
      <c r="C10" s="1751"/>
      <c r="D10" s="1751"/>
      <c r="E10" s="1750"/>
      <c r="F10" s="1750"/>
      <c r="G10" s="1750"/>
      <c r="H10" s="1750"/>
      <c r="I10" s="1750"/>
      <c r="J10" s="1750"/>
      <c r="K10" s="1750"/>
      <c r="L10" s="1750"/>
      <c r="M10" s="1750"/>
      <c r="N10" s="1750"/>
      <c r="O10" s="1750"/>
      <c r="P10" s="1750"/>
      <c r="Q10" s="1750"/>
      <c r="R10" s="1750"/>
      <c r="S10" s="1750"/>
      <c r="T10" s="1750"/>
      <c r="U10" s="1750"/>
      <c r="V10" s="1750"/>
      <c r="W10" s="1750"/>
      <c r="X10" s="1750"/>
      <c r="Y10" s="1750"/>
      <c r="Z10" s="1750"/>
      <c r="AA10" s="1750"/>
      <c r="AB10" s="1750"/>
      <c r="AC10" s="1750"/>
      <c r="AD10" s="1750"/>
      <c r="AE10" s="1750"/>
      <c r="AF10" s="1750"/>
      <c r="AG10" s="1750"/>
      <c r="AH10" s="1750"/>
      <c r="AI10" s="1750"/>
      <c r="AJ10" s="1744"/>
      <c r="AK10" s="1744"/>
      <c r="AL10" s="1744"/>
      <c r="AM10" s="1744"/>
      <c r="AN10" s="1744"/>
      <c r="AO10" s="1744"/>
      <c r="AP10" s="1744"/>
      <c r="AQ10" s="1744"/>
      <c r="AR10" s="1744"/>
      <c r="AS10" s="1744"/>
      <c r="AT10" s="1744"/>
      <c r="AU10" s="1744"/>
      <c r="AV10" s="1744"/>
      <c r="AW10" s="1744"/>
      <c r="AX10" s="1744"/>
      <c r="AY10" s="1744"/>
      <c r="AZ10" s="1744"/>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c r="CF10" s="1744"/>
      <c r="CG10" s="1744"/>
      <c r="CH10" s="1744"/>
      <c r="CI10" s="1744"/>
      <c r="CJ10" s="1744"/>
      <c r="CK10" s="1744"/>
      <c r="CL10" s="1744"/>
      <c r="CM10" s="1744"/>
      <c r="CN10" s="1744"/>
      <c r="CO10" s="1744"/>
      <c r="CP10" s="1744"/>
      <c r="CQ10" s="1744"/>
      <c r="CR10" s="1744"/>
      <c r="CS10" s="1744"/>
      <c r="CT10" s="1744"/>
      <c r="CU10" s="1744"/>
      <c r="CV10" s="1744"/>
      <c r="CW10" s="1744"/>
      <c r="CX10" s="1744"/>
      <c r="CY10" s="1744"/>
      <c r="CZ10" s="1744"/>
      <c r="DA10" s="1744"/>
      <c r="DB10" s="1744"/>
      <c r="DC10" s="1744"/>
      <c r="DD10" s="1744"/>
      <c r="DE10" s="1744"/>
      <c r="DF10" s="1744"/>
      <c r="DG10" s="1744"/>
      <c r="DH10" s="1744"/>
      <c r="DI10" s="1744"/>
      <c r="DJ10" s="1744"/>
      <c r="DK10" s="1744"/>
      <c r="DL10" s="1744"/>
      <c r="DM10" s="1744"/>
      <c r="DN10" s="1744"/>
      <c r="DO10" s="1744"/>
      <c r="DP10" s="1744"/>
      <c r="DQ10" s="1744"/>
      <c r="DR10" s="1744"/>
      <c r="DS10" s="1744"/>
      <c r="DT10" s="1744"/>
      <c r="DU10" s="1744"/>
      <c r="DV10" s="1744"/>
      <c r="DW10" s="1744"/>
      <c r="DX10" s="1744"/>
      <c r="DY10" s="1744"/>
      <c r="DZ10" s="1744"/>
      <c r="EA10" s="1744"/>
      <c r="EB10" s="1744"/>
      <c r="EC10" s="1744"/>
      <c r="ED10" s="1744"/>
      <c r="EE10" s="1744"/>
      <c r="EF10" s="1744"/>
      <c r="EG10" s="1744"/>
      <c r="EH10" s="1744"/>
      <c r="EI10" s="1744"/>
      <c r="EJ10" s="1744"/>
      <c r="EK10" s="1744"/>
      <c r="EL10" s="1744"/>
      <c r="EM10" s="1744"/>
      <c r="EN10" s="1744"/>
      <c r="EO10" s="1744"/>
      <c r="EP10" s="1744"/>
      <c r="EQ10" s="1744"/>
      <c r="ER10" s="1744"/>
      <c r="ES10" s="1744"/>
      <c r="ET10" s="1744"/>
      <c r="EU10" s="1744"/>
      <c r="EV10" s="1744"/>
      <c r="EW10" s="1744"/>
      <c r="EX10" s="1744"/>
      <c r="EY10" s="1744"/>
      <c r="EZ10" s="1744"/>
      <c r="FA10" s="1744"/>
      <c r="FB10" s="1744"/>
      <c r="FC10" s="1744"/>
      <c r="FD10" s="1744"/>
      <c r="FE10" s="1744"/>
      <c r="FF10" s="1744"/>
    </row>
    <row r="11" spans="1:162" s="1392" customFormat="1" ht="13">
      <c r="B11" s="1751"/>
      <c r="C11" s="1752" t="s">
        <v>1897</v>
      </c>
      <c r="D11" s="1751"/>
      <c r="E11" s="1750"/>
      <c r="F11" s="1750"/>
      <c r="G11" s="1750"/>
      <c r="H11" s="1750"/>
      <c r="I11" s="1750"/>
      <c r="J11" s="1750"/>
      <c r="K11" s="1750"/>
      <c r="L11" s="1750"/>
      <c r="M11" s="1750"/>
      <c r="N11" s="1750"/>
      <c r="O11" s="1750"/>
      <c r="P11" s="1750"/>
      <c r="Q11" s="1750"/>
      <c r="R11" s="1750"/>
      <c r="S11" s="1750"/>
      <c r="T11" s="1750"/>
      <c r="U11" s="1750"/>
      <c r="V11" s="1750"/>
      <c r="W11" s="1750"/>
      <c r="X11" s="1750"/>
      <c r="Y11" s="1750"/>
      <c r="Z11" s="1750"/>
      <c r="AA11" s="1750"/>
      <c r="AB11" s="1750"/>
      <c r="AC11" s="1750"/>
      <c r="AD11" s="1750"/>
      <c r="AE11" s="1750"/>
      <c r="AF11" s="1750"/>
      <c r="AG11" s="1750"/>
      <c r="AH11" s="1750"/>
      <c r="AI11" s="1750"/>
      <c r="AJ11" s="1744"/>
      <c r="AK11" s="1744"/>
      <c r="AL11" s="1744"/>
      <c r="AM11" s="1744"/>
      <c r="AN11" s="1744"/>
      <c r="AO11" s="1744"/>
      <c r="AP11" s="1744"/>
      <c r="AQ11" s="1744"/>
      <c r="AR11" s="1744"/>
      <c r="AS11" s="1744"/>
      <c r="AT11" s="1744"/>
      <c r="AU11" s="1744"/>
      <c r="AV11" s="1744"/>
      <c r="AW11" s="1744"/>
      <c r="AX11" s="1744"/>
      <c r="AY11" s="1744"/>
      <c r="AZ11" s="1744"/>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c r="CF11" s="1744"/>
      <c r="CG11" s="1744"/>
      <c r="CH11" s="1744"/>
      <c r="CI11" s="1744"/>
      <c r="CJ11" s="1744"/>
      <c r="CK11" s="1744"/>
      <c r="CL11" s="1744"/>
      <c r="CM11" s="1744"/>
      <c r="CN11" s="1744"/>
      <c r="CO11" s="1744"/>
      <c r="CP11" s="1744"/>
      <c r="CQ11" s="1744"/>
      <c r="CR11" s="1744"/>
      <c r="CS11" s="1744"/>
      <c r="CT11" s="1744"/>
      <c r="CU11" s="1744"/>
      <c r="CV11" s="1744"/>
      <c r="CW11" s="1744"/>
      <c r="CX11" s="1744"/>
      <c r="CY11" s="1744"/>
      <c r="CZ11" s="1744"/>
      <c r="DA11" s="1744"/>
      <c r="DB11" s="1744"/>
      <c r="DC11" s="1744"/>
      <c r="DD11" s="1744"/>
      <c r="DE11" s="1744"/>
      <c r="DF11" s="1744"/>
      <c r="DG11" s="1744"/>
      <c r="DH11" s="1744"/>
      <c r="DI11" s="1744"/>
      <c r="DJ11" s="1744"/>
      <c r="DK11" s="1744"/>
      <c r="DL11" s="1744"/>
      <c r="DM11" s="1744"/>
      <c r="DN11" s="1744"/>
      <c r="DO11" s="1744"/>
      <c r="DP11" s="1744"/>
      <c r="DQ11" s="1744"/>
      <c r="DR11" s="1744"/>
      <c r="DS11" s="1744"/>
      <c r="DT11" s="1744"/>
      <c r="DU11" s="1744"/>
      <c r="DV11" s="1744"/>
      <c r="DW11" s="1744"/>
      <c r="DX11" s="1744"/>
      <c r="DY11" s="1744"/>
      <c r="DZ11" s="1744"/>
      <c r="EA11" s="1744"/>
      <c r="EB11" s="1744"/>
      <c r="EC11" s="1744"/>
      <c r="ED11" s="1744"/>
      <c r="EE11" s="1744"/>
      <c r="EF11" s="1744"/>
      <c r="EG11" s="1744"/>
      <c r="EH11" s="1744"/>
      <c r="EI11" s="1744"/>
      <c r="EJ11" s="1744"/>
      <c r="EK11" s="1744"/>
      <c r="EL11" s="1744"/>
      <c r="EM11" s="1744"/>
      <c r="EN11" s="1744"/>
      <c r="EO11" s="1744"/>
      <c r="EP11" s="1744"/>
      <c r="EQ11" s="1744"/>
      <c r="ER11" s="1744"/>
      <c r="ES11" s="1744"/>
      <c r="ET11" s="1744"/>
      <c r="EU11" s="1744"/>
      <c r="EV11" s="1744"/>
      <c r="EW11" s="1744"/>
      <c r="EX11" s="1744"/>
      <c r="EY11" s="1744"/>
      <c r="EZ11" s="1744"/>
      <c r="FA11" s="1744"/>
      <c r="FB11" s="1744"/>
      <c r="FC11" s="1744"/>
      <c r="FD11" s="1744"/>
      <c r="FE11" s="1744"/>
      <c r="FF11" s="1744"/>
    </row>
    <row r="12" spans="1:162">
      <c r="B12" s="1246">
        <v>1</v>
      </c>
      <c r="C12" s="1365" t="s">
        <v>1856</v>
      </c>
      <c r="D12" s="1365" t="s">
        <v>269</v>
      </c>
      <c r="E12" s="1365" t="s">
        <v>1472</v>
      </c>
      <c r="F12" s="1710">
        <v>722032.19</v>
      </c>
      <c r="G12" s="1709">
        <f t="shared" ref="G12:G43" si="0">F12*0.35</f>
        <v>252711.26649999997</v>
      </c>
      <c r="H12" s="1710">
        <v>61372.736149999997</v>
      </c>
      <c r="I12" s="1709">
        <f t="shared" ref="I12:I43" si="1">H12*-0.35</f>
        <v>-21480.457652499997</v>
      </c>
      <c r="J12" s="1709">
        <f t="shared" ref="J12:J43" si="2">G12+H12+I12</f>
        <v>292603.54499749996</v>
      </c>
      <c r="K12" s="1707"/>
      <c r="L12" s="1710">
        <f t="shared" ref="L12:L43" si="3">F12</f>
        <v>722032.19</v>
      </c>
      <c r="M12" s="1709">
        <f t="shared" ref="M12:M43" si="4">L12*0.21</f>
        <v>151626.75989999998</v>
      </c>
      <c r="N12" s="1710">
        <v>61372.736149999997</v>
      </c>
      <c r="O12" s="1709">
        <f t="shared" ref="O12:O43" si="5">N12*-0.21</f>
        <v>-12888.2745915</v>
      </c>
      <c r="P12" s="1709">
        <f t="shared" ref="P12:P43" si="6">M12+N12+O12</f>
        <v>200111.22145849996</v>
      </c>
      <c r="R12" s="1709">
        <f t="shared" ref="R12:R43" si="7">J12-P12</f>
        <v>92492.323539000005</v>
      </c>
      <c r="S12" s="1707"/>
      <c r="T12" s="1710">
        <v>0</v>
      </c>
      <c r="U12" s="1707"/>
      <c r="V12" s="1710">
        <v>0</v>
      </c>
      <c r="W12" s="1707"/>
      <c r="X12" s="1709">
        <f t="shared" ref="X12:X43" si="8">R12-T12-V12</f>
        <v>92492.323539000005</v>
      </c>
      <c r="Y12" s="1707"/>
      <c r="Z12" s="1374" t="s">
        <v>262</v>
      </c>
      <c r="AA12" s="1705"/>
      <c r="AB12" s="1374" t="s">
        <v>23</v>
      </c>
      <c r="AC12" s="1705"/>
      <c r="AD12" s="1706">
        <v>0</v>
      </c>
      <c r="AE12" s="1705"/>
      <c r="AF12" s="1709">
        <f t="shared" ref="AF12:AF17" si="9">X12*AD12</f>
        <v>0</v>
      </c>
      <c r="AG12" s="1711"/>
      <c r="AH12" s="1246">
        <v>190</v>
      </c>
      <c r="AI12" s="1246"/>
    </row>
    <row r="13" spans="1:162">
      <c r="B13" s="1246">
        <v>2</v>
      </c>
      <c r="C13" s="1365" t="s">
        <v>1855</v>
      </c>
      <c r="D13" s="1365" t="s">
        <v>269</v>
      </c>
      <c r="E13" s="1365" t="s">
        <v>1472</v>
      </c>
      <c r="F13" s="1708">
        <v>2128198.2000000002</v>
      </c>
      <c r="G13" s="1704">
        <f t="shared" si="0"/>
        <v>744869.37</v>
      </c>
      <c r="H13" s="1708">
        <v>180896.84700000004</v>
      </c>
      <c r="I13" s="1704">
        <f t="shared" si="1"/>
        <v>-63313.896450000007</v>
      </c>
      <c r="J13" s="1704">
        <f t="shared" si="2"/>
        <v>862452.32055000006</v>
      </c>
      <c r="K13" s="1753"/>
      <c r="L13" s="1708">
        <f t="shared" si="3"/>
        <v>2128198.2000000002</v>
      </c>
      <c r="M13" s="1704">
        <f t="shared" si="4"/>
        <v>446921.62200000003</v>
      </c>
      <c r="N13" s="1708">
        <v>180896.84700000004</v>
      </c>
      <c r="O13" s="1704">
        <f t="shared" si="5"/>
        <v>-37988.337870000003</v>
      </c>
      <c r="P13" s="1704">
        <f t="shared" si="6"/>
        <v>589830.13112999999</v>
      </c>
      <c r="Q13" s="1704"/>
      <c r="R13" s="1704">
        <f t="shared" si="7"/>
        <v>272622.18942000007</v>
      </c>
      <c r="S13" s="1753"/>
      <c r="T13" s="1708">
        <v>0</v>
      </c>
      <c r="U13" s="1753"/>
      <c r="V13" s="1708">
        <v>0</v>
      </c>
      <c r="W13" s="1753"/>
      <c r="X13" s="1704">
        <f t="shared" si="8"/>
        <v>272622.18942000007</v>
      </c>
      <c r="Y13" s="1707"/>
      <c r="Z13" s="1374" t="s">
        <v>1716</v>
      </c>
      <c r="AA13" s="1705"/>
      <c r="AB13" s="1374" t="s">
        <v>23</v>
      </c>
      <c r="AC13" s="1705"/>
      <c r="AD13" s="1706">
        <v>0</v>
      </c>
      <c r="AE13" s="1705"/>
      <c r="AF13" s="1704">
        <f t="shared" si="9"/>
        <v>0</v>
      </c>
      <c r="AG13" s="985"/>
      <c r="AH13" s="1246">
        <v>190</v>
      </c>
      <c r="AI13" s="1246"/>
    </row>
    <row r="14" spans="1:162">
      <c r="B14" s="1246">
        <v>3</v>
      </c>
      <c r="C14" s="1365" t="s">
        <v>1481</v>
      </c>
      <c r="D14" s="1365" t="s">
        <v>269</v>
      </c>
      <c r="E14" s="1365" t="s">
        <v>1472</v>
      </c>
      <c r="F14" s="1708">
        <v>5630317.2699999996</v>
      </c>
      <c r="G14" s="1704">
        <f t="shared" si="0"/>
        <v>1970611.0444999996</v>
      </c>
      <c r="H14" s="1708">
        <v>478576.96795000002</v>
      </c>
      <c r="I14" s="1704">
        <f t="shared" si="1"/>
        <v>-167501.93878249999</v>
      </c>
      <c r="J14" s="1704">
        <f t="shared" si="2"/>
        <v>2281686.0736674997</v>
      </c>
      <c r="K14" s="1753"/>
      <c r="L14" s="1708">
        <f t="shared" si="3"/>
        <v>5630317.2699999996</v>
      </c>
      <c r="M14" s="1704">
        <f t="shared" si="4"/>
        <v>1182366.6266999999</v>
      </c>
      <c r="N14" s="1708">
        <v>478576.96795000002</v>
      </c>
      <c r="O14" s="1704">
        <f t="shared" si="5"/>
        <v>-100501.1632695</v>
      </c>
      <c r="P14" s="1704">
        <f t="shared" si="6"/>
        <v>1560442.4313804999</v>
      </c>
      <c r="Q14" s="1704"/>
      <c r="R14" s="1704">
        <f t="shared" si="7"/>
        <v>721243.64228699985</v>
      </c>
      <c r="S14" s="1753"/>
      <c r="T14" s="1708">
        <v>0</v>
      </c>
      <c r="U14" s="1753"/>
      <c r="V14" s="1708">
        <v>0</v>
      </c>
      <c r="W14" s="1753"/>
      <c r="X14" s="1704">
        <f t="shared" si="8"/>
        <v>721243.64228699985</v>
      </c>
      <c r="Y14" s="1707"/>
      <c r="Z14" s="1374" t="s">
        <v>1482</v>
      </c>
      <c r="AA14" s="1705"/>
      <c r="AB14" s="1374" t="s">
        <v>23</v>
      </c>
      <c r="AC14" s="1705"/>
      <c r="AD14" s="1706">
        <v>0</v>
      </c>
      <c r="AE14" s="1705"/>
      <c r="AF14" s="1704">
        <f t="shared" si="9"/>
        <v>0</v>
      </c>
      <c r="AG14" s="985"/>
      <c r="AH14" s="1246">
        <v>190</v>
      </c>
      <c r="AI14" s="1246"/>
    </row>
    <row r="15" spans="1:162">
      <c r="B15" s="1246">
        <v>4</v>
      </c>
      <c r="C15" s="1365" t="s">
        <v>1854</v>
      </c>
      <c r="D15" s="1365" t="s">
        <v>269</v>
      </c>
      <c r="E15" s="1365" t="s">
        <v>1472</v>
      </c>
      <c r="F15" s="1708">
        <v>6475628.3799999999</v>
      </c>
      <c r="G15" s="1704">
        <f t="shared" si="0"/>
        <v>2266469.9329999997</v>
      </c>
      <c r="H15" s="1708">
        <v>550428.41230000008</v>
      </c>
      <c r="I15" s="1704">
        <f t="shared" si="1"/>
        <v>-192649.94430500001</v>
      </c>
      <c r="J15" s="1704">
        <f t="shared" si="2"/>
        <v>2624248.4009949998</v>
      </c>
      <c r="K15" s="1753"/>
      <c r="L15" s="1708">
        <f t="shared" si="3"/>
        <v>6475628.3799999999</v>
      </c>
      <c r="M15" s="1704">
        <f t="shared" si="4"/>
        <v>1359881.9597999998</v>
      </c>
      <c r="N15" s="1708">
        <v>550428.41230000008</v>
      </c>
      <c r="O15" s="1704">
        <f t="shared" si="5"/>
        <v>-115589.96658300002</v>
      </c>
      <c r="P15" s="1704">
        <f t="shared" si="6"/>
        <v>1794720.4055169998</v>
      </c>
      <c r="Q15" s="1704"/>
      <c r="R15" s="1704">
        <f t="shared" si="7"/>
        <v>829527.99547800003</v>
      </c>
      <c r="S15" s="1753"/>
      <c r="T15" s="1708">
        <v>0</v>
      </c>
      <c r="U15" s="1753"/>
      <c r="V15" s="1708">
        <v>0</v>
      </c>
      <c r="W15" s="1753"/>
      <c r="X15" s="1704">
        <f t="shared" si="8"/>
        <v>829527.99547800003</v>
      </c>
      <c r="Y15" s="1707"/>
      <c r="Z15" s="1374" t="s">
        <v>1716</v>
      </c>
      <c r="AA15" s="1705"/>
      <c r="AB15" s="1374" t="s">
        <v>23</v>
      </c>
      <c r="AC15" s="1705"/>
      <c r="AD15" s="1706">
        <v>0</v>
      </c>
      <c r="AE15" s="1705"/>
      <c r="AF15" s="1704">
        <f t="shared" si="9"/>
        <v>0</v>
      </c>
      <c r="AG15" s="985"/>
      <c r="AH15" s="1246">
        <v>190</v>
      </c>
      <c r="AI15" s="1246"/>
    </row>
    <row r="16" spans="1:162">
      <c r="B16" s="1246">
        <v>5</v>
      </c>
      <c r="C16" s="1365" t="s">
        <v>1853</v>
      </c>
      <c r="D16" s="1365" t="s">
        <v>1850</v>
      </c>
      <c r="E16" s="1365" t="s">
        <v>1472</v>
      </c>
      <c r="F16" s="1708">
        <v>2339147.6</v>
      </c>
      <c r="G16" s="1704">
        <f t="shared" si="0"/>
        <v>818701.66</v>
      </c>
      <c r="H16" s="1708">
        <v>0</v>
      </c>
      <c r="I16" s="1704">
        <f t="shared" si="1"/>
        <v>0</v>
      </c>
      <c r="J16" s="1704">
        <f t="shared" si="2"/>
        <v>818701.66</v>
      </c>
      <c r="K16" s="1753"/>
      <c r="L16" s="1708">
        <f t="shared" si="3"/>
        <v>2339147.6</v>
      </c>
      <c r="M16" s="1704">
        <f t="shared" si="4"/>
        <v>491220.99599999998</v>
      </c>
      <c r="N16" s="1708">
        <v>0</v>
      </c>
      <c r="O16" s="1704">
        <f t="shared" si="5"/>
        <v>0</v>
      </c>
      <c r="P16" s="1704">
        <f t="shared" si="6"/>
        <v>491220.99599999998</v>
      </c>
      <c r="Q16" s="1704"/>
      <c r="R16" s="1704">
        <f t="shared" si="7"/>
        <v>327480.66400000005</v>
      </c>
      <c r="S16" s="1753"/>
      <c r="T16" s="1708">
        <v>327480.66400000005</v>
      </c>
      <c r="U16" s="1753"/>
      <c r="V16" s="1708">
        <v>0</v>
      </c>
      <c r="W16" s="1753"/>
      <c r="X16" s="1704">
        <f t="shared" si="8"/>
        <v>0</v>
      </c>
      <c r="Y16" s="1707"/>
      <c r="Z16" s="1374" t="s">
        <v>262</v>
      </c>
      <c r="AA16" s="1705"/>
      <c r="AB16" s="1374" t="s">
        <v>23</v>
      </c>
      <c r="AC16" s="1705"/>
      <c r="AD16" s="1706">
        <v>0</v>
      </c>
      <c r="AE16" s="1705"/>
      <c r="AF16" s="1704">
        <f t="shared" si="9"/>
        <v>0</v>
      </c>
      <c r="AG16" s="985"/>
      <c r="AH16" s="1246">
        <v>190</v>
      </c>
      <c r="AI16" s="1246"/>
    </row>
    <row r="17" spans="2:35">
      <c r="B17" s="1246">
        <v>6</v>
      </c>
      <c r="C17" s="1365" t="s">
        <v>1852</v>
      </c>
      <c r="D17" s="1365" t="s">
        <v>1850</v>
      </c>
      <c r="E17" s="1365" t="s">
        <v>1472</v>
      </c>
      <c r="F17" s="1708">
        <v>0</v>
      </c>
      <c r="G17" s="1704">
        <f t="shared" si="0"/>
        <v>0</v>
      </c>
      <c r="H17" s="1708">
        <v>65496.140920000005</v>
      </c>
      <c r="I17" s="1704">
        <f t="shared" si="1"/>
        <v>-22923.649322000001</v>
      </c>
      <c r="J17" s="1704">
        <f t="shared" si="2"/>
        <v>42572.491598000008</v>
      </c>
      <c r="K17" s="1753"/>
      <c r="L17" s="1708">
        <f t="shared" si="3"/>
        <v>0</v>
      </c>
      <c r="M17" s="1704">
        <f t="shared" si="4"/>
        <v>0</v>
      </c>
      <c r="N17" s="1708">
        <v>65496.140920000005</v>
      </c>
      <c r="O17" s="1704">
        <f t="shared" si="5"/>
        <v>-13754.189593200001</v>
      </c>
      <c r="P17" s="1704">
        <f t="shared" si="6"/>
        <v>51741.951326800001</v>
      </c>
      <c r="Q17" s="1704"/>
      <c r="R17" s="1704">
        <f t="shared" si="7"/>
        <v>-9169.4597287999932</v>
      </c>
      <c r="S17" s="1753"/>
      <c r="T17" s="1708">
        <v>-9169.4597288000023</v>
      </c>
      <c r="U17" s="1753"/>
      <c r="V17" s="1708">
        <v>0</v>
      </c>
      <c r="W17" s="1753"/>
      <c r="X17" s="1704">
        <f t="shared" si="8"/>
        <v>9.0949470177292824E-12</v>
      </c>
      <c r="Y17" s="1707"/>
      <c r="Z17" s="1374" t="s">
        <v>262</v>
      </c>
      <c r="AA17" s="1705"/>
      <c r="AB17" s="1374" t="s">
        <v>23</v>
      </c>
      <c r="AC17" s="1705"/>
      <c r="AD17" s="1706">
        <v>0</v>
      </c>
      <c r="AE17" s="1705"/>
      <c r="AF17" s="1704">
        <f t="shared" si="9"/>
        <v>0</v>
      </c>
      <c r="AG17" s="985"/>
      <c r="AH17" s="1246">
        <v>190</v>
      </c>
      <c r="AI17" s="1246"/>
    </row>
    <row r="18" spans="2:35">
      <c r="B18" s="1246">
        <v>7</v>
      </c>
      <c r="C18" s="1365" t="s">
        <v>1851</v>
      </c>
      <c r="D18" s="1365" t="s">
        <v>1850</v>
      </c>
      <c r="E18" s="1365" t="s">
        <v>1472</v>
      </c>
      <c r="F18" s="1708">
        <v>0</v>
      </c>
      <c r="G18" s="1704">
        <f t="shared" si="0"/>
        <v>0</v>
      </c>
      <c r="H18" s="1708">
        <v>133331.42973</v>
      </c>
      <c r="I18" s="1704">
        <f t="shared" si="1"/>
        <v>-46666.000405499995</v>
      </c>
      <c r="J18" s="1704">
        <f t="shared" si="2"/>
        <v>86665.429324500001</v>
      </c>
      <c r="K18" s="1753"/>
      <c r="L18" s="1708">
        <f t="shared" si="3"/>
        <v>0</v>
      </c>
      <c r="M18" s="1704">
        <f t="shared" si="4"/>
        <v>0</v>
      </c>
      <c r="N18" s="1708">
        <v>133331.42973</v>
      </c>
      <c r="O18" s="1704">
        <f t="shared" si="5"/>
        <v>-27999.600243299999</v>
      </c>
      <c r="P18" s="1704">
        <f t="shared" si="6"/>
        <v>105331.82948670001</v>
      </c>
      <c r="Q18" s="1704"/>
      <c r="R18" s="1704">
        <f t="shared" si="7"/>
        <v>-18666.400162200007</v>
      </c>
      <c r="S18" s="1753"/>
      <c r="T18" s="1708">
        <v>-18666.400162200003</v>
      </c>
      <c r="U18" s="1753"/>
      <c r="V18" s="1708">
        <v>0</v>
      </c>
      <c r="W18" s="1753"/>
      <c r="X18" s="1704">
        <f t="shared" si="8"/>
        <v>-3.637978807091713E-12</v>
      </c>
      <c r="Y18" s="1707"/>
      <c r="Z18" s="1374" t="s">
        <v>262</v>
      </c>
      <c r="AA18" s="1705"/>
      <c r="AB18" s="1374" t="s">
        <v>23</v>
      </c>
      <c r="AC18" s="1705"/>
      <c r="AD18" s="1706">
        <v>0</v>
      </c>
      <c r="AE18" s="1705"/>
      <c r="AF18" s="1704">
        <v>0</v>
      </c>
      <c r="AG18" s="985"/>
      <c r="AH18" s="1246">
        <v>190</v>
      </c>
      <c r="AI18" s="1246"/>
    </row>
    <row r="19" spans="2:35">
      <c r="B19" s="1246">
        <v>8</v>
      </c>
      <c r="C19" s="1365" t="s">
        <v>1473</v>
      </c>
      <c r="D19" s="1365" t="s">
        <v>1849</v>
      </c>
      <c r="E19" s="1365" t="s">
        <v>1472</v>
      </c>
      <c r="F19" s="1708">
        <v>1766350.81</v>
      </c>
      <c r="G19" s="1704">
        <f t="shared" si="0"/>
        <v>618222.78350000002</v>
      </c>
      <c r="H19" s="1708">
        <v>150139.81885000001</v>
      </c>
      <c r="I19" s="1704">
        <f t="shared" si="1"/>
        <v>-52548.936597500004</v>
      </c>
      <c r="J19" s="1704">
        <f t="shared" si="2"/>
        <v>715813.66575250006</v>
      </c>
      <c r="K19" s="1753"/>
      <c r="L19" s="1708">
        <f t="shared" si="3"/>
        <v>1766350.81</v>
      </c>
      <c r="M19" s="1704">
        <f t="shared" si="4"/>
        <v>370933.67009999999</v>
      </c>
      <c r="N19" s="1708">
        <v>150139.81885000001</v>
      </c>
      <c r="O19" s="1704">
        <f t="shared" si="5"/>
        <v>-31529.361958500001</v>
      </c>
      <c r="P19" s="1704">
        <f t="shared" si="6"/>
        <v>489544.12699150003</v>
      </c>
      <c r="Q19" s="1704"/>
      <c r="R19" s="1704">
        <f t="shared" si="7"/>
        <v>226269.53876100003</v>
      </c>
      <c r="S19" s="1753"/>
      <c r="T19" s="1708">
        <v>0</v>
      </c>
      <c r="U19" s="1753"/>
      <c r="V19" s="1708">
        <v>0</v>
      </c>
      <c r="W19" s="1753"/>
      <c r="X19" s="1704">
        <f t="shared" si="8"/>
        <v>226269.53876100003</v>
      </c>
      <c r="Y19" s="1707"/>
      <c r="Z19" s="1374" t="s">
        <v>262</v>
      </c>
      <c r="AA19" s="1705"/>
      <c r="AB19" s="1374" t="s">
        <v>22</v>
      </c>
      <c r="AC19" s="1705"/>
      <c r="AD19" s="1706">
        <v>6.0801999999999995E-2</v>
      </c>
      <c r="AE19" s="1705"/>
      <c r="AF19" s="1704">
        <f t="shared" ref="AF19:AF50" si="10">X19*AD19</f>
        <v>13757.640495746324</v>
      </c>
      <c r="AG19" s="985"/>
      <c r="AH19" s="1246">
        <v>190</v>
      </c>
      <c r="AI19" s="1246"/>
    </row>
    <row r="20" spans="2:35">
      <c r="B20" s="1246">
        <v>9</v>
      </c>
      <c r="C20" s="1365" t="s">
        <v>1474</v>
      </c>
      <c r="D20" s="1365" t="s">
        <v>1849</v>
      </c>
      <c r="E20" s="1365" t="s">
        <v>1472</v>
      </c>
      <c r="F20" s="1708">
        <v>230355.28</v>
      </c>
      <c r="G20" s="1704">
        <f t="shared" si="0"/>
        <v>80624.347999999998</v>
      </c>
      <c r="H20" s="1708">
        <v>19580.198800000002</v>
      </c>
      <c r="I20" s="1704">
        <f t="shared" si="1"/>
        <v>-6853.0695800000003</v>
      </c>
      <c r="J20" s="1704">
        <f t="shared" si="2"/>
        <v>93351.477220000001</v>
      </c>
      <c r="K20" s="1753"/>
      <c r="L20" s="1708">
        <f t="shared" si="3"/>
        <v>230355.28</v>
      </c>
      <c r="M20" s="1704">
        <f t="shared" si="4"/>
        <v>48374.608799999995</v>
      </c>
      <c r="N20" s="1708">
        <v>19580.198800000002</v>
      </c>
      <c r="O20" s="1704">
        <f t="shared" si="5"/>
        <v>-4111.8417479999998</v>
      </c>
      <c r="P20" s="1704">
        <f t="shared" si="6"/>
        <v>63842.965852000001</v>
      </c>
      <c r="Q20" s="1704"/>
      <c r="R20" s="1704">
        <f t="shared" si="7"/>
        <v>29508.511367999999</v>
      </c>
      <c r="S20" s="1753"/>
      <c r="T20" s="1708">
        <v>0</v>
      </c>
      <c r="U20" s="1753"/>
      <c r="V20" s="1708">
        <v>0</v>
      </c>
      <c r="W20" s="1753"/>
      <c r="X20" s="1704">
        <f t="shared" si="8"/>
        <v>29508.511367999999</v>
      </c>
      <c r="Y20" s="1707"/>
      <c r="Z20" s="1374" t="s">
        <v>1486</v>
      </c>
      <c r="AA20" s="1705"/>
      <c r="AB20" s="1374" t="s">
        <v>22</v>
      </c>
      <c r="AC20" s="1705"/>
      <c r="AD20" s="1706">
        <v>0.31493199999999999</v>
      </c>
      <c r="AE20" s="1705"/>
      <c r="AF20" s="1704">
        <f t="shared" si="10"/>
        <v>9293.174502146976</v>
      </c>
      <c r="AG20" s="985"/>
      <c r="AH20" s="1246">
        <v>190</v>
      </c>
      <c r="AI20" s="1246"/>
    </row>
    <row r="21" spans="2:35">
      <c r="B21" s="1246">
        <v>10</v>
      </c>
      <c r="C21" s="1365" t="s">
        <v>1848</v>
      </c>
      <c r="D21" s="1365" t="s">
        <v>1847</v>
      </c>
      <c r="E21" s="1365" t="s">
        <v>1472</v>
      </c>
      <c r="F21" s="1708">
        <v>2744836</v>
      </c>
      <c r="G21" s="1704">
        <f t="shared" si="0"/>
        <v>960692.6</v>
      </c>
      <c r="H21" s="1708">
        <v>233311.06000000003</v>
      </c>
      <c r="I21" s="1704">
        <f t="shared" si="1"/>
        <v>-81658.870999999999</v>
      </c>
      <c r="J21" s="1704">
        <f t="shared" si="2"/>
        <v>1112344.7889999999</v>
      </c>
      <c r="K21" s="1753"/>
      <c r="L21" s="1708">
        <f t="shared" si="3"/>
        <v>2744836</v>
      </c>
      <c r="M21" s="1704">
        <f t="shared" si="4"/>
        <v>576415.55999999994</v>
      </c>
      <c r="N21" s="1708">
        <v>233311.06000000003</v>
      </c>
      <c r="O21" s="1704">
        <f t="shared" si="5"/>
        <v>-48995.322600000007</v>
      </c>
      <c r="P21" s="1704">
        <f t="shared" si="6"/>
        <v>760731.29740000004</v>
      </c>
      <c r="Q21" s="1704"/>
      <c r="R21" s="1704">
        <f t="shared" si="7"/>
        <v>351613.49159999983</v>
      </c>
      <c r="S21" s="1753"/>
      <c r="T21" s="1708">
        <v>351613.49160000001</v>
      </c>
      <c r="U21" s="1753"/>
      <c r="V21" s="1708">
        <v>0</v>
      </c>
      <c r="W21" s="1753"/>
      <c r="X21" s="1704">
        <f t="shared" si="8"/>
        <v>-1.7462298274040222E-10</v>
      </c>
      <c r="Y21" s="1707"/>
      <c r="Z21" s="1374" t="s">
        <v>1486</v>
      </c>
      <c r="AA21" s="1705"/>
      <c r="AB21" s="1374" t="s">
        <v>23</v>
      </c>
      <c r="AC21" s="1705"/>
      <c r="AD21" s="1706">
        <v>0</v>
      </c>
      <c r="AE21" s="1705"/>
      <c r="AF21" s="1704">
        <f t="shared" si="10"/>
        <v>0</v>
      </c>
      <c r="AG21" s="985"/>
      <c r="AH21" s="1246">
        <v>190</v>
      </c>
      <c r="AI21" s="1246"/>
    </row>
    <row r="22" spans="2:35">
      <c r="B22" s="1246">
        <v>11</v>
      </c>
      <c r="C22" s="1365" t="s">
        <v>1846</v>
      </c>
      <c r="D22" s="1365" t="s">
        <v>270</v>
      </c>
      <c r="E22" s="1365" t="s">
        <v>1472</v>
      </c>
      <c r="F22" s="1708">
        <v>708000</v>
      </c>
      <c r="G22" s="1704">
        <f t="shared" si="0"/>
        <v>247799.99999999997</v>
      </c>
      <c r="H22" s="1708">
        <v>60180.000000000007</v>
      </c>
      <c r="I22" s="1704">
        <f t="shared" si="1"/>
        <v>-21063</v>
      </c>
      <c r="J22" s="1704">
        <f t="shared" si="2"/>
        <v>286917</v>
      </c>
      <c r="K22" s="1753"/>
      <c r="L22" s="1708">
        <f t="shared" si="3"/>
        <v>708000</v>
      </c>
      <c r="M22" s="1704">
        <f t="shared" si="4"/>
        <v>148680</v>
      </c>
      <c r="N22" s="1708">
        <v>60180.000000000007</v>
      </c>
      <c r="O22" s="1704">
        <f t="shared" si="5"/>
        <v>-12637.800000000001</v>
      </c>
      <c r="P22" s="1704">
        <f t="shared" si="6"/>
        <v>196222.2</v>
      </c>
      <c r="Q22" s="1704"/>
      <c r="R22" s="1704">
        <f t="shared" si="7"/>
        <v>90694.799999999988</v>
      </c>
      <c r="S22" s="1753"/>
      <c r="T22" s="1708">
        <v>0</v>
      </c>
      <c r="U22" s="1753"/>
      <c r="V22" s="1708">
        <v>0</v>
      </c>
      <c r="W22" s="1753"/>
      <c r="X22" s="1704">
        <f t="shared" si="8"/>
        <v>90694.799999999988</v>
      </c>
      <c r="Y22" s="1707"/>
      <c r="Z22" s="1374" t="s">
        <v>1486</v>
      </c>
      <c r="AA22" s="1705"/>
      <c r="AB22" s="1374" t="s">
        <v>22</v>
      </c>
      <c r="AC22" s="1705"/>
      <c r="AD22" s="1706">
        <v>0.31493199999999999</v>
      </c>
      <c r="AE22" s="1705"/>
      <c r="AF22" s="1704">
        <f t="shared" si="10"/>
        <v>28562.694753599997</v>
      </c>
      <c r="AG22" s="985"/>
      <c r="AH22" s="1246">
        <v>190</v>
      </c>
      <c r="AI22" s="1246"/>
    </row>
    <row r="23" spans="2:35">
      <c r="B23" s="1246">
        <v>12</v>
      </c>
      <c r="C23" s="1365" t="s">
        <v>1845</v>
      </c>
      <c r="D23" s="1365" t="s">
        <v>270</v>
      </c>
      <c r="E23" s="1365" t="s">
        <v>1472</v>
      </c>
      <c r="F23" s="1708">
        <v>536932.43000000005</v>
      </c>
      <c r="G23" s="1704">
        <f t="shared" si="0"/>
        <v>187926.3505</v>
      </c>
      <c r="H23" s="1708">
        <v>45639.256550000006</v>
      </c>
      <c r="I23" s="1704">
        <f t="shared" si="1"/>
        <v>-15973.7397925</v>
      </c>
      <c r="J23" s="1704">
        <f t="shared" si="2"/>
        <v>217591.86725749998</v>
      </c>
      <c r="K23" s="1753"/>
      <c r="L23" s="1708">
        <f t="shared" si="3"/>
        <v>536932.43000000005</v>
      </c>
      <c r="M23" s="1704">
        <f t="shared" si="4"/>
        <v>112755.81030000001</v>
      </c>
      <c r="N23" s="1708">
        <v>45639.256550000006</v>
      </c>
      <c r="O23" s="1704">
        <f t="shared" si="5"/>
        <v>-9584.2438755000003</v>
      </c>
      <c r="P23" s="1704">
        <f t="shared" si="6"/>
        <v>148810.82297450001</v>
      </c>
      <c r="Q23" s="1704"/>
      <c r="R23" s="1704">
        <f t="shared" si="7"/>
        <v>68781.044282999967</v>
      </c>
      <c r="S23" s="1753"/>
      <c r="T23" s="1708">
        <v>0</v>
      </c>
      <c r="U23" s="1753"/>
      <c r="V23" s="1708">
        <v>0</v>
      </c>
      <c r="W23" s="1753"/>
      <c r="X23" s="1704">
        <f t="shared" si="8"/>
        <v>68781.044282999967</v>
      </c>
      <c r="Y23" s="1707"/>
      <c r="Z23" s="1374" t="s">
        <v>1486</v>
      </c>
      <c r="AA23" s="1705"/>
      <c r="AB23" s="1374" t="s">
        <v>23</v>
      </c>
      <c r="AC23" s="1705"/>
      <c r="AD23" s="1706">
        <v>0</v>
      </c>
      <c r="AE23" s="1705"/>
      <c r="AF23" s="1704">
        <f t="shared" si="10"/>
        <v>0</v>
      </c>
      <c r="AG23" s="985"/>
      <c r="AH23" s="1246">
        <v>190</v>
      </c>
      <c r="AI23" s="1246"/>
    </row>
    <row r="24" spans="2:35">
      <c r="B24" s="1246">
        <v>13</v>
      </c>
      <c r="C24" s="1365" t="s">
        <v>1844</v>
      </c>
      <c r="D24" s="1365" t="s">
        <v>270</v>
      </c>
      <c r="E24" s="1365" t="s">
        <v>1472</v>
      </c>
      <c r="F24" s="1708">
        <v>-708000</v>
      </c>
      <c r="G24" s="1704">
        <f t="shared" si="0"/>
        <v>-247799.99999999997</v>
      </c>
      <c r="H24" s="1708">
        <v>-60180.000000000007</v>
      </c>
      <c r="I24" s="1704">
        <f t="shared" si="1"/>
        <v>21063</v>
      </c>
      <c r="J24" s="1704">
        <f t="shared" si="2"/>
        <v>-286917</v>
      </c>
      <c r="K24" s="1753"/>
      <c r="L24" s="1708">
        <f t="shared" si="3"/>
        <v>-708000</v>
      </c>
      <c r="M24" s="1704">
        <f t="shared" si="4"/>
        <v>-148680</v>
      </c>
      <c r="N24" s="1708">
        <v>-60180.000000000007</v>
      </c>
      <c r="O24" s="1704">
        <f t="shared" si="5"/>
        <v>12637.800000000001</v>
      </c>
      <c r="P24" s="1704">
        <f t="shared" si="6"/>
        <v>-196222.2</v>
      </c>
      <c r="Q24" s="1704"/>
      <c r="R24" s="1704">
        <f t="shared" si="7"/>
        <v>-90694.799999999988</v>
      </c>
      <c r="S24" s="1753"/>
      <c r="T24" s="1708">
        <v>0</v>
      </c>
      <c r="U24" s="1753"/>
      <c r="V24" s="1708">
        <v>0</v>
      </c>
      <c r="W24" s="1753"/>
      <c r="X24" s="1704">
        <f t="shared" si="8"/>
        <v>-90694.799999999988</v>
      </c>
      <c r="Y24" s="1707"/>
      <c r="Z24" s="1374" t="s">
        <v>1486</v>
      </c>
      <c r="AA24" s="1705"/>
      <c r="AB24" s="1374" t="s">
        <v>22</v>
      </c>
      <c r="AC24" s="1705"/>
      <c r="AD24" s="1706">
        <v>0.31493199999999999</v>
      </c>
      <c r="AE24" s="1705"/>
      <c r="AF24" s="1704">
        <f t="shared" si="10"/>
        <v>-28562.694753599997</v>
      </c>
      <c r="AG24" s="985"/>
      <c r="AH24" s="1246">
        <v>190</v>
      </c>
      <c r="AI24" s="1246"/>
    </row>
    <row r="25" spans="2:35">
      <c r="B25" s="1246">
        <v>14</v>
      </c>
      <c r="C25" s="1365" t="s">
        <v>1843</v>
      </c>
      <c r="D25" s="1365" t="s">
        <v>270</v>
      </c>
      <c r="E25" s="1365" t="s">
        <v>1472</v>
      </c>
      <c r="F25" s="1708">
        <v>1306782.04</v>
      </c>
      <c r="G25" s="1704">
        <f t="shared" si="0"/>
        <v>457373.71399999998</v>
      </c>
      <c r="H25" s="1708">
        <v>111076.47340000002</v>
      </c>
      <c r="I25" s="1704">
        <f t="shared" si="1"/>
        <v>-38876.76569</v>
      </c>
      <c r="J25" s="1704">
        <f t="shared" si="2"/>
        <v>529573.42170999991</v>
      </c>
      <c r="K25" s="1753"/>
      <c r="L25" s="1708">
        <f t="shared" si="3"/>
        <v>1306782.04</v>
      </c>
      <c r="M25" s="1704">
        <f t="shared" si="4"/>
        <v>274424.22840000002</v>
      </c>
      <c r="N25" s="1708">
        <v>111076.47340000002</v>
      </c>
      <c r="O25" s="1704">
        <f t="shared" si="5"/>
        <v>-23326.059414000003</v>
      </c>
      <c r="P25" s="1704">
        <f t="shared" si="6"/>
        <v>362174.64238600002</v>
      </c>
      <c r="Q25" s="1704"/>
      <c r="R25" s="1704">
        <f t="shared" si="7"/>
        <v>167398.77932399989</v>
      </c>
      <c r="S25" s="1753"/>
      <c r="T25" s="1708">
        <v>0</v>
      </c>
      <c r="U25" s="1753"/>
      <c r="V25" s="1708">
        <v>0</v>
      </c>
      <c r="W25" s="1753"/>
      <c r="X25" s="1704">
        <f t="shared" si="8"/>
        <v>167398.77932399989</v>
      </c>
      <c r="Y25" s="1707"/>
      <c r="Z25" s="1374" t="s">
        <v>1486</v>
      </c>
      <c r="AA25" s="1705"/>
      <c r="AB25" s="1374" t="s">
        <v>22</v>
      </c>
      <c r="AC25" s="1705"/>
      <c r="AD25" s="1706">
        <v>0.31493199999999999</v>
      </c>
      <c r="AE25" s="1705"/>
      <c r="AF25" s="1704">
        <f t="shared" si="10"/>
        <v>52719.232370065933</v>
      </c>
      <c r="AG25" s="985"/>
      <c r="AH25" s="1246">
        <v>190</v>
      </c>
      <c r="AI25" s="1246"/>
    </row>
    <row r="26" spans="2:35">
      <c r="B26" s="1246">
        <v>15</v>
      </c>
      <c r="C26" s="1365" t="s">
        <v>1842</v>
      </c>
      <c r="D26" s="1365" t="s">
        <v>1837</v>
      </c>
      <c r="E26" s="1365" t="s">
        <v>1472</v>
      </c>
      <c r="F26" s="1708">
        <v>4808008</v>
      </c>
      <c r="G26" s="1704">
        <f t="shared" si="0"/>
        <v>1682802.7999999998</v>
      </c>
      <c r="H26" s="1708">
        <v>408680.68000000005</v>
      </c>
      <c r="I26" s="1704">
        <f t="shared" si="1"/>
        <v>-143038.23800000001</v>
      </c>
      <c r="J26" s="1704">
        <f t="shared" si="2"/>
        <v>1948445.2420000001</v>
      </c>
      <c r="K26" s="1753"/>
      <c r="L26" s="1708">
        <f t="shared" si="3"/>
        <v>4808008</v>
      </c>
      <c r="M26" s="1704">
        <f t="shared" si="4"/>
        <v>1009681.6799999999</v>
      </c>
      <c r="N26" s="1708">
        <v>408680.68000000005</v>
      </c>
      <c r="O26" s="1704">
        <f t="shared" si="5"/>
        <v>-85822.942800000004</v>
      </c>
      <c r="P26" s="1704">
        <f t="shared" si="6"/>
        <v>1332539.4171999998</v>
      </c>
      <c r="Q26" s="1704"/>
      <c r="R26" s="1704">
        <f t="shared" si="7"/>
        <v>615905.82480000029</v>
      </c>
      <c r="S26" s="1753"/>
      <c r="T26" s="1708">
        <v>615905.82480000006</v>
      </c>
      <c r="U26" s="1753"/>
      <c r="V26" s="1708">
        <v>0</v>
      </c>
      <c r="W26" s="1753"/>
      <c r="X26" s="1704">
        <f t="shared" si="8"/>
        <v>2.3283064365386963E-10</v>
      </c>
      <c r="Y26" s="1707"/>
      <c r="Z26" s="1374" t="s">
        <v>1486</v>
      </c>
      <c r="AA26" s="1705"/>
      <c r="AB26" s="1374" t="s">
        <v>23</v>
      </c>
      <c r="AC26" s="1705"/>
      <c r="AD26" s="1706">
        <v>0</v>
      </c>
      <c r="AE26" s="1705"/>
      <c r="AF26" s="1704">
        <f t="shared" si="10"/>
        <v>0</v>
      </c>
      <c r="AG26" s="985"/>
      <c r="AH26" s="1246">
        <v>190</v>
      </c>
      <c r="AI26" s="1246"/>
    </row>
    <row r="27" spans="2:35">
      <c r="B27" s="1246">
        <v>16</v>
      </c>
      <c r="C27" s="1365" t="s">
        <v>1841</v>
      </c>
      <c r="D27" s="1365" t="s">
        <v>1837</v>
      </c>
      <c r="E27" s="1365" t="s">
        <v>1472</v>
      </c>
      <c r="F27" s="1708">
        <v>1459149.89</v>
      </c>
      <c r="G27" s="1704">
        <f t="shared" si="0"/>
        <v>510702.46149999992</v>
      </c>
      <c r="H27" s="1708">
        <v>124027.74065000001</v>
      </c>
      <c r="I27" s="1704">
        <f t="shared" si="1"/>
        <v>-43409.709227500003</v>
      </c>
      <c r="J27" s="1704">
        <f t="shared" si="2"/>
        <v>591320.49292249989</v>
      </c>
      <c r="K27" s="1753"/>
      <c r="L27" s="1708">
        <f t="shared" si="3"/>
        <v>1459149.89</v>
      </c>
      <c r="M27" s="1704">
        <f t="shared" si="4"/>
        <v>306421.47689999995</v>
      </c>
      <c r="N27" s="1708">
        <v>124027.74065000001</v>
      </c>
      <c r="O27" s="1704">
        <f t="shared" si="5"/>
        <v>-26045.8255365</v>
      </c>
      <c r="P27" s="1704">
        <f t="shared" si="6"/>
        <v>404403.39201349992</v>
      </c>
      <c r="Q27" s="1704"/>
      <c r="R27" s="1704">
        <f t="shared" si="7"/>
        <v>186917.10090899997</v>
      </c>
      <c r="S27" s="1753"/>
      <c r="T27" s="1708">
        <v>186917.100909</v>
      </c>
      <c r="U27" s="1753"/>
      <c r="V27" s="1708">
        <v>0</v>
      </c>
      <c r="W27" s="1753"/>
      <c r="X27" s="1704">
        <f t="shared" si="8"/>
        <v>-2.9103830456733704E-11</v>
      </c>
      <c r="Y27" s="1707"/>
      <c r="Z27" s="1374" t="s">
        <v>1486</v>
      </c>
      <c r="AA27" s="1705"/>
      <c r="AB27" s="1374" t="s">
        <v>23</v>
      </c>
      <c r="AC27" s="1705"/>
      <c r="AD27" s="1706">
        <v>0</v>
      </c>
      <c r="AE27" s="1705"/>
      <c r="AF27" s="1704">
        <f t="shared" si="10"/>
        <v>0</v>
      </c>
      <c r="AG27" s="985"/>
      <c r="AH27" s="1246">
        <v>190</v>
      </c>
      <c r="AI27" s="1246"/>
    </row>
    <row r="28" spans="2:35">
      <c r="B28" s="1246">
        <v>17</v>
      </c>
      <c r="C28" s="1365" t="s">
        <v>1840</v>
      </c>
      <c r="D28" s="1365" t="s">
        <v>1837</v>
      </c>
      <c r="E28" s="1365" t="s">
        <v>1472</v>
      </c>
      <c r="F28" s="1708">
        <v>-1359144</v>
      </c>
      <c r="G28" s="1704">
        <f t="shared" si="0"/>
        <v>-475700.39999999997</v>
      </c>
      <c r="H28" s="1708">
        <v>-115527.24</v>
      </c>
      <c r="I28" s="1704">
        <f t="shared" si="1"/>
        <v>40434.534</v>
      </c>
      <c r="J28" s="1704">
        <f t="shared" si="2"/>
        <v>-550793.10600000003</v>
      </c>
      <c r="K28" s="1753"/>
      <c r="L28" s="1708">
        <f t="shared" si="3"/>
        <v>-1359144</v>
      </c>
      <c r="M28" s="1704">
        <f t="shared" si="4"/>
        <v>-285420.24</v>
      </c>
      <c r="N28" s="1708">
        <v>-115527.24</v>
      </c>
      <c r="O28" s="1704">
        <f t="shared" si="5"/>
        <v>24260.720400000002</v>
      </c>
      <c r="P28" s="1704">
        <f t="shared" si="6"/>
        <v>-376686.75959999999</v>
      </c>
      <c r="Q28" s="1704"/>
      <c r="R28" s="1704">
        <f t="shared" si="7"/>
        <v>-174106.34640000004</v>
      </c>
      <c r="S28" s="1753"/>
      <c r="T28" s="1708">
        <v>-174106.34640000001</v>
      </c>
      <c r="U28" s="1753"/>
      <c r="V28" s="1708">
        <v>0</v>
      </c>
      <c r="W28" s="1753"/>
      <c r="X28" s="1704">
        <f t="shared" si="8"/>
        <v>-2.9103830456733704E-11</v>
      </c>
      <c r="Y28" s="1707"/>
      <c r="Z28" s="1374" t="s">
        <v>1486</v>
      </c>
      <c r="AA28" s="1705"/>
      <c r="AB28" s="1374" t="s">
        <v>23</v>
      </c>
      <c r="AC28" s="1705"/>
      <c r="AD28" s="1706">
        <v>0</v>
      </c>
      <c r="AE28" s="1705"/>
      <c r="AF28" s="1704">
        <f t="shared" si="10"/>
        <v>0</v>
      </c>
      <c r="AG28" s="985"/>
      <c r="AH28" s="1246">
        <v>190</v>
      </c>
      <c r="AI28" s="1246"/>
    </row>
    <row r="29" spans="2:35">
      <c r="B29" s="1246">
        <v>18</v>
      </c>
      <c r="C29" s="1365" t="s">
        <v>1839</v>
      </c>
      <c r="D29" s="1365" t="s">
        <v>1837</v>
      </c>
      <c r="E29" s="1365" t="s">
        <v>1472</v>
      </c>
      <c r="F29" s="1708">
        <v>-4808008</v>
      </c>
      <c r="G29" s="1704">
        <f t="shared" si="0"/>
        <v>-1682802.7999999998</v>
      </c>
      <c r="H29" s="1708">
        <v>-408680.68000000005</v>
      </c>
      <c r="I29" s="1704">
        <f t="shared" si="1"/>
        <v>143038.23800000001</v>
      </c>
      <c r="J29" s="1704">
        <f t="shared" si="2"/>
        <v>-1948445.2420000001</v>
      </c>
      <c r="K29" s="1753"/>
      <c r="L29" s="1708">
        <f t="shared" si="3"/>
        <v>-4808008</v>
      </c>
      <c r="M29" s="1704">
        <f t="shared" si="4"/>
        <v>-1009681.6799999999</v>
      </c>
      <c r="N29" s="1708">
        <v>-408680.68000000005</v>
      </c>
      <c r="O29" s="1704">
        <f t="shared" si="5"/>
        <v>85822.942800000004</v>
      </c>
      <c r="P29" s="1704">
        <f t="shared" si="6"/>
        <v>-1332539.4171999998</v>
      </c>
      <c r="Q29" s="1704"/>
      <c r="R29" s="1704">
        <f t="shared" si="7"/>
        <v>-615905.82480000029</v>
      </c>
      <c r="S29" s="1753"/>
      <c r="T29" s="1708">
        <v>-615905.82480000006</v>
      </c>
      <c r="U29" s="1753"/>
      <c r="V29" s="1708">
        <v>0</v>
      </c>
      <c r="W29" s="1753"/>
      <c r="X29" s="1704">
        <f t="shared" si="8"/>
        <v>-2.3283064365386963E-10</v>
      </c>
      <c r="Y29" s="1707"/>
      <c r="Z29" s="1374" t="s">
        <v>1486</v>
      </c>
      <c r="AA29" s="1705"/>
      <c r="AB29" s="1374" t="s">
        <v>23</v>
      </c>
      <c r="AC29" s="1705"/>
      <c r="AD29" s="1706">
        <v>0</v>
      </c>
      <c r="AE29" s="1705"/>
      <c r="AF29" s="1704">
        <f t="shared" si="10"/>
        <v>0</v>
      </c>
      <c r="AG29" s="985"/>
      <c r="AH29" s="1246">
        <v>190</v>
      </c>
      <c r="AI29" s="1246"/>
    </row>
    <row r="30" spans="2:35">
      <c r="B30" s="1246">
        <v>19</v>
      </c>
      <c r="C30" s="1365" t="s">
        <v>1838</v>
      </c>
      <c r="D30" s="1365" t="s">
        <v>1837</v>
      </c>
      <c r="E30" s="1365" t="s">
        <v>1472</v>
      </c>
      <c r="F30" s="1708">
        <v>7685079.3799999999</v>
      </c>
      <c r="G30" s="1704">
        <f t="shared" si="0"/>
        <v>2689777.7829999998</v>
      </c>
      <c r="H30" s="1708">
        <v>653231.74730000005</v>
      </c>
      <c r="I30" s="1704">
        <f t="shared" si="1"/>
        <v>-228631.11155500001</v>
      </c>
      <c r="J30" s="1704">
        <f t="shared" si="2"/>
        <v>3114378.4187449999</v>
      </c>
      <c r="K30" s="1753"/>
      <c r="L30" s="1708">
        <f t="shared" si="3"/>
        <v>7685079.3799999999</v>
      </c>
      <c r="M30" s="1704">
        <f t="shared" si="4"/>
        <v>1613866.6698</v>
      </c>
      <c r="N30" s="1708">
        <v>653231.74730000005</v>
      </c>
      <c r="O30" s="1704">
        <f t="shared" si="5"/>
        <v>-137178.666933</v>
      </c>
      <c r="P30" s="1704">
        <f t="shared" si="6"/>
        <v>2129919.7501670001</v>
      </c>
      <c r="Q30" s="1704"/>
      <c r="R30" s="1704">
        <f t="shared" si="7"/>
        <v>984458.66857799981</v>
      </c>
      <c r="S30" s="1753"/>
      <c r="T30" s="1708">
        <v>984458.66857800004</v>
      </c>
      <c r="U30" s="1753"/>
      <c r="V30" s="1708">
        <v>0</v>
      </c>
      <c r="W30" s="1753"/>
      <c r="X30" s="1704">
        <f t="shared" si="8"/>
        <v>-2.3283064365386963E-10</v>
      </c>
      <c r="Y30" s="1707"/>
      <c r="Z30" s="1374" t="s">
        <v>1486</v>
      </c>
      <c r="AA30" s="1705"/>
      <c r="AB30" s="1374" t="s">
        <v>23</v>
      </c>
      <c r="AC30" s="1705"/>
      <c r="AD30" s="1706">
        <v>0</v>
      </c>
      <c r="AE30" s="1705"/>
      <c r="AF30" s="1704">
        <f t="shared" si="10"/>
        <v>0</v>
      </c>
      <c r="AG30" s="985"/>
      <c r="AH30" s="1246">
        <v>190</v>
      </c>
      <c r="AI30" s="1246"/>
    </row>
    <row r="31" spans="2:35">
      <c r="B31" s="1246">
        <v>20</v>
      </c>
      <c r="C31" s="1365" t="s">
        <v>1484</v>
      </c>
      <c r="D31" s="1365" t="s">
        <v>1836</v>
      </c>
      <c r="E31" s="1365" t="s">
        <v>1472</v>
      </c>
      <c r="F31" s="1708">
        <v>14820536.34</v>
      </c>
      <c r="G31" s="1704">
        <f t="shared" si="0"/>
        <v>5187187.7189999996</v>
      </c>
      <c r="H31" s="1708">
        <v>1259745.5889000001</v>
      </c>
      <c r="I31" s="1704">
        <f t="shared" si="1"/>
        <v>-440910.95611500001</v>
      </c>
      <c r="J31" s="1704">
        <f t="shared" si="2"/>
        <v>6006022.3517849995</v>
      </c>
      <c r="K31" s="1753"/>
      <c r="L31" s="1708">
        <f t="shared" si="3"/>
        <v>14820536.34</v>
      </c>
      <c r="M31" s="1704">
        <f t="shared" si="4"/>
        <v>3112312.6313999998</v>
      </c>
      <c r="N31" s="1708">
        <v>1259745.5889000001</v>
      </c>
      <c r="O31" s="1704">
        <f t="shared" si="5"/>
        <v>-264546.573669</v>
      </c>
      <c r="P31" s="1704">
        <f t="shared" si="6"/>
        <v>4107511.6466310001</v>
      </c>
      <c r="Q31" s="1704"/>
      <c r="R31" s="1704">
        <f t="shared" si="7"/>
        <v>1898510.7051539994</v>
      </c>
      <c r="S31" s="1753"/>
      <c r="T31" s="1708">
        <v>0</v>
      </c>
      <c r="U31" s="1753"/>
      <c r="V31" s="1708">
        <v>0</v>
      </c>
      <c r="W31" s="1753"/>
      <c r="X31" s="1704">
        <f t="shared" si="8"/>
        <v>1898510.7051539994</v>
      </c>
      <c r="Y31" s="1707"/>
      <c r="Z31" s="1374" t="s">
        <v>262</v>
      </c>
      <c r="AA31" s="1705"/>
      <c r="AB31" s="1374" t="s">
        <v>22</v>
      </c>
      <c r="AC31" s="1705"/>
      <c r="AD31" s="1706">
        <v>6.0801999999999995E-2</v>
      </c>
      <c r="AE31" s="1705"/>
      <c r="AF31" s="1704">
        <f t="shared" si="10"/>
        <v>115433.24789477346</v>
      </c>
      <c r="AG31" s="985"/>
      <c r="AH31" s="1246">
        <v>190</v>
      </c>
      <c r="AI31" s="1246"/>
    </row>
    <row r="32" spans="2:35">
      <c r="B32" s="1246">
        <v>21</v>
      </c>
      <c r="C32" s="1365" t="s">
        <v>1835</v>
      </c>
      <c r="D32" s="1365" t="s">
        <v>1828</v>
      </c>
      <c r="E32" s="1365" t="s">
        <v>1472</v>
      </c>
      <c r="F32" s="1708">
        <v>-0.34000000008381903</v>
      </c>
      <c r="G32" s="1704">
        <f t="shared" si="0"/>
        <v>-0.11900000002933665</v>
      </c>
      <c r="H32" s="1708">
        <v>-2.8900000007124619E-2</v>
      </c>
      <c r="I32" s="1704">
        <f t="shared" si="1"/>
        <v>1.0115000002493615E-2</v>
      </c>
      <c r="J32" s="1704">
        <f t="shared" si="2"/>
        <v>-0.13778500003396765</v>
      </c>
      <c r="K32" s="1753"/>
      <c r="L32" s="1708">
        <f t="shared" si="3"/>
        <v>-0.34000000008381903</v>
      </c>
      <c r="M32" s="1704">
        <f t="shared" si="4"/>
        <v>-7.1400000017601994E-2</v>
      </c>
      <c r="N32" s="1708">
        <v>-2.8900000007124619E-2</v>
      </c>
      <c r="O32" s="1704">
        <f t="shared" si="5"/>
        <v>6.0690000014961701E-3</v>
      </c>
      <c r="P32" s="1704">
        <f t="shared" si="6"/>
        <v>-9.4231000023230441E-2</v>
      </c>
      <c r="Q32" s="1704"/>
      <c r="R32" s="1704">
        <f t="shared" si="7"/>
        <v>-4.3554000010737212E-2</v>
      </c>
      <c r="S32" s="1753"/>
      <c r="T32" s="1708">
        <v>0</v>
      </c>
      <c r="U32" s="1753"/>
      <c r="V32" s="1708">
        <v>0</v>
      </c>
      <c r="W32" s="1753"/>
      <c r="X32" s="1704">
        <f t="shared" si="8"/>
        <v>-4.3554000010737212E-2</v>
      </c>
      <c r="Y32" s="1707"/>
      <c r="Z32" s="1374" t="s">
        <v>1486</v>
      </c>
      <c r="AA32" s="1705"/>
      <c r="AB32" s="1374" t="s">
        <v>22</v>
      </c>
      <c r="AC32" s="1705"/>
      <c r="AD32" s="1706">
        <v>0.31493199999999999</v>
      </c>
      <c r="AE32" s="1705"/>
      <c r="AF32" s="1704">
        <f t="shared" si="10"/>
        <v>-1.3716548331381492E-2</v>
      </c>
      <c r="AG32" s="985"/>
      <c r="AH32" s="1246">
        <v>190</v>
      </c>
      <c r="AI32" s="1246"/>
    </row>
    <row r="33" spans="2:35">
      <c r="B33" s="1246">
        <v>22</v>
      </c>
      <c r="C33" s="1365" t="s">
        <v>1792</v>
      </c>
      <c r="D33" s="1365" t="s">
        <v>1828</v>
      </c>
      <c r="E33" s="1365" t="s">
        <v>1472</v>
      </c>
      <c r="F33" s="1708">
        <v>7104.89</v>
      </c>
      <c r="G33" s="1704">
        <f t="shared" si="0"/>
        <v>2486.7114999999999</v>
      </c>
      <c r="H33" s="1708">
        <v>603.91565000000003</v>
      </c>
      <c r="I33" s="1704">
        <f t="shared" si="1"/>
        <v>-211.37047749999999</v>
      </c>
      <c r="J33" s="1704">
        <f t="shared" si="2"/>
        <v>2879.2566724999997</v>
      </c>
      <c r="K33" s="1753"/>
      <c r="L33" s="1708">
        <f t="shared" si="3"/>
        <v>7104.89</v>
      </c>
      <c r="M33" s="1704">
        <f t="shared" si="4"/>
        <v>1492.0269000000001</v>
      </c>
      <c r="N33" s="1708">
        <v>603.91565000000003</v>
      </c>
      <c r="O33" s="1704">
        <f t="shared" si="5"/>
        <v>-126.8222865</v>
      </c>
      <c r="P33" s="1704">
        <f t="shared" si="6"/>
        <v>1969.1202635000002</v>
      </c>
      <c r="Q33" s="1704"/>
      <c r="R33" s="1704">
        <f t="shared" si="7"/>
        <v>910.1364089999995</v>
      </c>
      <c r="S33" s="1753"/>
      <c r="T33" s="1708">
        <v>0</v>
      </c>
      <c r="U33" s="1753"/>
      <c r="V33" s="1708">
        <v>0</v>
      </c>
      <c r="W33" s="1753"/>
      <c r="X33" s="1704">
        <f t="shared" si="8"/>
        <v>910.1364089999995</v>
      </c>
      <c r="Y33" s="1707"/>
      <c r="Z33" s="1374" t="s">
        <v>1482</v>
      </c>
      <c r="AA33" s="1705"/>
      <c r="AB33" s="1374" t="s">
        <v>23</v>
      </c>
      <c r="AC33" s="1705"/>
      <c r="AD33" s="1706">
        <v>0</v>
      </c>
      <c r="AE33" s="1705"/>
      <c r="AF33" s="1704">
        <f t="shared" si="10"/>
        <v>0</v>
      </c>
      <c r="AG33" s="985"/>
      <c r="AH33" s="1246">
        <v>190</v>
      </c>
      <c r="AI33" s="1246"/>
    </row>
    <row r="34" spans="2:35">
      <c r="B34" s="1246">
        <v>23</v>
      </c>
      <c r="C34" s="1365" t="s">
        <v>1834</v>
      </c>
      <c r="D34" s="1365" t="s">
        <v>1828</v>
      </c>
      <c r="E34" s="1365" t="s">
        <v>1472</v>
      </c>
      <c r="F34" s="1708">
        <v>1359144</v>
      </c>
      <c r="G34" s="1704">
        <f t="shared" si="0"/>
        <v>475700.39999999997</v>
      </c>
      <c r="H34" s="1708">
        <v>115527.24</v>
      </c>
      <c r="I34" s="1704">
        <f t="shared" si="1"/>
        <v>-40434.534</v>
      </c>
      <c r="J34" s="1704">
        <f t="shared" si="2"/>
        <v>550793.10600000003</v>
      </c>
      <c r="K34" s="1753"/>
      <c r="L34" s="1708">
        <f t="shared" si="3"/>
        <v>1359144</v>
      </c>
      <c r="M34" s="1704">
        <f t="shared" si="4"/>
        <v>285420.24</v>
      </c>
      <c r="N34" s="1708">
        <v>115527.24</v>
      </c>
      <c r="O34" s="1704">
        <f t="shared" si="5"/>
        <v>-24260.720400000002</v>
      </c>
      <c r="P34" s="1704">
        <f t="shared" si="6"/>
        <v>376686.75959999999</v>
      </c>
      <c r="Q34" s="1704"/>
      <c r="R34" s="1704">
        <f t="shared" si="7"/>
        <v>174106.34640000004</v>
      </c>
      <c r="S34" s="1753"/>
      <c r="T34" s="1708">
        <v>0</v>
      </c>
      <c r="U34" s="1753"/>
      <c r="V34" s="1708">
        <v>0</v>
      </c>
      <c r="W34" s="1753"/>
      <c r="X34" s="1704">
        <f t="shared" si="8"/>
        <v>174106.34640000004</v>
      </c>
      <c r="Y34" s="1707"/>
      <c r="Z34" s="1374" t="s">
        <v>1486</v>
      </c>
      <c r="AA34" s="1705"/>
      <c r="AB34" s="1374" t="s">
        <v>22</v>
      </c>
      <c r="AC34" s="1705"/>
      <c r="AD34" s="1754">
        <v>0.36620000000000003</v>
      </c>
      <c r="AE34" s="1705"/>
      <c r="AF34" s="1704">
        <f t="shared" si="10"/>
        <v>63757.74405168002</v>
      </c>
      <c r="AG34" s="985"/>
      <c r="AH34" s="1246">
        <v>190</v>
      </c>
      <c r="AI34" s="1246"/>
    </row>
    <row r="35" spans="2:35">
      <c r="B35" s="1246">
        <v>24</v>
      </c>
      <c r="C35" s="1365" t="s">
        <v>1833</v>
      </c>
      <c r="D35" s="1365" t="s">
        <v>1828</v>
      </c>
      <c r="E35" s="1365" t="s">
        <v>1472</v>
      </c>
      <c r="F35" s="1708">
        <v>2834390.52</v>
      </c>
      <c r="G35" s="1704">
        <f t="shared" si="0"/>
        <v>992036.68199999991</v>
      </c>
      <c r="H35" s="1708">
        <v>240923.19420000003</v>
      </c>
      <c r="I35" s="1704">
        <f t="shared" si="1"/>
        <v>-84323.117970000007</v>
      </c>
      <c r="J35" s="1704">
        <f t="shared" si="2"/>
        <v>1148636.7582299998</v>
      </c>
      <c r="K35" s="1753"/>
      <c r="L35" s="1708">
        <f t="shared" si="3"/>
        <v>2834390.52</v>
      </c>
      <c r="M35" s="1704">
        <f t="shared" si="4"/>
        <v>595222.00919999997</v>
      </c>
      <c r="N35" s="1708">
        <v>240923.19420000003</v>
      </c>
      <c r="O35" s="1704">
        <f t="shared" si="5"/>
        <v>-50593.870782000005</v>
      </c>
      <c r="P35" s="1704">
        <f t="shared" si="6"/>
        <v>785551.33261799999</v>
      </c>
      <c r="Q35" s="1704"/>
      <c r="R35" s="1704">
        <f t="shared" si="7"/>
        <v>363085.42561199982</v>
      </c>
      <c r="S35" s="1753"/>
      <c r="T35" s="1708">
        <v>0</v>
      </c>
      <c r="U35" s="1753"/>
      <c r="V35" s="1708">
        <v>0</v>
      </c>
      <c r="W35" s="1753"/>
      <c r="X35" s="1704">
        <f t="shared" si="8"/>
        <v>363085.42561199982</v>
      </c>
      <c r="Y35" s="1707"/>
      <c r="Z35" s="1374" t="s">
        <v>1486</v>
      </c>
      <c r="AA35" s="1705"/>
      <c r="AB35" s="1374" t="s">
        <v>22</v>
      </c>
      <c r="AC35" s="1705"/>
      <c r="AD35" s="1754">
        <v>0.36620000000000003</v>
      </c>
      <c r="AE35" s="1705"/>
      <c r="AF35" s="1704">
        <f t="shared" si="10"/>
        <v>132961.88285911435</v>
      </c>
      <c r="AG35" s="985"/>
      <c r="AH35" s="1246">
        <v>190</v>
      </c>
      <c r="AI35" s="1246"/>
    </row>
    <row r="36" spans="2:35">
      <c r="B36" s="1246">
        <v>25</v>
      </c>
      <c r="C36" s="1365" t="s">
        <v>1832</v>
      </c>
      <c r="D36" s="1365" t="s">
        <v>1828</v>
      </c>
      <c r="E36" s="1365" t="s">
        <v>1472</v>
      </c>
      <c r="F36" s="1708">
        <v>836174.79</v>
      </c>
      <c r="G36" s="1704">
        <f t="shared" si="0"/>
        <v>292661.1765</v>
      </c>
      <c r="H36" s="1708">
        <v>71074.857150000011</v>
      </c>
      <c r="I36" s="1704">
        <f t="shared" si="1"/>
        <v>-24876.200002500002</v>
      </c>
      <c r="J36" s="1704">
        <f t="shared" si="2"/>
        <v>338859.83364750003</v>
      </c>
      <c r="K36" s="1753"/>
      <c r="L36" s="1708">
        <f t="shared" si="3"/>
        <v>836174.79</v>
      </c>
      <c r="M36" s="1704">
        <f t="shared" si="4"/>
        <v>175596.7059</v>
      </c>
      <c r="N36" s="1708">
        <v>71074.857150000011</v>
      </c>
      <c r="O36" s="1704">
        <f t="shared" si="5"/>
        <v>-14925.720001500002</v>
      </c>
      <c r="P36" s="1704">
        <f t="shared" si="6"/>
        <v>231745.84304849998</v>
      </c>
      <c r="Q36" s="1704"/>
      <c r="R36" s="1704">
        <f t="shared" si="7"/>
        <v>107113.99059900004</v>
      </c>
      <c r="S36" s="1753"/>
      <c r="T36" s="1708">
        <v>0</v>
      </c>
      <c r="U36" s="1753"/>
      <c r="V36" s="1708">
        <v>0</v>
      </c>
      <c r="W36" s="1753"/>
      <c r="X36" s="1704">
        <f t="shared" si="8"/>
        <v>107113.99059900004</v>
      </c>
      <c r="Y36" s="1707"/>
      <c r="Z36" s="1374" t="s">
        <v>1486</v>
      </c>
      <c r="AA36" s="1705"/>
      <c r="AB36" s="1374" t="s">
        <v>22</v>
      </c>
      <c r="AC36" s="1705"/>
      <c r="AD36" s="1754">
        <v>0.36620000000000003</v>
      </c>
      <c r="AE36" s="1705"/>
      <c r="AF36" s="1704">
        <f t="shared" si="10"/>
        <v>39225.143357353816</v>
      </c>
      <c r="AG36" s="985"/>
      <c r="AH36" s="1246">
        <v>190</v>
      </c>
      <c r="AI36" s="1246"/>
    </row>
    <row r="37" spans="2:35">
      <c r="B37" s="1246">
        <v>26</v>
      </c>
      <c r="C37" s="1365" t="s">
        <v>1831</v>
      </c>
      <c r="D37" s="1365" t="s">
        <v>1828</v>
      </c>
      <c r="E37" s="1365" t="s">
        <v>1472</v>
      </c>
      <c r="F37" s="1708">
        <v>230640.52</v>
      </c>
      <c r="G37" s="1704">
        <f t="shared" si="0"/>
        <v>80724.181999999986</v>
      </c>
      <c r="H37" s="1708">
        <v>19604.444200000002</v>
      </c>
      <c r="I37" s="1704">
        <f t="shared" si="1"/>
        <v>-6861.5554700000002</v>
      </c>
      <c r="J37" s="1704">
        <f t="shared" si="2"/>
        <v>93467.070729999978</v>
      </c>
      <c r="K37" s="1753"/>
      <c r="L37" s="1708">
        <f t="shared" si="3"/>
        <v>230640.52</v>
      </c>
      <c r="M37" s="1704">
        <f t="shared" si="4"/>
        <v>48434.509199999993</v>
      </c>
      <c r="N37" s="1708">
        <v>19604.444200000002</v>
      </c>
      <c r="O37" s="1704">
        <f t="shared" si="5"/>
        <v>-4116.933282</v>
      </c>
      <c r="P37" s="1704">
        <f t="shared" si="6"/>
        <v>63922.020118</v>
      </c>
      <c r="Q37" s="1704"/>
      <c r="R37" s="1704">
        <f t="shared" si="7"/>
        <v>29545.050611999977</v>
      </c>
      <c r="S37" s="1753"/>
      <c r="T37" s="1708">
        <v>0</v>
      </c>
      <c r="U37" s="1753"/>
      <c r="V37" s="1708">
        <v>0</v>
      </c>
      <c r="W37" s="1753"/>
      <c r="X37" s="1704">
        <f t="shared" si="8"/>
        <v>29545.050611999977</v>
      </c>
      <c r="Y37" s="1707"/>
      <c r="Z37" s="1374" t="s">
        <v>1482</v>
      </c>
      <c r="AA37" s="1705"/>
      <c r="AB37" s="1374" t="s">
        <v>23</v>
      </c>
      <c r="AC37" s="1705"/>
      <c r="AD37" s="1706">
        <v>0</v>
      </c>
      <c r="AE37" s="1705"/>
      <c r="AF37" s="1704">
        <f t="shared" si="10"/>
        <v>0</v>
      </c>
      <c r="AG37" s="985"/>
      <c r="AH37" s="1246">
        <v>190</v>
      </c>
      <c r="AI37" s="1246"/>
    </row>
    <row r="38" spans="2:35">
      <c r="B38" s="1246">
        <v>27</v>
      </c>
      <c r="C38" s="1365" t="s">
        <v>1830</v>
      </c>
      <c r="D38" s="1365" t="s">
        <v>1828</v>
      </c>
      <c r="E38" s="1365" t="s">
        <v>1472</v>
      </c>
      <c r="F38" s="1708">
        <v>-495791.52</v>
      </c>
      <c r="G38" s="1704">
        <f t="shared" si="0"/>
        <v>-173527.03200000001</v>
      </c>
      <c r="H38" s="1708">
        <v>-42142.279200000004</v>
      </c>
      <c r="I38" s="1704">
        <f t="shared" si="1"/>
        <v>14749.79772</v>
      </c>
      <c r="J38" s="1704">
        <f t="shared" si="2"/>
        <v>-200919.51347999999</v>
      </c>
      <c r="K38" s="1753"/>
      <c r="L38" s="1708">
        <f t="shared" si="3"/>
        <v>-495791.52</v>
      </c>
      <c r="M38" s="1704">
        <f t="shared" si="4"/>
        <v>-104116.21920000001</v>
      </c>
      <c r="N38" s="1708">
        <v>-42142.279200000004</v>
      </c>
      <c r="O38" s="1704">
        <f t="shared" si="5"/>
        <v>8849.8786319999999</v>
      </c>
      <c r="P38" s="1704">
        <f t="shared" si="6"/>
        <v>-137408.619768</v>
      </c>
      <c r="Q38" s="1704"/>
      <c r="R38" s="1704">
        <f t="shared" si="7"/>
        <v>-63510.89371199999</v>
      </c>
      <c r="S38" s="1753"/>
      <c r="T38" s="1708">
        <v>0</v>
      </c>
      <c r="U38" s="1753"/>
      <c r="V38" s="1708">
        <v>0</v>
      </c>
      <c r="W38" s="1753"/>
      <c r="X38" s="1704">
        <f t="shared" si="8"/>
        <v>-63510.89371199999</v>
      </c>
      <c r="Y38" s="1707"/>
      <c r="Z38" s="1374" t="s">
        <v>262</v>
      </c>
      <c r="AA38" s="1705"/>
      <c r="AB38" s="1374" t="s">
        <v>22</v>
      </c>
      <c r="AC38" s="1705"/>
      <c r="AD38" s="1706">
        <v>6.0801999999999995E-2</v>
      </c>
      <c r="AE38" s="1705"/>
      <c r="AF38" s="1704">
        <f t="shared" si="10"/>
        <v>-3861.5893594770232</v>
      </c>
      <c r="AG38" s="985"/>
      <c r="AH38" s="1246">
        <v>190</v>
      </c>
      <c r="AI38" s="1246"/>
    </row>
    <row r="39" spans="2:35">
      <c r="B39" s="1246">
        <v>28</v>
      </c>
      <c r="C39" s="1365" t="s">
        <v>1829</v>
      </c>
      <c r="D39" s="1365" t="s">
        <v>1828</v>
      </c>
      <c r="E39" s="1365" t="s">
        <v>1472</v>
      </c>
      <c r="F39" s="1708">
        <v>2412767.84</v>
      </c>
      <c r="G39" s="1704">
        <f t="shared" si="0"/>
        <v>844468.74399999995</v>
      </c>
      <c r="H39" s="1708">
        <v>205085.26639999999</v>
      </c>
      <c r="I39" s="1704">
        <f t="shared" si="1"/>
        <v>-71779.843239999987</v>
      </c>
      <c r="J39" s="1704">
        <f t="shared" si="2"/>
        <v>977774.16716000007</v>
      </c>
      <c r="K39" s="1753"/>
      <c r="L39" s="1708">
        <f t="shared" si="3"/>
        <v>2412767.84</v>
      </c>
      <c r="M39" s="1704">
        <f t="shared" si="4"/>
        <v>506681.24639999995</v>
      </c>
      <c r="N39" s="1708">
        <v>205085.26639999999</v>
      </c>
      <c r="O39" s="1704">
        <f t="shared" si="5"/>
        <v>-43067.905943999998</v>
      </c>
      <c r="P39" s="1704">
        <f t="shared" si="6"/>
        <v>668698.60685599991</v>
      </c>
      <c r="Q39" s="1704"/>
      <c r="R39" s="1704">
        <f t="shared" si="7"/>
        <v>309075.56030400016</v>
      </c>
      <c r="S39" s="1753"/>
      <c r="T39" s="1708">
        <v>0</v>
      </c>
      <c r="U39" s="1753"/>
      <c r="V39" s="1708">
        <v>0</v>
      </c>
      <c r="W39" s="1753"/>
      <c r="X39" s="1704">
        <f t="shared" si="8"/>
        <v>309075.56030400016</v>
      </c>
      <c r="Y39" s="1707"/>
      <c r="Z39" s="1374" t="s">
        <v>262</v>
      </c>
      <c r="AA39" s="1705"/>
      <c r="AB39" s="1374" t="s">
        <v>22</v>
      </c>
      <c r="AC39" s="1705"/>
      <c r="AD39" s="1706">
        <v>6.0801999999999995E-2</v>
      </c>
      <c r="AE39" s="1705"/>
      <c r="AF39" s="1704">
        <f t="shared" si="10"/>
        <v>18792.412217603814</v>
      </c>
      <c r="AG39" s="985"/>
      <c r="AH39" s="1246">
        <v>190</v>
      </c>
      <c r="AI39" s="1246"/>
    </row>
    <row r="40" spans="2:35">
      <c r="B40" s="1246">
        <v>29</v>
      </c>
      <c r="C40" s="1365" t="s">
        <v>1471</v>
      </c>
      <c r="D40" s="1365" t="s">
        <v>1816</v>
      </c>
      <c r="E40" s="1365" t="s">
        <v>1472</v>
      </c>
      <c r="F40" s="1708">
        <v>361399.45999999996</v>
      </c>
      <c r="G40" s="1704">
        <f t="shared" si="0"/>
        <v>126489.81099999997</v>
      </c>
      <c r="H40" s="1708">
        <v>30718.954099999999</v>
      </c>
      <c r="I40" s="1704">
        <f t="shared" si="1"/>
        <v>-10751.633935</v>
      </c>
      <c r="J40" s="1704">
        <f t="shared" si="2"/>
        <v>146457.13116499997</v>
      </c>
      <c r="K40" s="1753"/>
      <c r="L40" s="1708">
        <f t="shared" si="3"/>
        <v>361399.45999999996</v>
      </c>
      <c r="M40" s="1704">
        <f t="shared" si="4"/>
        <v>75893.886599999983</v>
      </c>
      <c r="N40" s="1708">
        <v>30718.954099999999</v>
      </c>
      <c r="O40" s="1704">
        <f t="shared" si="5"/>
        <v>-6450.9803609999999</v>
      </c>
      <c r="P40" s="1704">
        <f t="shared" si="6"/>
        <v>100161.86033899999</v>
      </c>
      <c r="Q40" s="1704"/>
      <c r="R40" s="1704">
        <f t="shared" si="7"/>
        <v>46295.270825999978</v>
      </c>
      <c r="S40" s="1753"/>
      <c r="T40" s="1708">
        <v>0</v>
      </c>
      <c r="U40" s="1753"/>
      <c r="V40" s="1708">
        <v>0</v>
      </c>
      <c r="W40" s="1753"/>
      <c r="X40" s="1704">
        <f t="shared" si="8"/>
        <v>46295.270825999978</v>
      </c>
      <c r="Y40" s="1707"/>
      <c r="Z40" s="1374" t="s">
        <v>262</v>
      </c>
      <c r="AA40" s="1705"/>
      <c r="AB40" s="1374" t="s">
        <v>22</v>
      </c>
      <c r="AC40" s="1705"/>
      <c r="AD40" s="1706">
        <v>6.0801999999999995E-2</v>
      </c>
      <c r="AE40" s="1705"/>
      <c r="AF40" s="1704">
        <f t="shared" si="10"/>
        <v>2814.8450567624504</v>
      </c>
      <c r="AG40" s="985"/>
      <c r="AH40" s="1246">
        <v>190</v>
      </c>
      <c r="AI40" s="1246"/>
    </row>
    <row r="41" spans="2:35">
      <c r="B41" s="1246">
        <v>30</v>
      </c>
      <c r="C41" s="1365" t="s">
        <v>1827</v>
      </c>
      <c r="D41" s="1365" t="s">
        <v>1816</v>
      </c>
      <c r="E41" s="1365" t="s">
        <v>1472</v>
      </c>
      <c r="F41" s="1708">
        <v>811805.13</v>
      </c>
      <c r="G41" s="1704">
        <f t="shared" si="0"/>
        <v>284131.79550000001</v>
      </c>
      <c r="H41" s="1708">
        <v>69003.436050000004</v>
      </c>
      <c r="I41" s="1704">
        <f t="shared" si="1"/>
        <v>-24151.202617499999</v>
      </c>
      <c r="J41" s="1704">
        <f t="shared" si="2"/>
        <v>328984.02893250005</v>
      </c>
      <c r="K41" s="1753"/>
      <c r="L41" s="1708">
        <f t="shared" si="3"/>
        <v>811805.13</v>
      </c>
      <c r="M41" s="1704">
        <f t="shared" si="4"/>
        <v>170479.0773</v>
      </c>
      <c r="N41" s="1708">
        <v>69003.436050000004</v>
      </c>
      <c r="O41" s="1704">
        <f t="shared" si="5"/>
        <v>-14490.7215705</v>
      </c>
      <c r="P41" s="1704">
        <f t="shared" si="6"/>
        <v>224991.79177950002</v>
      </c>
      <c r="Q41" s="1704"/>
      <c r="R41" s="1704">
        <f t="shared" si="7"/>
        <v>103992.23715300002</v>
      </c>
      <c r="S41" s="1753"/>
      <c r="T41" s="1708">
        <v>0</v>
      </c>
      <c r="U41" s="1753"/>
      <c r="V41" s="1708">
        <v>0</v>
      </c>
      <c r="W41" s="1753"/>
      <c r="X41" s="1704">
        <f t="shared" si="8"/>
        <v>103992.23715300002</v>
      </c>
      <c r="Y41" s="1707"/>
      <c r="Z41" s="1374" t="s">
        <v>262</v>
      </c>
      <c r="AA41" s="1705"/>
      <c r="AB41" s="1374" t="s">
        <v>22</v>
      </c>
      <c r="AC41" s="1705"/>
      <c r="AD41" s="1706">
        <v>6.0801999999999995E-2</v>
      </c>
      <c r="AE41" s="1705"/>
      <c r="AF41" s="1704">
        <f t="shared" si="10"/>
        <v>6322.936003376707</v>
      </c>
      <c r="AG41" s="985"/>
      <c r="AH41" s="1246">
        <v>190</v>
      </c>
      <c r="AI41" s="1246"/>
    </row>
    <row r="42" spans="2:35">
      <c r="B42" s="1246">
        <v>31</v>
      </c>
      <c r="C42" s="1365" t="s">
        <v>1826</v>
      </c>
      <c r="D42" s="1365" t="s">
        <v>1816</v>
      </c>
      <c r="E42" s="1365" t="s">
        <v>1472</v>
      </c>
      <c r="F42" s="1708">
        <v>1160661.8700000001</v>
      </c>
      <c r="G42" s="1704">
        <f t="shared" si="0"/>
        <v>406231.6545</v>
      </c>
      <c r="H42" s="1708">
        <v>98656.258950000018</v>
      </c>
      <c r="I42" s="1704">
        <f t="shared" si="1"/>
        <v>-34529.690632500002</v>
      </c>
      <c r="J42" s="1704">
        <f t="shared" si="2"/>
        <v>470358.22281750001</v>
      </c>
      <c r="K42" s="1753"/>
      <c r="L42" s="1708">
        <f t="shared" si="3"/>
        <v>1160661.8700000001</v>
      </c>
      <c r="M42" s="1704">
        <f t="shared" si="4"/>
        <v>243738.9927</v>
      </c>
      <c r="N42" s="1708">
        <v>98656.258950000018</v>
      </c>
      <c r="O42" s="1704">
        <f t="shared" si="5"/>
        <v>-20717.814379500003</v>
      </c>
      <c r="P42" s="1704">
        <f t="shared" si="6"/>
        <v>321677.4372705</v>
      </c>
      <c r="Q42" s="1704"/>
      <c r="R42" s="1704">
        <f t="shared" si="7"/>
        <v>148680.78554700001</v>
      </c>
      <c r="S42" s="1753"/>
      <c r="T42" s="1708">
        <v>0</v>
      </c>
      <c r="U42" s="1753"/>
      <c r="V42" s="1708">
        <v>0</v>
      </c>
      <c r="W42" s="1753"/>
      <c r="X42" s="1704">
        <f t="shared" si="8"/>
        <v>148680.78554700001</v>
      </c>
      <c r="Y42" s="1707"/>
      <c r="Z42" s="1374" t="s">
        <v>262</v>
      </c>
      <c r="AA42" s="1705"/>
      <c r="AB42" s="1374" t="s">
        <v>22</v>
      </c>
      <c r="AC42" s="1705"/>
      <c r="AD42" s="1706">
        <v>6.0801999999999995E-2</v>
      </c>
      <c r="AE42" s="1705"/>
      <c r="AF42" s="1704">
        <f t="shared" si="10"/>
        <v>9040.0891228286928</v>
      </c>
      <c r="AG42" s="985"/>
      <c r="AH42" s="1246">
        <v>190</v>
      </c>
      <c r="AI42" s="1246"/>
    </row>
    <row r="43" spans="2:35">
      <c r="B43" s="1246">
        <v>32</v>
      </c>
      <c r="C43" s="1365" t="s">
        <v>1825</v>
      </c>
      <c r="D43" s="1365" t="s">
        <v>1816</v>
      </c>
      <c r="E43" s="1365" t="s">
        <v>1472</v>
      </c>
      <c r="F43" s="1708">
        <v>495791.52</v>
      </c>
      <c r="G43" s="1704">
        <f t="shared" si="0"/>
        <v>173527.03200000001</v>
      </c>
      <c r="H43" s="1708">
        <v>42142.279200000004</v>
      </c>
      <c r="I43" s="1704">
        <f t="shared" si="1"/>
        <v>-14749.79772</v>
      </c>
      <c r="J43" s="1704">
        <f t="shared" si="2"/>
        <v>200919.51347999999</v>
      </c>
      <c r="K43" s="1753"/>
      <c r="L43" s="1708">
        <f t="shared" si="3"/>
        <v>495791.52</v>
      </c>
      <c r="M43" s="1704">
        <f t="shared" si="4"/>
        <v>104116.21920000001</v>
      </c>
      <c r="N43" s="1708">
        <v>42142.279200000004</v>
      </c>
      <c r="O43" s="1704">
        <f t="shared" si="5"/>
        <v>-8849.8786319999999</v>
      </c>
      <c r="P43" s="1704">
        <f t="shared" si="6"/>
        <v>137408.619768</v>
      </c>
      <c r="Q43" s="1704"/>
      <c r="R43" s="1704">
        <f t="shared" si="7"/>
        <v>63510.89371199999</v>
      </c>
      <c r="S43" s="1753"/>
      <c r="T43" s="1708">
        <v>0</v>
      </c>
      <c r="U43" s="1753"/>
      <c r="V43" s="1708">
        <v>0</v>
      </c>
      <c r="W43" s="1753"/>
      <c r="X43" s="1704">
        <f t="shared" si="8"/>
        <v>63510.89371199999</v>
      </c>
      <c r="Y43" s="1707"/>
      <c r="Z43" s="1374" t="s">
        <v>262</v>
      </c>
      <c r="AA43" s="1705"/>
      <c r="AB43" s="1374" t="s">
        <v>22</v>
      </c>
      <c r="AC43" s="1705"/>
      <c r="AD43" s="1706">
        <v>6.0801999999999995E-2</v>
      </c>
      <c r="AE43" s="1705"/>
      <c r="AF43" s="1704">
        <f t="shared" si="10"/>
        <v>3861.5893594770232</v>
      </c>
      <c r="AG43" s="985"/>
      <c r="AH43" s="1246">
        <v>190</v>
      </c>
      <c r="AI43" s="1246"/>
    </row>
    <row r="44" spans="2:35">
      <c r="B44" s="1246">
        <v>33</v>
      </c>
      <c r="C44" s="1365" t="s">
        <v>1476</v>
      </c>
      <c r="D44" s="1365" t="s">
        <v>1816</v>
      </c>
      <c r="E44" s="1365" t="s">
        <v>1472</v>
      </c>
      <c r="F44" s="1708">
        <v>5033420.2300000004</v>
      </c>
      <c r="G44" s="1704">
        <f t="shared" ref="G44:G75" si="11">F44*0.35</f>
        <v>1761697.0805000002</v>
      </c>
      <c r="H44" s="1708">
        <v>427840.7195500001</v>
      </c>
      <c r="I44" s="1704">
        <f t="shared" ref="I44:I75" si="12">H44*-0.35</f>
        <v>-149744.25184250003</v>
      </c>
      <c r="J44" s="1704">
        <f t="shared" ref="J44:J75" si="13">G44+H44+I44</f>
        <v>2039793.5482075003</v>
      </c>
      <c r="K44" s="1753"/>
      <c r="L44" s="1708">
        <f t="shared" ref="L44:L75" si="14">F44</f>
        <v>5033420.2300000004</v>
      </c>
      <c r="M44" s="1704">
        <f t="shared" ref="M44:M75" si="15">L44*0.21</f>
        <v>1057018.2483000001</v>
      </c>
      <c r="N44" s="1708">
        <v>427840.7195500001</v>
      </c>
      <c r="O44" s="1704">
        <f t="shared" ref="O44:O75" si="16">N44*-0.21</f>
        <v>-89846.55110550001</v>
      </c>
      <c r="P44" s="1704">
        <f t="shared" ref="P44:P75" si="17">M44+N44+O44</f>
        <v>1395012.4167445002</v>
      </c>
      <c r="Q44" s="1704"/>
      <c r="R44" s="1704">
        <f t="shared" ref="R44:R75" si="18">J44-P44</f>
        <v>644781.13146300009</v>
      </c>
      <c r="S44" s="1753"/>
      <c r="T44" s="1708">
        <v>0</v>
      </c>
      <c r="U44" s="1753"/>
      <c r="V44" s="1708">
        <v>0</v>
      </c>
      <c r="W44" s="1753"/>
      <c r="X44" s="1704">
        <f t="shared" ref="X44:X75" si="19">R44-T44-V44</f>
        <v>644781.13146300009</v>
      </c>
      <c r="Y44" s="1707"/>
      <c r="Z44" s="1374" t="s">
        <v>262</v>
      </c>
      <c r="AA44" s="1705"/>
      <c r="AB44" s="1374" t="s">
        <v>22</v>
      </c>
      <c r="AC44" s="1705"/>
      <c r="AD44" s="1706">
        <v>6.0801999999999995E-2</v>
      </c>
      <c r="AE44" s="1705"/>
      <c r="AF44" s="1704">
        <f t="shared" si="10"/>
        <v>39203.982355213331</v>
      </c>
      <c r="AG44" s="985"/>
      <c r="AH44" s="1246">
        <v>190</v>
      </c>
      <c r="AI44" s="1246"/>
    </row>
    <row r="45" spans="2:35">
      <c r="B45" s="1246">
        <v>34</v>
      </c>
      <c r="C45" s="1365" t="s">
        <v>1478</v>
      </c>
      <c r="D45" s="1365" t="s">
        <v>1816</v>
      </c>
      <c r="E45" s="1365" t="s">
        <v>1472</v>
      </c>
      <c r="F45" s="1708">
        <v>3215738.26</v>
      </c>
      <c r="G45" s="1704">
        <f t="shared" si="11"/>
        <v>1125508.3909999998</v>
      </c>
      <c r="H45" s="1708">
        <v>273337.75209999998</v>
      </c>
      <c r="I45" s="1704">
        <f t="shared" si="12"/>
        <v>-95668.213234999988</v>
      </c>
      <c r="J45" s="1704">
        <f t="shared" si="13"/>
        <v>1303177.9298649998</v>
      </c>
      <c r="K45" s="1753"/>
      <c r="L45" s="1708">
        <f t="shared" si="14"/>
        <v>3215738.26</v>
      </c>
      <c r="M45" s="1704">
        <f t="shared" si="15"/>
        <v>675305.0345999999</v>
      </c>
      <c r="N45" s="1708">
        <v>273337.75209999998</v>
      </c>
      <c r="O45" s="1704">
        <f t="shared" si="16"/>
        <v>-57400.927940999994</v>
      </c>
      <c r="P45" s="1704">
        <f t="shared" si="17"/>
        <v>891241.85875899985</v>
      </c>
      <c r="Q45" s="1704"/>
      <c r="R45" s="1704">
        <f t="shared" si="18"/>
        <v>411936.07110599999</v>
      </c>
      <c r="S45" s="1753"/>
      <c r="T45" s="1708">
        <v>0</v>
      </c>
      <c r="U45" s="1753"/>
      <c r="V45" s="1708">
        <v>0</v>
      </c>
      <c r="W45" s="1753"/>
      <c r="X45" s="1704">
        <f t="shared" si="19"/>
        <v>411936.07110599999</v>
      </c>
      <c r="Y45" s="1707"/>
      <c r="Z45" s="1374" t="s">
        <v>262</v>
      </c>
      <c r="AA45" s="1705"/>
      <c r="AB45" s="1374" t="s">
        <v>22</v>
      </c>
      <c r="AC45" s="1705"/>
      <c r="AD45" s="1706">
        <v>6.0801999999999995E-2</v>
      </c>
      <c r="AE45" s="1705"/>
      <c r="AF45" s="1704">
        <f t="shared" si="10"/>
        <v>25046.53699538701</v>
      </c>
      <c r="AG45" s="985"/>
      <c r="AH45" s="1246">
        <v>190</v>
      </c>
      <c r="AI45" s="1246"/>
    </row>
    <row r="46" spans="2:35">
      <c r="B46" s="1246">
        <v>35</v>
      </c>
      <c r="C46" s="1365" t="s">
        <v>1479</v>
      </c>
      <c r="D46" s="1365" t="s">
        <v>1816</v>
      </c>
      <c r="E46" s="1365" t="s">
        <v>1472</v>
      </c>
      <c r="F46" s="1708">
        <v>5116572.3</v>
      </c>
      <c r="G46" s="1704">
        <f t="shared" si="11"/>
        <v>1790800.3049999999</v>
      </c>
      <c r="H46" s="1708">
        <v>434908.64550000004</v>
      </c>
      <c r="I46" s="1704">
        <f t="shared" si="12"/>
        <v>-152218.02592499999</v>
      </c>
      <c r="J46" s="1704">
        <f t="shared" si="13"/>
        <v>2073490.9245749998</v>
      </c>
      <c r="K46" s="1753"/>
      <c r="L46" s="1708">
        <f t="shared" si="14"/>
        <v>5116572.3</v>
      </c>
      <c r="M46" s="1704">
        <f t="shared" si="15"/>
        <v>1074480.183</v>
      </c>
      <c r="N46" s="1708">
        <v>434908.64550000004</v>
      </c>
      <c r="O46" s="1704">
        <f t="shared" si="16"/>
        <v>-91330.815555000008</v>
      </c>
      <c r="P46" s="1704">
        <f t="shared" si="17"/>
        <v>1418058.0129450001</v>
      </c>
      <c r="Q46" s="1704"/>
      <c r="R46" s="1704">
        <f t="shared" si="18"/>
        <v>655432.91162999975</v>
      </c>
      <c r="S46" s="1753"/>
      <c r="T46" s="1708">
        <v>0</v>
      </c>
      <c r="U46" s="1753"/>
      <c r="V46" s="1708">
        <v>0</v>
      </c>
      <c r="W46" s="1753"/>
      <c r="X46" s="1704">
        <f t="shared" si="19"/>
        <v>655432.91162999975</v>
      </c>
      <c r="Y46" s="1707"/>
      <c r="Z46" s="1374" t="s">
        <v>262</v>
      </c>
      <c r="AA46" s="1705"/>
      <c r="AB46" s="1374" t="s">
        <v>22</v>
      </c>
      <c r="AC46" s="1705"/>
      <c r="AD46" s="1706">
        <v>6.0801999999999995E-2</v>
      </c>
      <c r="AE46" s="1705"/>
      <c r="AF46" s="1704">
        <f t="shared" si="10"/>
        <v>39851.631892927238</v>
      </c>
      <c r="AG46" s="985"/>
      <c r="AH46" s="1246">
        <v>190</v>
      </c>
      <c r="AI46" s="1246"/>
    </row>
    <row r="47" spans="2:35">
      <c r="B47" s="1246">
        <v>36</v>
      </c>
      <c r="C47" s="1365" t="s">
        <v>1824</v>
      </c>
      <c r="D47" s="1365" t="s">
        <v>1816</v>
      </c>
      <c r="E47" s="1365" t="s">
        <v>1472</v>
      </c>
      <c r="F47" s="1708">
        <v>36000</v>
      </c>
      <c r="G47" s="1704">
        <f t="shared" si="11"/>
        <v>12600</v>
      </c>
      <c r="H47" s="1708">
        <v>3060</v>
      </c>
      <c r="I47" s="1704">
        <f t="shared" si="12"/>
        <v>-1071</v>
      </c>
      <c r="J47" s="1704">
        <f t="shared" si="13"/>
        <v>14589</v>
      </c>
      <c r="K47" s="1753"/>
      <c r="L47" s="1708">
        <f t="shared" si="14"/>
        <v>36000</v>
      </c>
      <c r="M47" s="1704">
        <f t="shared" si="15"/>
        <v>7560</v>
      </c>
      <c r="N47" s="1708">
        <v>3060</v>
      </c>
      <c r="O47" s="1704">
        <f t="shared" si="16"/>
        <v>-642.6</v>
      </c>
      <c r="P47" s="1704">
        <f t="shared" si="17"/>
        <v>9977.4</v>
      </c>
      <c r="Q47" s="1704"/>
      <c r="R47" s="1704">
        <f t="shared" si="18"/>
        <v>4611.6000000000004</v>
      </c>
      <c r="S47" s="1753"/>
      <c r="T47" s="1708">
        <v>0</v>
      </c>
      <c r="U47" s="1753"/>
      <c r="V47" s="1708">
        <v>0</v>
      </c>
      <c r="W47" s="1753"/>
      <c r="X47" s="1704">
        <f t="shared" si="19"/>
        <v>4611.6000000000004</v>
      </c>
      <c r="Y47" s="1707"/>
      <c r="Z47" s="1374" t="s">
        <v>262</v>
      </c>
      <c r="AA47" s="1705"/>
      <c r="AB47" s="1374" t="s">
        <v>22</v>
      </c>
      <c r="AC47" s="1705"/>
      <c r="AD47" s="1706">
        <v>6.0801999999999995E-2</v>
      </c>
      <c r="AE47" s="1705"/>
      <c r="AF47" s="1704">
        <f t="shared" si="10"/>
        <v>280.39450319999997</v>
      </c>
      <c r="AG47" s="985"/>
      <c r="AH47" s="1246">
        <v>190</v>
      </c>
      <c r="AI47" s="1246"/>
    </row>
    <row r="48" spans="2:35">
      <c r="B48" s="1246">
        <v>37</v>
      </c>
      <c r="C48" s="1365" t="s">
        <v>1823</v>
      </c>
      <c r="D48" s="1365" t="s">
        <v>1816</v>
      </c>
      <c r="E48" s="1365" t="s">
        <v>1472</v>
      </c>
      <c r="F48" s="1708">
        <v>-3429544.69</v>
      </c>
      <c r="G48" s="1704">
        <f t="shared" si="11"/>
        <v>-1200340.6414999999</v>
      </c>
      <c r="H48" s="1708">
        <v>-291511.29865000001</v>
      </c>
      <c r="I48" s="1704">
        <f t="shared" si="12"/>
        <v>102028.9545275</v>
      </c>
      <c r="J48" s="1704">
        <f t="shared" si="13"/>
        <v>-1389822.9856224998</v>
      </c>
      <c r="K48" s="1753"/>
      <c r="L48" s="1708">
        <f t="shared" si="14"/>
        <v>-3429544.69</v>
      </c>
      <c r="M48" s="1704">
        <f t="shared" si="15"/>
        <v>-720204.38489999995</v>
      </c>
      <c r="N48" s="1708">
        <v>-291511.29865000001</v>
      </c>
      <c r="O48" s="1704">
        <f t="shared" si="16"/>
        <v>61217.372716500002</v>
      </c>
      <c r="P48" s="1704">
        <f t="shared" si="17"/>
        <v>-950498.3108335</v>
      </c>
      <c r="Q48" s="1704"/>
      <c r="R48" s="1704">
        <f t="shared" si="18"/>
        <v>-439324.67478899984</v>
      </c>
      <c r="S48" s="1753"/>
      <c r="T48" s="1708">
        <v>-439324.67478900007</v>
      </c>
      <c r="U48" s="1753"/>
      <c r="V48" s="1708">
        <v>0</v>
      </c>
      <c r="W48" s="1753"/>
      <c r="X48" s="1704">
        <f t="shared" si="19"/>
        <v>2.3283064365386963E-10</v>
      </c>
      <c r="Y48" s="1707"/>
      <c r="Z48" s="1374" t="s">
        <v>262</v>
      </c>
      <c r="AA48" s="1705"/>
      <c r="AB48" s="1374" t="s">
        <v>23</v>
      </c>
      <c r="AC48" s="1705"/>
      <c r="AD48" s="1706">
        <v>0</v>
      </c>
      <c r="AE48" s="1705"/>
      <c r="AF48" s="1704">
        <f t="shared" si="10"/>
        <v>0</v>
      </c>
      <c r="AG48" s="985"/>
      <c r="AH48" s="1246">
        <v>190</v>
      </c>
      <c r="AI48" s="1246"/>
    </row>
    <row r="49" spans="2:35">
      <c r="B49" s="1246">
        <v>38</v>
      </c>
      <c r="C49" s="1365" t="s">
        <v>1822</v>
      </c>
      <c r="D49" s="1365" t="s">
        <v>1816</v>
      </c>
      <c r="E49" s="1365" t="s">
        <v>1472</v>
      </c>
      <c r="F49" s="1708">
        <v>-1160661.8700000001</v>
      </c>
      <c r="G49" s="1704">
        <f t="shared" si="11"/>
        <v>-406231.6545</v>
      </c>
      <c r="H49" s="1708">
        <v>-98656.258950000018</v>
      </c>
      <c r="I49" s="1704">
        <f t="shared" si="12"/>
        <v>34529.690632500002</v>
      </c>
      <c r="J49" s="1704">
        <f t="shared" si="13"/>
        <v>-470358.22281750001</v>
      </c>
      <c r="K49" s="1753"/>
      <c r="L49" s="1708">
        <f t="shared" si="14"/>
        <v>-1160661.8700000001</v>
      </c>
      <c r="M49" s="1704">
        <f t="shared" si="15"/>
        <v>-243738.9927</v>
      </c>
      <c r="N49" s="1708">
        <v>-98656.258950000018</v>
      </c>
      <c r="O49" s="1704">
        <f t="shared" si="16"/>
        <v>20717.814379500003</v>
      </c>
      <c r="P49" s="1704">
        <f t="shared" si="17"/>
        <v>-321677.4372705</v>
      </c>
      <c r="Q49" s="1704"/>
      <c r="R49" s="1704">
        <f t="shared" si="18"/>
        <v>-148680.78554700001</v>
      </c>
      <c r="S49" s="1753"/>
      <c r="T49" s="1708">
        <v>0</v>
      </c>
      <c r="U49" s="1753"/>
      <c r="V49" s="1708">
        <v>0</v>
      </c>
      <c r="W49" s="1753"/>
      <c r="X49" s="1704">
        <f t="shared" si="19"/>
        <v>-148680.78554700001</v>
      </c>
      <c r="Y49" s="1707"/>
      <c r="Z49" s="1374" t="s">
        <v>262</v>
      </c>
      <c r="AA49" s="1705"/>
      <c r="AB49" s="1374" t="s">
        <v>22</v>
      </c>
      <c r="AC49" s="1705"/>
      <c r="AD49" s="1706">
        <v>6.0801999999999995E-2</v>
      </c>
      <c r="AE49" s="1705"/>
      <c r="AF49" s="1704">
        <f t="shared" si="10"/>
        <v>-9040.0891228286928</v>
      </c>
      <c r="AG49" s="985"/>
      <c r="AH49" s="1246">
        <v>190</v>
      </c>
      <c r="AI49" s="1246"/>
    </row>
    <row r="50" spans="2:35">
      <c r="B50" s="1246">
        <v>39</v>
      </c>
      <c r="C50" s="1365" t="s">
        <v>1821</v>
      </c>
      <c r="D50" s="1365" t="s">
        <v>1816</v>
      </c>
      <c r="E50" s="1365" t="s">
        <v>1472</v>
      </c>
      <c r="F50" s="1708">
        <v>4143767.54</v>
      </c>
      <c r="G50" s="1704">
        <f t="shared" si="11"/>
        <v>1450318.639</v>
      </c>
      <c r="H50" s="1708">
        <v>352220.24090000003</v>
      </c>
      <c r="I50" s="1704">
        <f t="shared" si="12"/>
        <v>-123277.084315</v>
      </c>
      <c r="J50" s="1704">
        <f t="shared" si="13"/>
        <v>1679261.795585</v>
      </c>
      <c r="K50" s="1753"/>
      <c r="L50" s="1708">
        <f t="shared" si="14"/>
        <v>4143767.54</v>
      </c>
      <c r="M50" s="1704">
        <f t="shared" si="15"/>
        <v>870191.18339999998</v>
      </c>
      <c r="N50" s="1708">
        <v>352220.24090000003</v>
      </c>
      <c r="O50" s="1704">
        <f t="shared" si="16"/>
        <v>-73966.250589000003</v>
      </c>
      <c r="P50" s="1704">
        <f t="shared" si="17"/>
        <v>1148445.173711</v>
      </c>
      <c r="Q50" s="1704"/>
      <c r="R50" s="1704">
        <f t="shared" si="18"/>
        <v>530816.62187399995</v>
      </c>
      <c r="S50" s="1753"/>
      <c r="T50" s="1708">
        <v>0</v>
      </c>
      <c r="U50" s="1753"/>
      <c r="V50" s="1708">
        <v>0</v>
      </c>
      <c r="W50" s="1753"/>
      <c r="X50" s="1704">
        <f t="shared" si="19"/>
        <v>530816.62187399995</v>
      </c>
      <c r="Y50" s="1707"/>
      <c r="Z50" s="1374" t="s">
        <v>262</v>
      </c>
      <c r="AA50" s="1705"/>
      <c r="AB50" s="1374" t="s">
        <v>22</v>
      </c>
      <c r="AC50" s="1705"/>
      <c r="AD50" s="1706">
        <v>6.0801999999999995E-2</v>
      </c>
      <c r="AE50" s="1705"/>
      <c r="AF50" s="1704">
        <f t="shared" si="10"/>
        <v>32274.712243182941</v>
      </c>
      <c r="AG50" s="985"/>
      <c r="AH50" s="1246">
        <v>190</v>
      </c>
      <c r="AI50" s="1246"/>
    </row>
    <row r="51" spans="2:35">
      <c r="B51" s="1246">
        <v>40</v>
      </c>
      <c r="C51" s="1365" t="s">
        <v>1477</v>
      </c>
      <c r="D51" s="1365" t="s">
        <v>1816</v>
      </c>
      <c r="E51" s="1365" t="s">
        <v>1472</v>
      </c>
      <c r="F51" s="1708">
        <v>3429544.69</v>
      </c>
      <c r="G51" s="1704">
        <f t="shared" si="11"/>
        <v>1200340.6414999999</v>
      </c>
      <c r="H51" s="1708">
        <v>291511.29865000001</v>
      </c>
      <c r="I51" s="1704">
        <f t="shared" si="12"/>
        <v>-102028.9545275</v>
      </c>
      <c r="J51" s="1704">
        <f t="shared" si="13"/>
        <v>1389822.9856224998</v>
      </c>
      <c r="K51" s="1753"/>
      <c r="L51" s="1708">
        <f t="shared" si="14"/>
        <v>3429544.69</v>
      </c>
      <c r="M51" s="1704">
        <f t="shared" si="15"/>
        <v>720204.38489999995</v>
      </c>
      <c r="N51" s="1708">
        <v>291511.29865000001</v>
      </c>
      <c r="O51" s="1704">
        <f t="shared" si="16"/>
        <v>-61217.372716500002</v>
      </c>
      <c r="P51" s="1704">
        <f t="shared" si="17"/>
        <v>950498.3108335</v>
      </c>
      <c r="Q51" s="1704"/>
      <c r="R51" s="1704">
        <f t="shared" si="18"/>
        <v>439324.67478899984</v>
      </c>
      <c r="S51" s="1753"/>
      <c r="T51" s="1708">
        <v>439324.67478900007</v>
      </c>
      <c r="U51" s="1753"/>
      <c r="V51" s="1708">
        <v>0</v>
      </c>
      <c r="W51" s="1753"/>
      <c r="X51" s="1704">
        <f t="shared" si="19"/>
        <v>-2.3283064365386963E-10</v>
      </c>
      <c r="Y51" s="1707"/>
      <c r="Z51" s="1374" t="s">
        <v>262</v>
      </c>
      <c r="AA51" s="1705"/>
      <c r="AB51" s="1374" t="s">
        <v>23</v>
      </c>
      <c r="AC51" s="1705"/>
      <c r="AD51" s="1706">
        <v>0</v>
      </c>
      <c r="AE51" s="1705"/>
      <c r="AF51" s="1704">
        <f t="shared" ref="AF51:AF82" si="20">X51*AD51</f>
        <v>0</v>
      </c>
      <c r="AG51" s="985"/>
      <c r="AH51" s="1246">
        <v>190</v>
      </c>
      <c r="AI51" s="1246"/>
    </row>
    <row r="52" spans="2:35">
      <c r="B52" s="1246">
        <v>41</v>
      </c>
      <c r="C52" s="1365" t="s">
        <v>1820</v>
      </c>
      <c r="D52" s="1365" t="s">
        <v>1816</v>
      </c>
      <c r="E52" s="1365" t="s">
        <v>1472</v>
      </c>
      <c r="F52" s="1708">
        <v>-36000</v>
      </c>
      <c r="G52" s="1704">
        <f t="shared" si="11"/>
        <v>-12600</v>
      </c>
      <c r="H52" s="1708">
        <v>-3060</v>
      </c>
      <c r="I52" s="1704">
        <f t="shared" si="12"/>
        <v>1071</v>
      </c>
      <c r="J52" s="1704">
        <f t="shared" si="13"/>
        <v>-14589</v>
      </c>
      <c r="K52" s="1753"/>
      <c r="L52" s="1708">
        <f t="shared" si="14"/>
        <v>-36000</v>
      </c>
      <c r="M52" s="1704">
        <f t="shared" si="15"/>
        <v>-7560</v>
      </c>
      <c r="N52" s="1708">
        <v>-3060</v>
      </c>
      <c r="O52" s="1704">
        <f t="shared" si="16"/>
        <v>642.6</v>
      </c>
      <c r="P52" s="1704">
        <f t="shared" si="17"/>
        <v>-9977.4</v>
      </c>
      <c r="Q52" s="1704"/>
      <c r="R52" s="1704">
        <f t="shared" si="18"/>
        <v>-4611.6000000000004</v>
      </c>
      <c r="S52" s="1753"/>
      <c r="T52" s="1708">
        <v>0</v>
      </c>
      <c r="U52" s="1753"/>
      <c r="V52" s="1708">
        <v>0</v>
      </c>
      <c r="W52" s="1753"/>
      <c r="X52" s="1704">
        <f t="shared" si="19"/>
        <v>-4611.6000000000004</v>
      </c>
      <c r="Y52" s="1707"/>
      <c r="Z52" s="1374" t="s">
        <v>262</v>
      </c>
      <c r="AA52" s="1705"/>
      <c r="AB52" s="1374" t="s">
        <v>22</v>
      </c>
      <c r="AC52" s="1705"/>
      <c r="AD52" s="1706">
        <v>6.0801999999999995E-2</v>
      </c>
      <c r="AE52" s="1705"/>
      <c r="AF52" s="1704">
        <f t="shared" si="20"/>
        <v>-280.39450319999997</v>
      </c>
      <c r="AG52" s="985"/>
      <c r="AH52" s="1246">
        <v>190</v>
      </c>
      <c r="AI52" s="1246"/>
    </row>
    <row r="53" spans="2:35">
      <c r="B53" s="1246">
        <v>42</v>
      </c>
      <c r="C53" s="1365" t="s">
        <v>1819</v>
      </c>
      <c r="D53" s="1365" t="s">
        <v>1816</v>
      </c>
      <c r="E53" s="1365" t="s">
        <v>1472</v>
      </c>
      <c r="F53" s="1708">
        <v>929613.35</v>
      </c>
      <c r="G53" s="1704">
        <f t="shared" si="11"/>
        <v>325364.67249999999</v>
      </c>
      <c r="H53" s="1708">
        <v>79017.134749999997</v>
      </c>
      <c r="I53" s="1704">
        <f t="shared" si="12"/>
        <v>-27655.997162499996</v>
      </c>
      <c r="J53" s="1704">
        <f t="shared" si="13"/>
        <v>376725.81008749997</v>
      </c>
      <c r="K53" s="1753"/>
      <c r="L53" s="1708">
        <f t="shared" si="14"/>
        <v>929613.35</v>
      </c>
      <c r="M53" s="1704">
        <f t="shared" si="15"/>
        <v>195218.80349999998</v>
      </c>
      <c r="N53" s="1708">
        <v>79017.134749999997</v>
      </c>
      <c r="O53" s="1704">
        <f t="shared" si="16"/>
        <v>-16593.598297500001</v>
      </c>
      <c r="P53" s="1704">
        <f t="shared" si="17"/>
        <v>257642.33995250001</v>
      </c>
      <c r="Q53" s="1704"/>
      <c r="R53" s="1704">
        <f t="shared" si="18"/>
        <v>119083.47013499995</v>
      </c>
      <c r="S53" s="1753"/>
      <c r="T53" s="1708">
        <v>0</v>
      </c>
      <c r="U53" s="1753"/>
      <c r="V53" s="1708">
        <v>0</v>
      </c>
      <c r="W53" s="1753"/>
      <c r="X53" s="1704">
        <f t="shared" si="19"/>
        <v>119083.47013499995</v>
      </c>
      <c r="Y53" s="1707"/>
      <c r="Z53" s="1374" t="s">
        <v>262</v>
      </c>
      <c r="AA53" s="1705"/>
      <c r="AB53" s="1374" t="s">
        <v>22</v>
      </c>
      <c r="AC53" s="1705"/>
      <c r="AD53" s="1706">
        <v>6.0801999999999995E-2</v>
      </c>
      <c r="AE53" s="1705"/>
      <c r="AF53" s="1704">
        <f t="shared" si="20"/>
        <v>7240.5131511482668</v>
      </c>
      <c r="AG53" s="985"/>
      <c r="AH53" s="1246">
        <v>190</v>
      </c>
      <c r="AI53" s="1246"/>
    </row>
    <row r="54" spans="2:35">
      <c r="B54" s="1246">
        <v>43</v>
      </c>
      <c r="C54" s="1365" t="s">
        <v>1818</v>
      </c>
      <c r="D54" s="1365" t="s">
        <v>1816</v>
      </c>
      <c r="E54" s="1365" t="s">
        <v>1472</v>
      </c>
      <c r="F54" s="1708">
        <v>285774.13</v>
      </c>
      <c r="G54" s="1704">
        <f t="shared" si="11"/>
        <v>100020.9455</v>
      </c>
      <c r="H54" s="1708">
        <v>24290.801050000002</v>
      </c>
      <c r="I54" s="1704">
        <f t="shared" si="12"/>
        <v>-8501.7803674999996</v>
      </c>
      <c r="J54" s="1704">
        <f t="shared" si="13"/>
        <v>115809.96618250001</v>
      </c>
      <c r="K54" s="1753"/>
      <c r="L54" s="1708">
        <f t="shared" si="14"/>
        <v>285774.13</v>
      </c>
      <c r="M54" s="1704">
        <f t="shared" si="15"/>
        <v>60012.567299999995</v>
      </c>
      <c r="N54" s="1708">
        <v>24290.801050000002</v>
      </c>
      <c r="O54" s="1704">
        <f t="shared" si="16"/>
        <v>-5101.0682205000003</v>
      </c>
      <c r="P54" s="1704">
        <f t="shared" si="17"/>
        <v>79202.300129499999</v>
      </c>
      <c r="Q54" s="1704"/>
      <c r="R54" s="1704">
        <f t="shared" si="18"/>
        <v>36607.666053000008</v>
      </c>
      <c r="S54" s="1753"/>
      <c r="T54" s="1708">
        <v>0</v>
      </c>
      <c r="U54" s="1753"/>
      <c r="V54" s="1708">
        <v>0</v>
      </c>
      <c r="W54" s="1753"/>
      <c r="X54" s="1704">
        <f t="shared" si="19"/>
        <v>36607.666053000008</v>
      </c>
      <c r="Y54" s="1707"/>
      <c r="Z54" s="1374" t="s">
        <v>262</v>
      </c>
      <c r="AA54" s="1705"/>
      <c r="AB54" s="1374" t="s">
        <v>22</v>
      </c>
      <c r="AC54" s="1705"/>
      <c r="AD54" s="1706">
        <v>6.0801999999999995E-2</v>
      </c>
      <c r="AE54" s="1705"/>
      <c r="AF54" s="1704">
        <f t="shared" si="20"/>
        <v>2225.8193113545062</v>
      </c>
      <c r="AG54" s="985"/>
      <c r="AH54" s="1246">
        <v>190</v>
      </c>
      <c r="AI54" s="1246"/>
    </row>
    <row r="55" spans="2:35">
      <c r="B55" s="1246">
        <v>44</v>
      </c>
      <c r="C55" s="1365" t="s">
        <v>1817</v>
      </c>
      <c r="D55" s="1365" t="s">
        <v>1816</v>
      </c>
      <c r="E55" s="1365" t="s">
        <v>1472</v>
      </c>
      <c r="F55" s="1708">
        <v>-190331</v>
      </c>
      <c r="G55" s="1704">
        <f t="shared" si="11"/>
        <v>-66615.849999999991</v>
      </c>
      <c r="H55" s="1708">
        <v>-16178.135000000002</v>
      </c>
      <c r="I55" s="1704">
        <f t="shared" si="12"/>
        <v>5662.3472500000007</v>
      </c>
      <c r="J55" s="1704">
        <f t="shared" si="13"/>
        <v>-77131.63774999998</v>
      </c>
      <c r="K55" s="1753"/>
      <c r="L55" s="1708">
        <f t="shared" si="14"/>
        <v>-190331</v>
      </c>
      <c r="M55" s="1704">
        <f t="shared" si="15"/>
        <v>-39969.51</v>
      </c>
      <c r="N55" s="1708">
        <v>-16178.135000000002</v>
      </c>
      <c r="O55" s="1704">
        <f t="shared" si="16"/>
        <v>3397.4083500000002</v>
      </c>
      <c r="P55" s="1704">
        <f t="shared" si="17"/>
        <v>-52750.236650000006</v>
      </c>
      <c r="Q55" s="1704"/>
      <c r="R55" s="1704">
        <f t="shared" si="18"/>
        <v>-24381.401099999974</v>
      </c>
      <c r="S55" s="1753"/>
      <c r="T55" s="1708"/>
      <c r="U55" s="1753"/>
      <c r="V55" s="1708">
        <v>0</v>
      </c>
      <c r="W55" s="1753"/>
      <c r="X55" s="1704">
        <f t="shared" si="19"/>
        <v>-24381.401099999974</v>
      </c>
      <c r="Y55" s="1707"/>
      <c r="Z55" s="1374" t="s">
        <v>262</v>
      </c>
      <c r="AA55" s="1705"/>
      <c r="AB55" s="1374" t="s">
        <v>22</v>
      </c>
      <c r="AC55" s="1705"/>
      <c r="AD55" s="1706">
        <v>6.0801999999999995E-2</v>
      </c>
      <c r="AE55" s="1705"/>
      <c r="AF55" s="1704">
        <f t="shared" si="20"/>
        <v>-1482.4379496821982</v>
      </c>
      <c r="AG55" s="985"/>
      <c r="AH55" s="1246">
        <v>190</v>
      </c>
      <c r="AI55" s="1246"/>
    </row>
    <row r="56" spans="2:35">
      <c r="B56" s="1246">
        <v>45</v>
      </c>
      <c r="C56" s="1365" t="s">
        <v>1815</v>
      </c>
      <c r="D56" s="1365" t="s">
        <v>1755</v>
      </c>
      <c r="E56" s="1365" t="s">
        <v>1472</v>
      </c>
      <c r="F56" s="1708">
        <v>766348.2</v>
      </c>
      <c r="G56" s="1704">
        <f t="shared" si="11"/>
        <v>268221.87</v>
      </c>
      <c r="H56" s="1708">
        <v>65139.597000000002</v>
      </c>
      <c r="I56" s="1704">
        <f t="shared" si="12"/>
        <v>-22798.858949999998</v>
      </c>
      <c r="J56" s="1704">
        <f t="shared" si="13"/>
        <v>310562.60804999998</v>
      </c>
      <c r="K56" s="1753"/>
      <c r="L56" s="1708">
        <f t="shared" si="14"/>
        <v>766348.2</v>
      </c>
      <c r="M56" s="1704">
        <f t="shared" si="15"/>
        <v>160933.12199999997</v>
      </c>
      <c r="N56" s="1708">
        <v>65139.597000000002</v>
      </c>
      <c r="O56" s="1704">
        <f t="shared" si="16"/>
        <v>-13679.31537</v>
      </c>
      <c r="P56" s="1704">
        <f t="shared" si="17"/>
        <v>212393.40362999999</v>
      </c>
      <c r="Q56" s="1704"/>
      <c r="R56" s="1704">
        <f t="shared" si="18"/>
        <v>98169.204419999995</v>
      </c>
      <c r="S56" s="1753"/>
      <c r="T56" s="1708">
        <v>0</v>
      </c>
      <c r="U56" s="1753"/>
      <c r="V56" s="1708">
        <v>0</v>
      </c>
      <c r="W56" s="1753"/>
      <c r="X56" s="1704">
        <f t="shared" si="19"/>
        <v>98169.204419999995</v>
      </c>
      <c r="Y56" s="1707"/>
      <c r="Z56" s="1374" t="s">
        <v>1482</v>
      </c>
      <c r="AA56" s="1705"/>
      <c r="AB56" s="1374" t="s">
        <v>23</v>
      </c>
      <c r="AC56" s="1705"/>
      <c r="AD56" s="1706">
        <v>0</v>
      </c>
      <c r="AE56" s="1705"/>
      <c r="AF56" s="1704">
        <f t="shared" si="20"/>
        <v>0</v>
      </c>
      <c r="AG56" s="985"/>
      <c r="AH56" s="1246">
        <v>190</v>
      </c>
      <c r="AI56" s="1246"/>
    </row>
    <row r="57" spans="2:35">
      <c r="B57" s="1246">
        <v>46</v>
      </c>
      <c r="C57" s="1365" t="s">
        <v>1814</v>
      </c>
      <c r="D57" s="1365" t="s">
        <v>1714</v>
      </c>
      <c r="E57" s="1365" t="s">
        <v>1472</v>
      </c>
      <c r="F57" s="1708">
        <v>1219791.8899999999</v>
      </c>
      <c r="G57" s="1704">
        <f t="shared" si="11"/>
        <v>426927.16149999993</v>
      </c>
      <c r="H57" s="1708">
        <v>103682.31065</v>
      </c>
      <c r="I57" s="1704">
        <f t="shared" si="12"/>
        <v>-36288.8087275</v>
      </c>
      <c r="J57" s="1704">
        <f t="shared" si="13"/>
        <v>494320.6634224999</v>
      </c>
      <c r="K57" s="1753"/>
      <c r="L57" s="1708">
        <f t="shared" si="14"/>
        <v>1219791.8899999999</v>
      </c>
      <c r="M57" s="1704">
        <f t="shared" si="15"/>
        <v>256156.29689999996</v>
      </c>
      <c r="N57" s="1708">
        <v>103682.31065</v>
      </c>
      <c r="O57" s="1704">
        <f t="shared" si="16"/>
        <v>-21773.2852365</v>
      </c>
      <c r="P57" s="1704">
        <f t="shared" si="17"/>
        <v>338065.32231349999</v>
      </c>
      <c r="Q57" s="1704"/>
      <c r="R57" s="1704">
        <f t="shared" si="18"/>
        <v>156255.34110899991</v>
      </c>
      <c r="S57" s="1753"/>
      <c r="T57" s="1708">
        <v>0</v>
      </c>
      <c r="U57" s="1753"/>
      <c r="V57" s="1708">
        <v>0</v>
      </c>
      <c r="W57" s="1753"/>
      <c r="X57" s="1704">
        <f t="shared" si="19"/>
        <v>156255.34110899991</v>
      </c>
      <c r="Y57" s="1707"/>
      <c r="Z57" s="1374" t="s">
        <v>1482</v>
      </c>
      <c r="AA57" s="1705"/>
      <c r="AB57" s="1374" t="s">
        <v>23</v>
      </c>
      <c r="AC57" s="1705"/>
      <c r="AD57" s="1706">
        <v>0</v>
      </c>
      <c r="AE57" s="1705"/>
      <c r="AF57" s="1704">
        <f t="shared" si="20"/>
        <v>0</v>
      </c>
      <c r="AG57" s="985"/>
      <c r="AH57" s="1246">
        <v>190</v>
      </c>
      <c r="AI57" s="1246"/>
    </row>
    <row r="58" spans="2:35">
      <c r="B58" s="1246">
        <v>47</v>
      </c>
      <c r="C58" s="1365" t="s">
        <v>1813</v>
      </c>
      <c r="D58" s="1365" t="s">
        <v>1714</v>
      </c>
      <c r="E58" s="1365" t="s">
        <v>1472</v>
      </c>
      <c r="F58" s="1708">
        <v>-11250</v>
      </c>
      <c r="G58" s="1704">
        <f t="shared" si="11"/>
        <v>-3937.4999999999995</v>
      </c>
      <c r="H58" s="1708">
        <v>-956.25000000000011</v>
      </c>
      <c r="I58" s="1704">
        <f t="shared" si="12"/>
        <v>334.6875</v>
      </c>
      <c r="J58" s="1704">
        <f t="shared" si="13"/>
        <v>-4559.0625</v>
      </c>
      <c r="K58" s="1753"/>
      <c r="L58" s="1708">
        <f t="shared" si="14"/>
        <v>-11250</v>
      </c>
      <c r="M58" s="1704">
        <f t="shared" si="15"/>
        <v>-2362.5</v>
      </c>
      <c r="N58" s="1708">
        <v>-956.25000000000011</v>
      </c>
      <c r="O58" s="1704">
        <f t="shared" si="16"/>
        <v>200.81250000000003</v>
      </c>
      <c r="P58" s="1704">
        <f t="shared" si="17"/>
        <v>-3117.9375</v>
      </c>
      <c r="Q58" s="1704"/>
      <c r="R58" s="1704">
        <f t="shared" si="18"/>
        <v>-1441.125</v>
      </c>
      <c r="S58" s="1753"/>
      <c r="T58" s="1708">
        <v>0</v>
      </c>
      <c r="U58" s="1753"/>
      <c r="V58" s="1708">
        <v>0</v>
      </c>
      <c r="W58" s="1753"/>
      <c r="X58" s="1704">
        <f t="shared" si="19"/>
        <v>-1441.125</v>
      </c>
      <c r="Y58" s="1707"/>
      <c r="Z58" s="1374" t="s">
        <v>1482</v>
      </c>
      <c r="AA58" s="1705"/>
      <c r="AB58" s="1374" t="s">
        <v>23</v>
      </c>
      <c r="AC58" s="1705"/>
      <c r="AD58" s="1706">
        <v>0</v>
      </c>
      <c r="AE58" s="1705"/>
      <c r="AF58" s="1704">
        <f t="shared" si="20"/>
        <v>0</v>
      </c>
      <c r="AG58" s="985"/>
      <c r="AH58" s="1246">
        <v>190</v>
      </c>
      <c r="AI58" s="1246"/>
    </row>
    <row r="59" spans="2:35">
      <c r="B59" s="1246">
        <v>48</v>
      </c>
      <c r="C59" s="1365" t="s">
        <v>1812</v>
      </c>
      <c r="D59" s="1365" t="s">
        <v>1714</v>
      </c>
      <c r="E59" s="1365" t="s">
        <v>1472</v>
      </c>
      <c r="F59" s="1708">
        <v>3429544.69</v>
      </c>
      <c r="G59" s="1704">
        <f t="shared" si="11"/>
        <v>1200340.6414999999</v>
      </c>
      <c r="H59" s="1708">
        <v>291511.29865000001</v>
      </c>
      <c r="I59" s="1704">
        <f t="shared" si="12"/>
        <v>-102028.9545275</v>
      </c>
      <c r="J59" s="1704">
        <f t="shared" si="13"/>
        <v>1389822.9856224998</v>
      </c>
      <c r="K59" s="1753"/>
      <c r="L59" s="1708">
        <f t="shared" si="14"/>
        <v>3429544.69</v>
      </c>
      <c r="M59" s="1704">
        <f t="shared" si="15"/>
        <v>720204.38489999995</v>
      </c>
      <c r="N59" s="1708">
        <v>291511.29865000001</v>
      </c>
      <c r="O59" s="1704">
        <f t="shared" si="16"/>
        <v>-61217.372716500002</v>
      </c>
      <c r="P59" s="1704">
        <f t="shared" si="17"/>
        <v>950498.3108335</v>
      </c>
      <c r="Q59" s="1704"/>
      <c r="R59" s="1704">
        <f t="shared" si="18"/>
        <v>439324.67478899984</v>
      </c>
      <c r="S59" s="1753"/>
      <c r="T59" s="1708">
        <v>412612.85591247928</v>
      </c>
      <c r="U59" s="1753"/>
      <c r="V59" s="1708">
        <v>0</v>
      </c>
      <c r="W59" s="1753"/>
      <c r="X59" s="1704">
        <f t="shared" si="19"/>
        <v>26711.818876520556</v>
      </c>
      <c r="Y59" s="1707"/>
      <c r="Z59" s="1374" t="s">
        <v>262</v>
      </c>
      <c r="AA59" s="1705"/>
      <c r="AB59" s="1374" t="s">
        <v>22</v>
      </c>
      <c r="AC59" s="1705"/>
      <c r="AD59" s="1706">
        <v>1</v>
      </c>
      <c r="AE59" s="1705"/>
      <c r="AF59" s="1704">
        <f t="shared" si="20"/>
        <v>26711.818876520556</v>
      </c>
      <c r="AG59" s="985"/>
      <c r="AH59" s="1246">
        <v>190</v>
      </c>
      <c r="AI59" s="1246"/>
    </row>
    <row r="60" spans="2:35">
      <c r="B60" s="1246">
        <v>49</v>
      </c>
      <c r="C60" s="1365" t="s">
        <v>1811</v>
      </c>
      <c r="D60" s="1365" t="s">
        <v>1714</v>
      </c>
      <c r="E60" s="1365" t="s">
        <v>1472</v>
      </c>
      <c r="F60" s="1708">
        <v>-409534.83</v>
      </c>
      <c r="G60" s="1704">
        <f t="shared" si="11"/>
        <v>-143337.1905</v>
      </c>
      <c r="H60" s="1708">
        <v>-34810.460550000003</v>
      </c>
      <c r="I60" s="1704">
        <f t="shared" si="12"/>
        <v>12183.6611925</v>
      </c>
      <c r="J60" s="1704">
        <f t="shared" si="13"/>
        <v>-165963.98985749998</v>
      </c>
      <c r="K60" s="1753"/>
      <c r="L60" s="1708">
        <f t="shared" si="14"/>
        <v>-409534.83</v>
      </c>
      <c r="M60" s="1704">
        <f t="shared" si="15"/>
        <v>-86002.314299999998</v>
      </c>
      <c r="N60" s="1708">
        <v>-34810.460550000003</v>
      </c>
      <c r="O60" s="1704">
        <f t="shared" si="16"/>
        <v>7310.1967155000002</v>
      </c>
      <c r="P60" s="1704">
        <f t="shared" si="17"/>
        <v>-113502.5781345</v>
      </c>
      <c r="Q60" s="1704"/>
      <c r="R60" s="1704">
        <f t="shared" si="18"/>
        <v>-52461.411722999983</v>
      </c>
      <c r="S60" s="1753"/>
      <c r="T60" s="1708">
        <v>0</v>
      </c>
      <c r="U60" s="1753"/>
      <c r="V60" s="1708">
        <v>0</v>
      </c>
      <c r="W60" s="1753"/>
      <c r="X60" s="1704">
        <f t="shared" si="19"/>
        <v>-52461.411722999983</v>
      </c>
      <c r="Y60" s="1707"/>
      <c r="Z60" s="1374" t="s">
        <v>262</v>
      </c>
      <c r="AA60" s="1705"/>
      <c r="AB60" s="1374" t="s">
        <v>22</v>
      </c>
      <c r="AC60" s="1705"/>
      <c r="AD60" s="1706">
        <v>0</v>
      </c>
      <c r="AE60" s="1705"/>
      <c r="AF60" s="1704">
        <f t="shared" si="20"/>
        <v>0</v>
      </c>
      <c r="AG60" s="985"/>
      <c r="AH60" s="1246">
        <v>190</v>
      </c>
      <c r="AI60" s="1246"/>
    </row>
    <row r="61" spans="2:35">
      <c r="B61" s="1246">
        <v>50</v>
      </c>
      <c r="C61" s="1365" t="s">
        <v>1810</v>
      </c>
      <c r="D61" s="1365" t="s">
        <v>1714</v>
      </c>
      <c r="E61" s="1365" t="s">
        <v>1472</v>
      </c>
      <c r="F61" s="1708">
        <v>-3118670.24</v>
      </c>
      <c r="G61" s="1704">
        <f t="shared" si="11"/>
        <v>-1091534.584</v>
      </c>
      <c r="H61" s="1708">
        <v>-265086.97040000005</v>
      </c>
      <c r="I61" s="1704">
        <f t="shared" si="12"/>
        <v>92780.439640000011</v>
      </c>
      <c r="J61" s="1704">
        <f t="shared" si="13"/>
        <v>-1263841.11476</v>
      </c>
      <c r="K61" s="1753"/>
      <c r="L61" s="1708">
        <f t="shared" si="14"/>
        <v>-3118670.24</v>
      </c>
      <c r="M61" s="1704">
        <f t="shared" si="15"/>
        <v>-654920.75040000002</v>
      </c>
      <c r="N61" s="1708">
        <v>-265086.97040000005</v>
      </c>
      <c r="O61" s="1704">
        <f t="shared" si="16"/>
        <v>55668.26378400001</v>
      </c>
      <c r="P61" s="1704">
        <f t="shared" si="17"/>
        <v>-864339.45701600006</v>
      </c>
      <c r="Q61" s="1704"/>
      <c r="R61" s="1704">
        <f t="shared" si="18"/>
        <v>-399501.65774399997</v>
      </c>
      <c r="S61" s="1753"/>
      <c r="T61" s="1708">
        <v>0</v>
      </c>
      <c r="U61" s="1753"/>
      <c r="V61" s="1708">
        <v>0</v>
      </c>
      <c r="W61" s="1753"/>
      <c r="X61" s="1704">
        <f t="shared" si="19"/>
        <v>-399501.65774399997</v>
      </c>
      <c r="Y61" s="1707"/>
      <c r="Z61" s="1374" t="s">
        <v>262</v>
      </c>
      <c r="AA61" s="1705"/>
      <c r="AB61" s="1374" t="s">
        <v>22</v>
      </c>
      <c r="AC61" s="1705"/>
      <c r="AD61" s="1706">
        <v>0</v>
      </c>
      <c r="AE61" s="1705"/>
      <c r="AF61" s="1704">
        <f t="shared" si="20"/>
        <v>0</v>
      </c>
      <c r="AG61" s="985"/>
      <c r="AH61" s="1246">
        <v>190</v>
      </c>
      <c r="AI61" s="1246"/>
    </row>
    <row r="62" spans="2:35">
      <c r="B62" s="1246">
        <v>51</v>
      </c>
      <c r="C62" s="1365" t="s">
        <v>1809</v>
      </c>
      <c r="D62" s="1365" t="s">
        <v>1714</v>
      </c>
      <c r="E62" s="1365" t="s">
        <v>1472</v>
      </c>
      <c r="F62" s="1708">
        <v>754792.02</v>
      </c>
      <c r="G62" s="1704">
        <f t="shared" si="11"/>
        <v>264177.20699999999</v>
      </c>
      <c r="H62" s="1708">
        <v>64157.321700000008</v>
      </c>
      <c r="I62" s="1704">
        <f t="shared" si="12"/>
        <v>-22455.062595000003</v>
      </c>
      <c r="J62" s="1704">
        <f t="shared" si="13"/>
        <v>305879.466105</v>
      </c>
      <c r="K62" s="1753"/>
      <c r="L62" s="1708">
        <f t="shared" si="14"/>
        <v>754792.02</v>
      </c>
      <c r="M62" s="1704">
        <f t="shared" si="15"/>
        <v>158506.3242</v>
      </c>
      <c r="N62" s="1708">
        <v>64157.321700000008</v>
      </c>
      <c r="O62" s="1704">
        <f t="shared" si="16"/>
        <v>-13473.037557000001</v>
      </c>
      <c r="P62" s="1704">
        <f t="shared" si="17"/>
        <v>209190.608343</v>
      </c>
      <c r="Q62" s="1704"/>
      <c r="R62" s="1704">
        <f t="shared" si="18"/>
        <v>96688.857762</v>
      </c>
      <c r="S62" s="1753"/>
      <c r="T62" s="1708">
        <v>0</v>
      </c>
      <c r="U62" s="1753"/>
      <c r="V62" s="1708">
        <v>0</v>
      </c>
      <c r="W62" s="1753"/>
      <c r="X62" s="1704">
        <f t="shared" si="19"/>
        <v>96688.857762</v>
      </c>
      <c r="Y62" s="1707"/>
      <c r="Z62" s="1374" t="s">
        <v>1486</v>
      </c>
      <c r="AA62" s="1705"/>
      <c r="AB62" s="1374" t="s">
        <v>22</v>
      </c>
      <c r="AC62" s="1705"/>
      <c r="AD62" s="1706">
        <v>0</v>
      </c>
      <c r="AE62" s="1705"/>
      <c r="AF62" s="1704">
        <f t="shared" si="20"/>
        <v>0</v>
      </c>
      <c r="AG62" s="985"/>
      <c r="AH62" s="1246">
        <v>190</v>
      </c>
      <c r="AI62" s="1246"/>
    </row>
    <row r="63" spans="2:35">
      <c r="B63" s="1246">
        <v>52</v>
      </c>
      <c r="C63" s="1365" t="s">
        <v>1808</v>
      </c>
      <c r="D63" s="1365" t="s">
        <v>1714</v>
      </c>
      <c r="E63" s="1365" t="s">
        <v>1472</v>
      </c>
      <c r="F63" s="1708">
        <v>1066.97</v>
      </c>
      <c r="G63" s="1704">
        <f t="shared" si="11"/>
        <v>373.43950000000001</v>
      </c>
      <c r="H63" s="1708">
        <v>90.692450000000008</v>
      </c>
      <c r="I63" s="1704">
        <f t="shared" si="12"/>
        <v>-31.742357500000001</v>
      </c>
      <c r="J63" s="1704">
        <f t="shared" si="13"/>
        <v>432.38959249999999</v>
      </c>
      <c r="K63" s="1753"/>
      <c r="L63" s="1708">
        <f t="shared" si="14"/>
        <v>1066.97</v>
      </c>
      <c r="M63" s="1704">
        <f t="shared" si="15"/>
        <v>224.06370000000001</v>
      </c>
      <c r="N63" s="1708">
        <v>90.692450000000008</v>
      </c>
      <c r="O63" s="1704">
        <f t="shared" si="16"/>
        <v>-19.0454145</v>
      </c>
      <c r="P63" s="1704">
        <f t="shared" si="17"/>
        <v>295.71073550000006</v>
      </c>
      <c r="Q63" s="1704"/>
      <c r="R63" s="1704">
        <f t="shared" si="18"/>
        <v>136.67885699999994</v>
      </c>
      <c r="S63" s="1753"/>
      <c r="T63" s="1708">
        <v>0</v>
      </c>
      <c r="U63" s="1753"/>
      <c r="V63" s="1708">
        <v>0</v>
      </c>
      <c r="W63" s="1753"/>
      <c r="X63" s="1704">
        <f t="shared" si="19"/>
        <v>136.67885699999994</v>
      </c>
      <c r="Y63" s="1707"/>
      <c r="Z63" s="1374" t="s">
        <v>1486</v>
      </c>
      <c r="AA63" s="1705"/>
      <c r="AB63" s="1374" t="s">
        <v>22</v>
      </c>
      <c r="AC63" s="1705"/>
      <c r="AD63" s="1706">
        <v>0</v>
      </c>
      <c r="AE63" s="1705"/>
      <c r="AF63" s="1704">
        <f t="shared" si="20"/>
        <v>0</v>
      </c>
      <c r="AG63" s="985"/>
      <c r="AH63" s="1246">
        <v>190</v>
      </c>
      <c r="AI63" s="1246"/>
    </row>
    <row r="64" spans="2:35">
      <c r="B64" s="1246">
        <v>53</v>
      </c>
      <c r="C64" s="1365" t="s">
        <v>1807</v>
      </c>
      <c r="D64" s="1365" t="s">
        <v>1714</v>
      </c>
      <c r="E64" s="1365" t="s">
        <v>1472</v>
      </c>
      <c r="F64" s="1708">
        <v>-1467110.09</v>
      </c>
      <c r="G64" s="1704">
        <f t="shared" si="11"/>
        <v>-513488.53149999998</v>
      </c>
      <c r="H64" s="1708">
        <v>-124704.35765000002</v>
      </c>
      <c r="I64" s="1704">
        <f t="shared" si="12"/>
        <v>43646.525177500007</v>
      </c>
      <c r="J64" s="1704">
        <f t="shared" si="13"/>
        <v>-594546.36397249997</v>
      </c>
      <c r="K64" s="1753"/>
      <c r="L64" s="1708">
        <f t="shared" si="14"/>
        <v>-1467110.09</v>
      </c>
      <c r="M64" s="1704">
        <f t="shared" si="15"/>
        <v>-308093.1189</v>
      </c>
      <c r="N64" s="1708">
        <v>-124704.35765000002</v>
      </c>
      <c r="O64" s="1704">
        <f t="shared" si="16"/>
        <v>26187.915106500004</v>
      </c>
      <c r="P64" s="1704">
        <f t="shared" si="17"/>
        <v>-406609.56144349999</v>
      </c>
      <c r="Q64" s="1704"/>
      <c r="R64" s="1704">
        <f t="shared" si="18"/>
        <v>-187936.80252899998</v>
      </c>
      <c r="S64" s="1753"/>
      <c r="T64" s="1708">
        <v>0</v>
      </c>
      <c r="U64" s="1753"/>
      <c r="V64" s="1708">
        <v>0</v>
      </c>
      <c r="W64" s="1753"/>
      <c r="X64" s="1704">
        <f t="shared" si="19"/>
        <v>-187936.80252899998</v>
      </c>
      <c r="Y64" s="1707"/>
      <c r="Z64" s="1374" t="s">
        <v>262</v>
      </c>
      <c r="AA64" s="1705"/>
      <c r="AB64" s="1374" t="s">
        <v>22</v>
      </c>
      <c r="AC64" s="1705"/>
      <c r="AD64" s="1706">
        <v>0</v>
      </c>
      <c r="AE64" s="1705"/>
      <c r="AF64" s="1704">
        <f t="shared" si="20"/>
        <v>0</v>
      </c>
      <c r="AG64" s="985"/>
      <c r="AH64" s="1246">
        <v>190</v>
      </c>
      <c r="AI64" s="1246"/>
    </row>
    <row r="65" spans="2:35">
      <c r="B65" s="1246">
        <v>54</v>
      </c>
      <c r="C65" s="1365" t="s">
        <v>1475</v>
      </c>
      <c r="D65" s="1365" t="s">
        <v>1714</v>
      </c>
      <c r="E65" s="1365" t="s">
        <v>1472</v>
      </c>
      <c r="F65" s="1708">
        <v>486300.12</v>
      </c>
      <c r="G65" s="1704">
        <f t="shared" si="11"/>
        <v>170205.04199999999</v>
      </c>
      <c r="H65" s="1708">
        <v>41335.510200000004</v>
      </c>
      <c r="I65" s="1704">
        <f t="shared" si="12"/>
        <v>-14467.42857</v>
      </c>
      <c r="J65" s="1704">
        <f t="shared" si="13"/>
        <v>197073.12362999999</v>
      </c>
      <c r="K65" s="1753"/>
      <c r="L65" s="1708">
        <f t="shared" si="14"/>
        <v>486300.12</v>
      </c>
      <c r="M65" s="1704">
        <f t="shared" si="15"/>
        <v>102123.02519999999</v>
      </c>
      <c r="N65" s="1708">
        <v>41335.510200000004</v>
      </c>
      <c r="O65" s="1704">
        <f t="shared" si="16"/>
        <v>-8680.4571420000011</v>
      </c>
      <c r="P65" s="1704">
        <f t="shared" si="17"/>
        <v>134778.07825799999</v>
      </c>
      <c r="Q65" s="1704"/>
      <c r="R65" s="1704">
        <f t="shared" si="18"/>
        <v>62295.045371999993</v>
      </c>
      <c r="S65" s="1753"/>
      <c r="T65" s="1708">
        <v>0</v>
      </c>
      <c r="U65" s="1753"/>
      <c r="V65" s="1708">
        <v>0</v>
      </c>
      <c r="W65" s="1753"/>
      <c r="X65" s="1704">
        <f t="shared" si="19"/>
        <v>62295.045371999993</v>
      </c>
      <c r="Y65" s="1707"/>
      <c r="Z65" s="1374" t="s">
        <v>262</v>
      </c>
      <c r="AA65" s="1705"/>
      <c r="AB65" s="1374" t="s">
        <v>22</v>
      </c>
      <c r="AC65" s="1705"/>
      <c r="AD65" s="1706">
        <v>6.0801999999999995E-2</v>
      </c>
      <c r="AE65" s="1705"/>
      <c r="AF65" s="1704">
        <f t="shared" si="20"/>
        <v>3787.6633487083432</v>
      </c>
      <c r="AG65" s="985"/>
      <c r="AH65" s="1246">
        <v>190</v>
      </c>
      <c r="AI65" s="1246"/>
    </row>
    <row r="66" spans="2:35">
      <c r="B66" s="1246">
        <v>55</v>
      </c>
      <c r="C66" s="1365" t="s">
        <v>1806</v>
      </c>
      <c r="D66" s="1365" t="s">
        <v>1714</v>
      </c>
      <c r="E66" s="1365" t="s">
        <v>1472</v>
      </c>
      <c r="F66" s="1708">
        <v>-766348.2</v>
      </c>
      <c r="G66" s="1704">
        <f t="shared" si="11"/>
        <v>-268221.87</v>
      </c>
      <c r="H66" s="1708">
        <v>-65139.597000000002</v>
      </c>
      <c r="I66" s="1704">
        <f t="shared" si="12"/>
        <v>22798.858949999998</v>
      </c>
      <c r="J66" s="1704">
        <f t="shared" si="13"/>
        <v>-310562.60804999998</v>
      </c>
      <c r="K66" s="1753"/>
      <c r="L66" s="1708">
        <f t="shared" si="14"/>
        <v>-766348.2</v>
      </c>
      <c r="M66" s="1704">
        <f t="shared" si="15"/>
        <v>-160933.12199999997</v>
      </c>
      <c r="N66" s="1708">
        <v>-65139.597000000002</v>
      </c>
      <c r="O66" s="1704">
        <f t="shared" si="16"/>
        <v>13679.31537</v>
      </c>
      <c r="P66" s="1704">
        <f t="shared" si="17"/>
        <v>-212393.40362999999</v>
      </c>
      <c r="Q66" s="1704"/>
      <c r="R66" s="1704">
        <f t="shared" si="18"/>
        <v>-98169.204419999995</v>
      </c>
      <c r="S66" s="1753"/>
      <c r="T66" s="1708">
        <v>0</v>
      </c>
      <c r="U66" s="1753"/>
      <c r="V66" s="1708">
        <v>0</v>
      </c>
      <c r="W66" s="1753"/>
      <c r="X66" s="1704">
        <f t="shared" si="19"/>
        <v>-98169.204419999995</v>
      </c>
      <c r="Y66" s="1707"/>
      <c r="Z66" s="1374" t="s">
        <v>1486</v>
      </c>
      <c r="AA66" s="1705"/>
      <c r="AB66" s="1374" t="s">
        <v>22</v>
      </c>
      <c r="AC66" s="1705"/>
      <c r="AD66" s="1706">
        <v>0</v>
      </c>
      <c r="AE66" s="1705"/>
      <c r="AF66" s="1704">
        <f t="shared" si="20"/>
        <v>0</v>
      </c>
      <c r="AG66" s="985"/>
      <c r="AH66" s="1246">
        <v>190</v>
      </c>
      <c r="AI66" s="1246"/>
    </row>
    <row r="67" spans="2:35">
      <c r="B67" s="1246">
        <v>56</v>
      </c>
      <c r="C67" s="1365" t="s">
        <v>1487</v>
      </c>
      <c r="D67" s="1365" t="s">
        <v>1714</v>
      </c>
      <c r="E67" s="1365" t="s">
        <v>1472</v>
      </c>
      <c r="F67" s="1708">
        <v>-1127189</v>
      </c>
      <c r="G67" s="1704">
        <f t="shared" si="11"/>
        <v>-394516.14999999997</v>
      </c>
      <c r="H67" s="1708">
        <v>-95811.065000000002</v>
      </c>
      <c r="I67" s="1704">
        <f t="shared" si="12"/>
        <v>33533.872750000002</v>
      </c>
      <c r="J67" s="1704">
        <f t="shared" si="13"/>
        <v>-456793.34224999999</v>
      </c>
      <c r="K67" s="1753"/>
      <c r="L67" s="1708">
        <f t="shared" si="14"/>
        <v>-1127189</v>
      </c>
      <c r="M67" s="1704">
        <f t="shared" si="15"/>
        <v>-236709.69</v>
      </c>
      <c r="N67" s="1708">
        <v>-95811.065000000002</v>
      </c>
      <c r="O67" s="1704">
        <f t="shared" si="16"/>
        <v>20120.323649999998</v>
      </c>
      <c r="P67" s="1704">
        <f t="shared" si="17"/>
        <v>-312400.43135000003</v>
      </c>
      <c r="Q67" s="1704"/>
      <c r="R67" s="1704">
        <f t="shared" si="18"/>
        <v>-144392.91089999996</v>
      </c>
      <c r="S67" s="1753"/>
      <c r="T67" s="1708">
        <v>0</v>
      </c>
      <c r="U67" s="1753"/>
      <c r="V67" s="1708">
        <v>0</v>
      </c>
      <c r="W67" s="1753"/>
      <c r="X67" s="1704">
        <f t="shared" si="19"/>
        <v>-144392.91089999996</v>
      </c>
      <c r="Y67" s="1707"/>
      <c r="Z67" s="1374" t="s">
        <v>1486</v>
      </c>
      <c r="AA67" s="1705"/>
      <c r="AB67" s="1374" t="s">
        <v>22</v>
      </c>
      <c r="AC67" s="1705"/>
      <c r="AD67" s="1754">
        <v>0.36620000000000003</v>
      </c>
      <c r="AE67" s="1705"/>
      <c r="AF67" s="1704">
        <f t="shared" si="20"/>
        <v>-52876.683971579987</v>
      </c>
      <c r="AG67" s="985"/>
      <c r="AH67" s="1246">
        <v>190</v>
      </c>
      <c r="AI67" s="1246"/>
    </row>
    <row r="68" spans="2:35">
      <c r="B68" s="1246">
        <v>57</v>
      </c>
      <c r="C68" s="1365" t="s">
        <v>1805</v>
      </c>
      <c r="D68" s="1365" t="s">
        <v>1714</v>
      </c>
      <c r="E68" s="1365" t="s">
        <v>1472</v>
      </c>
      <c r="F68" s="1708">
        <v>-2834390.52</v>
      </c>
      <c r="G68" s="1704">
        <f t="shared" si="11"/>
        <v>-992036.68199999991</v>
      </c>
      <c r="H68" s="1708">
        <v>-240923.19420000003</v>
      </c>
      <c r="I68" s="1704">
        <f t="shared" si="12"/>
        <v>84323.117970000007</v>
      </c>
      <c r="J68" s="1704">
        <f t="shared" si="13"/>
        <v>-1148636.7582299998</v>
      </c>
      <c r="K68" s="1753"/>
      <c r="L68" s="1708">
        <f t="shared" si="14"/>
        <v>-2834390.52</v>
      </c>
      <c r="M68" s="1704">
        <f t="shared" si="15"/>
        <v>-595222.00919999997</v>
      </c>
      <c r="N68" s="1708">
        <v>-240923.19420000003</v>
      </c>
      <c r="O68" s="1704">
        <f t="shared" si="16"/>
        <v>50593.870782000005</v>
      </c>
      <c r="P68" s="1704">
        <f t="shared" si="17"/>
        <v>-785551.33261799999</v>
      </c>
      <c r="Q68" s="1704"/>
      <c r="R68" s="1704">
        <f t="shared" si="18"/>
        <v>-363085.42561199982</v>
      </c>
      <c r="S68" s="1753"/>
      <c r="T68" s="1708">
        <v>0</v>
      </c>
      <c r="U68" s="1753"/>
      <c r="V68" s="1708">
        <v>0</v>
      </c>
      <c r="W68" s="1753"/>
      <c r="X68" s="1704">
        <f t="shared" si="19"/>
        <v>-363085.42561199982</v>
      </c>
      <c r="Y68" s="1707"/>
      <c r="Z68" s="1374" t="s">
        <v>1486</v>
      </c>
      <c r="AA68" s="1705"/>
      <c r="AB68" s="1374" t="s">
        <v>23</v>
      </c>
      <c r="AC68" s="1705"/>
      <c r="AD68" s="1706">
        <v>0</v>
      </c>
      <c r="AE68" s="1705"/>
      <c r="AF68" s="1704">
        <f t="shared" si="20"/>
        <v>0</v>
      </c>
      <c r="AG68" s="985"/>
      <c r="AH68" s="1246">
        <v>190</v>
      </c>
      <c r="AI68" s="1246"/>
    </row>
    <row r="69" spans="2:35">
      <c r="B69" s="1246">
        <v>58</v>
      </c>
      <c r="C69" s="1365" t="s">
        <v>1804</v>
      </c>
      <c r="D69" s="1365" t="s">
        <v>1714</v>
      </c>
      <c r="E69" s="1365" t="s">
        <v>1472</v>
      </c>
      <c r="F69" s="1708">
        <v>-836174.79</v>
      </c>
      <c r="G69" s="1704">
        <f t="shared" si="11"/>
        <v>-292661.1765</v>
      </c>
      <c r="H69" s="1708">
        <v>-71074.857150000011</v>
      </c>
      <c r="I69" s="1704">
        <f t="shared" si="12"/>
        <v>24876.200002500002</v>
      </c>
      <c r="J69" s="1704">
        <f t="shared" si="13"/>
        <v>-338859.83364750003</v>
      </c>
      <c r="K69" s="1753"/>
      <c r="L69" s="1708">
        <f t="shared" si="14"/>
        <v>-836174.79</v>
      </c>
      <c r="M69" s="1704">
        <f t="shared" si="15"/>
        <v>-175596.7059</v>
      </c>
      <c r="N69" s="1708">
        <v>-71074.857150000011</v>
      </c>
      <c r="O69" s="1704">
        <f t="shared" si="16"/>
        <v>14925.720001500002</v>
      </c>
      <c r="P69" s="1704">
        <f t="shared" si="17"/>
        <v>-231745.84304849998</v>
      </c>
      <c r="Q69" s="1704"/>
      <c r="R69" s="1704">
        <f t="shared" si="18"/>
        <v>-107113.99059900004</v>
      </c>
      <c r="S69" s="1753"/>
      <c r="T69" s="1708">
        <v>0</v>
      </c>
      <c r="U69" s="1753"/>
      <c r="V69" s="1708">
        <v>0</v>
      </c>
      <c r="W69" s="1753"/>
      <c r="X69" s="1704">
        <f t="shared" si="19"/>
        <v>-107113.99059900004</v>
      </c>
      <c r="Y69" s="1707"/>
      <c r="Z69" s="1374" t="s">
        <v>1716</v>
      </c>
      <c r="AA69" s="1705"/>
      <c r="AB69" s="1374" t="s">
        <v>23</v>
      </c>
      <c r="AC69" s="1705"/>
      <c r="AD69" s="1706">
        <v>0</v>
      </c>
      <c r="AE69" s="1705"/>
      <c r="AF69" s="1704">
        <f t="shared" si="20"/>
        <v>0</v>
      </c>
      <c r="AG69" s="985"/>
      <c r="AH69" s="1246">
        <v>190</v>
      </c>
      <c r="AI69" s="1246"/>
    </row>
    <row r="70" spans="2:35">
      <c r="B70" s="1246">
        <v>59</v>
      </c>
      <c r="C70" s="1365" t="s">
        <v>1803</v>
      </c>
      <c r="D70" s="1365" t="s">
        <v>1714</v>
      </c>
      <c r="E70" s="1365" t="s">
        <v>1472</v>
      </c>
      <c r="F70" s="1708">
        <v>8440143.8499999996</v>
      </c>
      <c r="G70" s="1704">
        <f t="shared" si="11"/>
        <v>2954050.3474999997</v>
      </c>
      <c r="H70" s="1708">
        <v>717412.22725</v>
      </c>
      <c r="I70" s="1704">
        <f t="shared" si="12"/>
        <v>-251094.27953749997</v>
      </c>
      <c r="J70" s="1704">
        <f t="shared" si="13"/>
        <v>3420368.2952124998</v>
      </c>
      <c r="K70" s="1753"/>
      <c r="L70" s="1708">
        <f t="shared" si="14"/>
        <v>8440143.8499999996</v>
      </c>
      <c r="M70" s="1704">
        <f t="shared" si="15"/>
        <v>1772430.2084999999</v>
      </c>
      <c r="N70" s="1708">
        <v>717412.22725</v>
      </c>
      <c r="O70" s="1704">
        <f t="shared" si="16"/>
        <v>-150656.56772249998</v>
      </c>
      <c r="P70" s="1704">
        <f t="shared" si="17"/>
        <v>2339185.8680275003</v>
      </c>
      <c r="Q70" s="1704"/>
      <c r="R70" s="1704">
        <f t="shared" si="18"/>
        <v>1081182.4271849995</v>
      </c>
      <c r="S70" s="1753"/>
      <c r="T70" s="1708">
        <v>0</v>
      </c>
      <c r="U70" s="1753"/>
      <c r="V70" s="1708">
        <v>0</v>
      </c>
      <c r="W70" s="1753"/>
      <c r="X70" s="1704">
        <f t="shared" si="19"/>
        <v>1081182.4271849995</v>
      </c>
      <c r="Y70" s="1707"/>
      <c r="Z70" s="1374" t="s">
        <v>1716</v>
      </c>
      <c r="AA70" s="1705"/>
      <c r="AB70" s="1374" t="s">
        <v>23</v>
      </c>
      <c r="AC70" s="1705"/>
      <c r="AD70" s="1706">
        <v>0</v>
      </c>
      <c r="AE70" s="1705"/>
      <c r="AF70" s="1704">
        <f t="shared" si="20"/>
        <v>0</v>
      </c>
      <c r="AG70" s="985"/>
      <c r="AH70" s="1246">
        <v>190</v>
      </c>
      <c r="AI70" s="1246"/>
    </row>
    <row r="71" spans="2:35">
      <c r="B71" s="1246">
        <v>60</v>
      </c>
      <c r="C71" s="1365" t="s">
        <v>1802</v>
      </c>
      <c r="D71" s="1365" t="s">
        <v>1714</v>
      </c>
      <c r="E71" s="1365" t="s">
        <v>1472</v>
      </c>
      <c r="F71" s="1708">
        <v>3421999.71</v>
      </c>
      <c r="G71" s="1704">
        <f t="shared" si="11"/>
        <v>1197699.8984999999</v>
      </c>
      <c r="H71" s="1708">
        <v>290869.97535000002</v>
      </c>
      <c r="I71" s="1704">
        <f t="shared" si="12"/>
        <v>-101804.49137250001</v>
      </c>
      <c r="J71" s="1704">
        <f t="shared" si="13"/>
        <v>1386765.3824774998</v>
      </c>
      <c r="K71" s="1753"/>
      <c r="L71" s="1708">
        <f t="shared" si="14"/>
        <v>3421999.71</v>
      </c>
      <c r="M71" s="1704">
        <f t="shared" si="15"/>
        <v>718619.93909999996</v>
      </c>
      <c r="N71" s="1708">
        <v>290869.97535000002</v>
      </c>
      <c r="O71" s="1704">
        <f t="shared" si="16"/>
        <v>-61082.694823500002</v>
      </c>
      <c r="P71" s="1704">
        <f t="shared" si="17"/>
        <v>948407.21962650004</v>
      </c>
      <c r="Q71" s="1704"/>
      <c r="R71" s="1704">
        <f t="shared" si="18"/>
        <v>438358.16285099974</v>
      </c>
      <c r="S71" s="1753"/>
      <c r="T71" s="1708">
        <v>0</v>
      </c>
      <c r="U71" s="1753"/>
      <c r="V71" s="1708">
        <v>0</v>
      </c>
      <c r="W71" s="1753"/>
      <c r="X71" s="1704">
        <f t="shared" si="19"/>
        <v>438358.16285099974</v>
      </c>
      <c r="Y71" s="1707"/>
      <c r="Z71" s="1374" t="s">
        <v>1482</v>
      </c>
      <c r="AA71" s="1705"/>
      <c r="AB71" s="1374" t="s">
        <v>23</v>
      </c>
      <c r="AC71" s="1705"/>
      <c r="AD71" s="1706">
        <v>0</v>
      </c>
      <c r="AE71" s="1705"/>
      <c r="AF71" s="1704">
        <f t="shared" si="20"/>
        <v>0</v>
      </c>
      <c r="AG71" s="985"/>
      <c r="AH71" s="1246">
        <v>190</v>
      </c>
      <c r="AI71" s="1246"/>
    </row>
    <row r="72" spans="2:35">
      <c r="B72" s="1246">
        <v>61</v>
      </c>
      <c r="C72" s="1365" t="s">
        <v>1793</v>
      </c>
      <c r="D72" s="1365" t="s">
        <v>1714</v>
      </c>
      <c r="E72" s="1365" t="s">
        <v>1472</v>
      </c>
      <c r="F72" s="1708">
        <v>7354606.2199999997</v>
      </c>
      <c r="G72" s="1704">
        <f t="shared" si="11"/>
        <v>2574112.1769999997</v>
      </c>
      <c r="H72" s="1708">
        <v>625141.52870000002</v>
      </c>
      <c r="I72" s="1704">
        <f t="shared" si="12"/>
        <v>-218799.535045</v>
      </c>
      <c r="J72" s="1704">
        <f t="shared" si="13"/>
        <v>2980454.170655</v>
      </c>
      <c r="K72" s="1753"/>
      <c r="L72" s="1708">
        <f t="shared" si="14"/>
        <v>7354606.2199999997</v>
      </c>
      <c r="M72" s="1704">
        <f t="shared" si="15"/>
        <v>1544467.3062</v>
      </c>
      <c r="N72" s="1708">
        <v>625141.52870000002</v>
      </c>
      <c r="O72" s="1704">
        <f t="shared" si="16"/>
        <v>-131279.72102699999</v>
      </c>
      <c r="P72" s="1704">
        <f t="shared" si="17"/>
        <v>2038329.1138730003</v>
      </c>
      <c r="Q72" s="1704"/>
      <c r="R72" s="1704">
        <f t="shared" si="18"/>
        <v>942125.05678199977</v>
      </c>
      <c r="S72" s="1753"/>
      <c r="T72" s="1708">
        <v>0</v>
      </c>
      <c r="U72" s="1753"/>
      <c r="V72" s="1708">
        <v>0</v>
      </c>
      <c r="W72" s="1753"/>
      <c r="X72" s="1704">
        <f t="shared" si="19"/>
        <v>942125.05678199977</v>
      </c>
      <c r="Y72" s="1707"/>
      <c r="Z72" s="1374" t="s">
        <v>1716</v>
      </c>
      <c r="AA72" s="1705"/>
      <c r="AB72" s="1374" t="s">
        <v>23</v>
      </c>
      <c r="AC72" s="1705"/>
      <c r="AD72" s="1706">
        <v>0</v>
      </c>
      <c r="AE72" s="1705"/>
      <c r="AF72" s="1704">
        <f t="shared" si="20"/>
        <v>0</v>
      </c>
      <c r="AG72" s="985"/>
      <c r="AH72" s="1246">
        <v>190</v>
      </c>
      <c r="AI72" s="1246"/>
    </row>
    <row r="73" spans="2:35">
      <c r="B73" s="1246">
        <v>62</v>
      </c>
      <c r="C73" s="1365" t="s">
        <v>1801</v>
      </c>
      <c r="D73" s="1365" t="s">
        <v>1714</v>
      </c>
      <c r="E73" s="1365" t="s">
        <v>1472</v>
      </c>
      <c r="F73" s="1708">
        <v>1467110.09</v>
      </c>
      <c r="G73" s="1704">
        <f t="shared" si="11"/>
        <v>513488.53149999998</v>
      </c>
      <c r="H73" s="1708">
        <v>124704.35765000002</v>
      </c>
      <c r="I73" s="1704">
        <f t="shared" si="12"/>
        <v>-43646.525177500007</v>
      </c>
      <c r="J73" s="1704">
        <f t="shared" si="13"/>
        <v>594546.36397249997</v>
      </c>
      <c r="K73" s="1753"/>
      <c r="L73" s="1708">
        <f t="shared" si="14"/>
        <v>1467110.09</v>
      </c>
      <c r="M73" s="1704">
        <f t="shared" si="15"/>
        <v>308093.1189</v>
      </c>
      <c r="N73" s="1708">
        <v>124704.35765000002</v>
      </c>
      <c r="O73" s="1704">
        <f t="shared" si="16"/>
        <v>-26187.915106500004</v>
      </c>
      <c r="P73" s="1704">
        <f t="shared" si="17"/>
        <v>406609.56144349999</v>
      </c>
      <c r="Q73" s="1704"/>
      <c r="R73" s="1704">
        <f t="shared" si="18"/>
        <v>187936.80252899998</v>
      </c>
      <c r="S73" s="1753"/>
      <c r="T73" s="1708">
        <v>0</v>
      </c>
      <c r="U73" s="1753"/>
      <c r="V73" s="1708">
        <v>0</v>
      </c>
      <c r="W73" s="1753"/>
      <c r="X73" s="1704">
        <f t="shared" si="19"/>
        <v>187936.80252899998</v>
      </c>
      <c r="Y73" s="1707"/>
      <c r="Z73" s="1374" t="s">
        <v>262</v>
      </c>
      <c r="AA73" s="1705"/>
      <c r="AB73" s="1374" t="s">
        <v>22</v>
      </c>
      <c r="AC73" s="1705"/>
      <c r="AD73" s="1706">
        <v>0</v>
      </c>
      <c r="AE73" s="1705"/>
      <c r="AF73" s="1704">
        <f t="shared" si="20"/>
        <v>0</v>
      </c>
      <c r="AG73" s="985"/>
      <c r="AH73" s="1246">
        <v>190</v>
      </c>
      <c r="AI73" s="1246"/>
    </row>
    <row r="74" spans="2:35">
      <c r="B74" s="1246">
        <v>63</v>
      </c>
      <c r="C74" s="1365" t="s">
        <v>1800</v>
      </c>
      <c r="D74" s="1365" t="s">
        <v>1714</v>
      </c>
      <c r="E74" s="1365" t="s">
        <v>1472</v>
      </c>
      <c r="F74" s="1708">
        <v>130121.22</v>
      </c>
      <c r="G74" s="1704">
        <f t="shared" si="11"/>
        <v>45542.426999999996</v>
      </c>
      <c r="H74" s="1708">
        <v>11060.3037</v>
      </c>
      <c r="I74" s="1704">
        <f t="shared" si="12"/>
        <v>-3871.106295</v>
      </c>
      <c r="J74" s="1704">
        <f t="shared" si="13"/>
        <v>52731.624405000002</v>
      </c>
      <c r="K74" s="1753"/>
      <c r="L74" s="1708">
        <f t="shared" si="14"/>
        <v>130121.22</v>
      </c>
      <c r="M74" s="1704">
        <f t="shared" si="15"/>
        <v>27325.456200000001</v>
      </c>
      <c r="N74" s="1708">
        <v>11060.3037</v>
      </c>
      <c r="O74" s="1704">
        <f t="shared" si="16"/>
        <v>-2322.6637770000002</v>
      </c>
      <c r="P74" s="1704">
        <f t="shared" si="17"/>
        <v>36063.096123000003</v>
      </c>
      <c r="Q74" s="1704"/>
      <c r="R74" s="1704">
        <f t="shared" si="18"/>
        <v>16668.528281999999</v>
      </c>
      <c r="S74" s="1753"/>
      <c r="T74" s="1708">
        <v>0</v>
      </c>
      <c r="U74" s="1753"/>
      <c r="V74" s="1708">
        <v>0</v>
      </c>
      <c r="W74" s="1753"/>
      <c r="X74" s="1704">
        <f t="shared" si="19"/>
        <v>16668.528281999999</v>
      </c>
      <c r="Y74" s="1707"/>
      <c r="Z74" s="1374" t="s">
        <v>262</v>
      </c>
      <c r="AA74" s="1705"/>
      <c r="AB74" s="1374" t="s">
        <v>22</v>
      </c>
      <c r="AC74" s="1705"/>
      <c r="AD74" s="1706">
        <v>6.0801999999999995E-2</v>
      </c>
      <c r="AE74" s="1705"/>
      <c r="AF74" s="1704">
        <f t="shared" si="20"/>
        <v>1013.4798566021639</v>
      </c>
      <c r="AG74" s="985"/>
      <c r="AH74" s="1246">
        <v>190</v>
      </c>
      <c r="AI74" s="1246"/>
    </row>
    <row r="75" spans="2:35">
      <c r="B75" s="1246">
        <v>64</v>
      </c>
      <c r="C75" s="1365" t="s">
        <v>1799</v>
      </c>
      <c r="D75" s="1365" t="s">
        <v>1714</v>
      </c>
      <c r="E75" s="1365" t="s">
        <v>1472</v>
      </c>
      <c r="F75" s="1708">
        <v>5619720.6799999997</v>
      </c>
      <c r="G75" s="1704">
        <f t="shared" si="11"/>
        <v>1966902.2379999997</v>
      </c>
      <c r="H75" s="1708">
        <v>477676.25780000002</v>
      </c>
      <c r="I75" s="1704">
        <f t="shared" si="12"/>
        <v>-167186.69023000001</v>
      </c>
      <c r="J75" s="1704">
        <f t="shared" si="13"/>
        <v>2277391.8055699999</v>
      </c>
      <c r="K75" s="1753"/>
      <c r="L75" s="1708">
        <f t="shared" si="14"/>
        <v>5619720.6799999997</v>
      </c>
      <c r="M75" s="1704">
        <f t="shared" si="15"/>
        <v>1180141.3428</v>
      </c>
      <c r="N75" s="1708">
        <v>477676.25780000002</v>
      </c>
      <c r="O75" s="1704">
        <f t="shared" si="16"/>
        <v>-100312.014138</v>
      </c>
      <c r="P75" s="1704">
        <f t="shared" si="17"/>
        <v>1557505.5864619999</v>
      </c>
      <c r="Q75" s="1704"/>
      <c r="R75" s="1704">
        <f t="shared" si="18"/>
        <v>719886.21910799993</v>
      </c>
      <c r="S75" s="1753"/>
      <c r="T75" s="1708">
        <v>719886.21910800005</v>
      </c>
      <c r="U75" s="1753"/>
      <c r="V75" s="1708">
        <v>0</v>
      </c>
      <c r="W75" s="1753"/>
      <c r="X75" s="1704">
        <f t="shared" si="19"/>
        <v>-1.1641532182693481E-10</v>
      </c>
      <c r="Y75" s="1707"/>
      <c r="Z75" s="1374" t="s">
        <v>1486</v>
      </c>
      <c r="AA75" s="1705"/>
      <c r="AB75" s="1374" t="s">
        <v>23</v>
      </c>
      <c r="AC75" s="1705"/>
      <c r="AD75" s="1706">
        <v>0</v>
      </c>
      <c r="AE75" s="1705"/>
      <c r="AF75" s="1704">
        <f t="shared" si="20"/>
        <v>0</v>
      </c>
      <c r="AG75" s="985"/>
      <c r="AH75" s="1246">
        <v>190</v>
      </c>
      <c r="AI75" s="1246"/>
    </row>
    <row r="76" spans="2:35">
      <c r="B76" s="1246">
        <v>65</v>
      </c>
      <c r="C76" s="1365" t="s">
        <v>1798</v>
      </c>
      <c r="D76" s="1365" t="s">
        <v>1714</v>
      </c>
      <c r="E76" s="1365" t="s">
        <v>1472</v>
      </c>
      <c r="F76" s="1708">
        <v>2834390.52</v>
      </c>
      <c r="G76" s="1704">
        <f t="shared" ref="G76:G89" si="21">F76*0.35</f>
        <v>992036.68199999991</v>
      </c>
      <c r="H76" s="1708">
        <v>240923.19420000003</v>
      </c>
      <c r="I76" s="1704">
        <f t="shared" ref="I76:I89" si="22">H76*-0.35</f>
        <v>-84323.117970000007</v>
      </c>
      <c r="J76" s="1704">
        <f t="shared" ref="J76:J89" si="23">G76+H76+I76</f>
        <v>1148636.7582299998</v>
      </c>
      <c r="K76" s="1753"/>
      <c r="L76" s="1708">
        <f t="shared" ref="L76:L89" si="24">F76</f>
        <v>2834390.52</v>
      </c>
      <c r="M76" s="1704">
        <f t="shared" ref="M76:M90" si="25">L76*0.21</f>
        <v>595222.00919999997</v>
      </c>
      <c r="N76" s="1708">
        <v>240923.19420000003</v>
      </c>
      <c r="O76" s="1704">
        <f t="shared" ref="O76:O90" si="26">N76*-0.21</f>
        <v>-50593.870782000005</v>
      </c>
      <c r="P76" s="1704">
        <f t="shared" ref="P76:P90" si="27">M76+N76+O76</f>
        <v>785551.33261799999</v>
      </c>
      <c r="Q76" s="1704"/>
      <c r="R76" s="1704">
        <f t="shared" ref="R76:R90" si="28">J76-P76</f>
        <v>363085.42561199982</v>
      </c>
      <c r="S76" s="1753"/>
      <c r="T76" s="1708">
        <v>0</v>
      </c>
      <c r="U76" s="1753"/>
      <c r="V76" s="1708">
        <v>0</v>
      </c>
      <c r="W76" s="1753"/>
      <c r="X76" s="1704">
        <f t="shared" ref="X76:X90" si="29">R76-T76-V76</f>
        <v>363085.42561199982</v>
      </c>
      <c r="Y76" s="1707"/>
      <c r="Z76" s="1374" t="s">
        <v>1486</v>
      </c>
      <c r="AA76" s="1705"/>
      <c r="AB76" s="1374" t="s">
        <v>22</v>
      </c>
      <c r="AC76" s="1705"/>
      <c r="AD76" s="1754">
        <v>0</v>
      </c>
      <c r="AE76" s="1705"/>
      <c r="AF76" s="1704">
        <f t="shared" si="20"/>
        <v>0</v>
      </c>
      <c r="AG76" s="985"/>
      <c r="AH76" s="1246">
        <v>190</v>
      </c>
      <c r="AI76" s="1246"/>
    </row>
    <row r="77" spans="2:35">
      <c r="B77" s="1246">
        <v>66</v>
      </c>
      <c r="C77" s="1365" t="s">
        <v>1797</v>
      </c>
      <c r="D77" s="1365" t="s">
        <v>1714</v>
      </c>
      <c r="E77" s="1365" t="s">
        <v>1472</v>
      </c>
      <c r="F77" s="1708">
        <v>836174.79</v>
      </c>
      <c r="G77" s="1704">
        <f t="shared" si="21"/>
        <v>292661.1765</v>
      </c>
      <c r="H77" s="1708">
        <v>71074.857150000011</v>
      </c>
      <c r="I77" s="1704">
        <f t="shared" si="22"/>
        <v>-24876.200002500002</v>
      </c>
      <c r="J77" s="1704">
        <f t="shared" si="23"/>
        <v>338859.83364750003</v>
      </c>
      <c r="K77" s="1753"/>
      <c r="L77" s="1708">
        <f t="shared" si="24"/>
        <v>836174.79</v>
      </c>
      <c r="M77" s="1704">
        <f t="shared" si="25"/>
        <v>175596.7059</v>
      </c>
      <c r="N77" s="1708">
        <v>71074.857150000011</v>
      </c>
      <c r="O77" s="1704">
        <f t="shared" si="26"/>
        <v>-14925.720001500002</v>
      </c>
      <c r="P77" s="1704">
        <f t="shared" si="27"/>
        <v>231745.84304849998</v>
      </c>
      <c r="Q77" s="1704"/>
      <c r="R77" s="1704">
        <f t="shared" si="28"/>
        <v>107113.99059900004</v>
      </c>
      <c r="S77" s="1753"/>
      <c r="T77" s="1708">
        <v>0</v>
      </c>
      <c r="U77" s="1753"/>
      <c r="V77" s="1708">
        <v>0</v>
      </c>
      <c r="W77" s="1753"/>
      <c r="X77" s="1704">
        <f t="shared" si="29"/>
        <v>107113.99059900004</v>
      </c>
      <c r="Y77" s="1707"/>
      <c r="Z77" s="1374" t="s">
        <v>1716</v>
      </c>
      <c r="AA77" s="1705"/>
      <c r="AB77" s="1374" t="s">
        <v>23</v>
      </c>
      <c r="AC77" s="1705"/>
      <c r="AD77" s="1706">
        <v>0</v>
      </c>
      <c r="AE77" s="1705"/>
      <c r="AF77" s="1704">
        <f t="shared" si="20"/>
        <v>0</v>
      </c>
      <c r="AG77" s="985"/>
      <c r="AH77" s="1246">
        <v>190</v>
      </c>
      <c r="AI77" s="1246"/>
    </row>
    <row r="78" spans="2:35">
      <c r="B78" s="1246">
        <v>67</v>
      </c>
      <c r="C78" s="1365" t="s">
        <v>1796</v>
      </c>
      <c r="D78" s="1365" t="s">
        <v>1714</v>
      </c>
      <c r="E78" s="1365" t="s">
        <v>1472</v>
      </c>
      <c r="F78" s="1708">
        <v>-1721598.04</v>
      </c>
      <c r="G78" s="1704">
        <f t="shared" si="21"/>
        <v>-602559.31400000001</v>
      </c>
      <c r="H78" s="1708">
        <v>-146335.8334</v>
      </c>
      <c r="I78" s="1704">
        <f t="shared" si="22"/>
        <v>51217.541689999998</v>
      </c>
      <c r="J78" s="1704">
        <f t="shared" si="23"/>
        <v>-697677.60571000003</v>
      </c>
      <c r="K78" s="1753"/>
      <c r="L78" s="1708">
        <f t="shared" si="24"/>
        <v>-1721598.04</v>
      </c>
      <c r="M78" s="1704">
        <f t="shared" si="25"/>
        <v>-361535.58840000001</v>
      </c>
      <c r="N78" s="1708">
        <v>-146335.8334</v>
      </c>
      <c r="O78" s="1704">
        <f t="shared" si="26"/>
        <v>30730.525013999999</v>
      </c>
      <c r="P78" s="1704">
        <f t="shared" si="27"/>
        <v>-477140.896786</v>
      </c>
      <c r="Q78" s="1704"/>
      <c r="R78" s="1704">
        <f t="shared" si="28"/>
        <v>-220536.70892400004</v>
      </c>
      <c r="S78" s="1753"/>
      <c r="T78" s="1708">
        <v>0</v>
      </c>
      <c r="U78" s="1753"/>
      <c r="V78" s="1708">
        <v>0</v>
      </c>
      <c r="W78" s="1753"/>
      <c r="X78" s="1704">
        <f t="shared" si="29"/>
        <v>-220536.70892400004</v>
      </c>
      <c r="Y78" s="1707"/>
      <c r="Z78" s="1374" t="s">
        <v>262</v>
      </c>
      <c r="AA78" s="1705"/>
      <c r="AB78" s="1374" t="s">
        <v>22</v>
      </c>
      <c r="AC78" s="1705"/>
      <c r="AD78" s="1706">
        <v>6.0801999999999995E-2</v>
      </c>
      <c r="AE78" s="1705"/>
      <c r="AF78" s="1704">
        <f t="shared" si="20"/>
        <v>-13409.072975997049</v>
      </c>
      <c r="AG78" s="985"/>
      <c r="AH78" s="1246">
        <v>190</v>
      </c>
      <c r="AI78" s="1246"/>
    </row>
    <row r="79" spans="2:35">
      <c r="B79" s="1246">
        <v>68</v>
      </c>
      <c r="C79" s="1365" t="s">
        <v>1795</v>
      </c>
      <c r="D79" s="1365" t="s">
        <v>1714</v>
      </c>
      <c r="E79" s="1365" t="s">
        <v>1472</v>
      </c>
      <c r="F79" s="1708">
        <v>20000</v>
      </c>
      <c r="G79" s="1704">
        <f t="shared" si="21"/>
        <v>7000</v>
      </c>
      <c r="H79" s="1708">
        <v>1700.0000000000002</v>
      </c>
      <c r="I79" s="1704">
        <f t="shared" si="22"/>
        <v>-595</v>
      </c>
      <c r="J79" s="1704">
        <f t="shared" si="23"/>
        <v>8105</v>
      </c>
      <c r="K79" s="1753"/>
      <c r="L79" s="1708">
        <f t="shared" si="24"/>
        <v>20000</v>
      </c>
      <c r="M79" s="1704">
        <f t="shared" si="25"/>
        <v>4200</v>
      </c>
      <c r="N79" s="1708">
        <v>1700.0000000000002</v>
      </c>
      <c r="O79" s="1704">
        <f t="shared" si="26"/>
        <v>-357.00000000000006</v>
      </c>
      <c r="P79" s="1704">
        <f t="shared" si="27"/>
        <v>5543</v>
      </c>
      <c r="Q79" s="1704"/>
      <c r="R79" s="1704">
        <f t="shared" si="28"/>
        <v>2562</v>
      </c>
      <c r="S79" s="1753"/>
      <c r="T79" s="1708">
        <v>0</v>
      </c>
      <c r="U79" s="1753"/>
      <c r="V79" s="1708">
        <v>0</v>
      </c>
      <c r="W79" s="1753"/>
      <c r="X79" s="1704">
        <f t="shared" si="29"/>
        <v>2562</v>
      </c>
      <c r="Y79" s="1707"/>
      <c r="Z79" s="1374" t="s">
        <v>1486</v>
      </c>
      <c r="AA79" s="1705"/>
      <c r="AB79" s="1374" t="s">
        <v>22</v>
      </c>
      <c r="AC79" s="1705"/>
      <c r="AD79" s="1706">
        <v>0.31493199999999999</v>
      </c>
      <c r="AE79" s="1705"/>
      <c r="AF79" s="1704">
        <f t="shared" si="20"/>
        <v>806.85578399999997</v>
      </c>
      <c r="AG79" s="985"/>
      <c r="AH79" s="1246">
        <v>190</v>
      </c>
      <c r="AI79" s="1246"/>
    </row>
    <row r="80" spans="2:35">
      <c r="B80" s="1246">
        <v>69</v>
      </c>
      <c r="C80" s="1365" t="s">
        <v>1794</v>
      </c>
      <c r="D80" s="1365" t="s">
        <v>1714</v>
      </c>
      <c r="E80" s="1365" t="s">
        <v>1472</v>
      </c>
      <c r="F80" s="1708">
        <v>-7938491.7699999996</v>
      </c>
      <c r="G80" s="1704">
        <f t="shared" si="21"/>
        <v>-2778472.1194999996</v>
      </c>
      <c r="H80" s="1708">
        <v>-674771.80044999998</v>
      </c>
      <c r="I80" s="1704">
        <f t="shared" si="22"/>
        <v>236170.13015749998</v>
      </c>
      <c r="J80" s="1704">
        <f t="shared" si="23"/>
        <v>-3217073.7897924995</v>
      </c>
      <c r="K80" s="1753"/>
      <c r="L80" s="1708">
        <f t="shared" si="24"/>
        <v>-7938491.7699999996</v>
      </c>
      <c r="M80" s="1704">
        <f t="shared" si="25"/>
        <v>-1667083.2716999999</v>
      </c>
      <c r="N80" s="1708">
        <v>-674771.80044999998</v>
      </c>
      <c r="O80" s="1704">
        <f t="shared" si="26"/>
        <v>141702.0780945</v>
      </c>
      <c r="P80" s="1704">
        <f t="shared" si="27"/>
        <v>-2200152.9940554998</v>
      </c>
      <c r="Q80" s="1704"/>
      <c r="R80" s="1704">
        <f t="shared" si="28"/>
        <v>-1016920.7957369997</v>
      </c>
      <c r="S80" s="1753"/>
      <c r="T80" s="1708">
        <v>0</v>
      </c>
      <c r="U80" s="1753"/>
      <c r="V80" s="1708">
        <v>0</v>
      </c>
      <c r="W80" s="1753"/>
      <c r="X80" s="1704">
        <f t="shared" si="29"/>
        <v>-1016920.7957369997</v>
      </c>
      <c r="Y80" s="1707"/>
      <c r="Z80" s="1374" t="s">
        <v>1716</v>
      </c>
      <c r="AA80" s="1705"/>
      <c r="AB80" s="1374" t="s">
        <v>23</v>
      </c>
      <c r="AC80" s="1705"/>
      <c r="AD80" s="1706">
        <v>0</v>
      </c>
      <c r="AE80" s="1705"/>
      <c r="AF80" s="1704">
        <f t="shared" si="20"/>
        <v>0</v>
      </c>
      <c r="AG80" s="985"/>
      <c r="AH80" s="1246">
        <v>190</v>
      </c>
      <c r="AI80" s="1246"/>
    </row>
    <row r="81" spans="2:35">
      <c r="B81" s="1246">
        <v>70</v>
      </c>
      <c r="C81" s="1365" t="s">
        <v>1793</v>
      </c>
      <c r="D81" s="1365" t="s">
        <v>1714</v>
      </c>
      <c r="E81" s="1365" t="s">
        <v>1472</v>
      </c>
      <c r="F81" s="1708">
        <v>140894.68</v>
      </c>
      <c r="G81" s="1704">
        <f t="shared" si="21"/>
        <v>49313.137999999992</v>
      </c>
      <c r="H81" s="1708">
        <v>11976.0478</v>
      </c>
      <c r="I81" s="1704">
        <f t="shared" si="22"/>
        <v>-4191.6167299999997</v>
      </c>
      <c r="J81" s="1704">
        <f t="shared" si="23"/>
        <v>57097.56906999999</v>
      </c>
      <c r="K81" s="1753"/>
      <c r="L81" s="1708">
        <f t="shared" si="24"/>
        <v>140894.68</v>
      </c>
      <c r="M81" s="1704">
        <f t="shared" si="25"/>
        <v>29587.882799999996</v>
      </c>
      <c r="N81" s="1708">
        <v>11976.0478</v>
      </c>
      <c r="O81" s="1704">
        <f t="shared" si="26"/>
        <v>-2514.9700379999999</v>
      </c>
      <c r="P81" s="1704">
        <f t="shared" si="27"/>
        <v>39048.960561999993</v>
      </c>
      <c r="Q81" s="1704"/>
      <c r="R81" s="1704">
        <f t="shared" si="28"/>
        <v>18048.608507999998</v>
      </c>
      <c r="S81" s="1753"/>
      <c r="T81" s="1708">
        <v>0</v>
      </c>
      <c r="U81" s="1753"/>
      <c r="V81" s="1708">
        <v>0</v>
      </c>
      <c r="W81" s="1753"/>
      <c r="X81" s="1704">
        <f t="shared" si="29"/>
        <v>18048.608507999998</v>
      </c>
      <c r="Y81" s="1707"/>
      <c r="Z81" s="1374" t="s">
        <v>1716</v>
      </c>
      <c r="AA81" s="1705"/>
      <c r="AB81" s="1374" t="s">
        <v>23</v>
      </c>
      <c r="AC81" s="1705"/>
      <c r="AD81" s="1706">
        <v>0</v>
      </c>
      <c r="AE81" s="1705"/>
      <c r="AF81" s="1704">
        <f t="shared" si="20"/>
        <v>0</v>
      </c>
      <c r="AG81" s="985"/>
      <c r="AH81" s="1246">
        <v>190</v>
      </c>
      <c r="AI81" s="1246"/>
    </row>
    <row r="82" spans="2:35">
      <c r="B82" s="1246">
        <v>71</v>
      </c>
      <c r="C82" s="1365" t="s">
        <v>1792</v>
      </c>
      <c r="D82" s="1365" t="s">
        <v>1706</v>
      </c>
      <c r="E82" s="1365" t="s">
        <v>1472</v>
      </c>
      <c r="F82" s="1708">
        <v>10286210.34</v>
      </c>
      <c r="G82" s="1704">
        <f t="shared" si="21"/>
        <v>3600173.6189999999</v>
      </c>
      <c r="H82" s="1708">
        <v>874327.87890000001</v>
      </c>
      <c r="I82" s="1704">
        <f t="shared" si="22"/>
        <v>-306014.75761500001</v>
      </c>
      <c r="J82" s="1704">
        <f t="shared" si="23"/>
        <v>4168486.7402849998</v>
      </c>
      <c r="K82" s="1753"/>
      <c r="L82" s="1708">
        <f t="shared" si="24"/>
        <v>10286210.34</v>
      </c>
      <c r="M82" s="1704">
        <f t="shared" si="25"/>
        <v>2160104.1713999999</v>
      </c>
      <c r="N82" s="1708">
        <v>874327.87890000001</v>
      </c>
      <c r="O82" s="1704">
        <f t="shared" si="26"/>
        <v>-183608.85456899999</v>
      </c>
      <c r="P82" s="1704">
        <f t="shared" si="27"/>
        <v>2850823.1957309996</v>
      </c>
      <c r="Q82" s="1704"/>
      <c r="R82" s="1704">
        <f t="shared" si="28"/>
        <v>1317663.5445540003</v>
      </c>
      <c r="S82" s="1753"/>
      <c r="T82" s="1708">
        <v>0</v>
      </c>
      <c r="U82" s="1753"/>
      <c r="V82" s="1708">
        <v>0</v>
      </c>
      <c r="W82" s="1753"/>
      <c r="X82" s="1704">
        <f t="shared" si="29"/>
        <v>1317663.5445540003</v>
      </c>
      <c r="Y82" s="1707"/>
      <c r="Z82" s="1374" t="s">
        <v>1716</v>
      </c>
      <c r="AA82" s="1705"/>
      <c r="AB82" s="1374" t="s">
        <v>23</v>
      </c>
      <c r="AC82" s="1705"/>
      <c r="AD82" s="1706">
        <v>0</v>
      </c>
      <c r="AE82" s="1705"/>
      <c r="AF82" s="1704">
        <f t="shared" si="20"/>
        <v>0</v>
      </c>
      <c r="AG82" s="985"/>
      <c r="AH82" s="1246">
        <v>190</v>
      </c>
      <c r="AI82" s="1246"/>
    </row>
    <row r="83" spans="2:35">
      <c r="B83" s="1246">
        <v>72</v>
      </c>
      <c r="C83" s="1365" t="s">
        <v>1791</v>
      </c>
      <c r="D83" s="1365" t="s">
        <v>1488</v>
      </c>
      <c r="E83" s="1365" t="s">
        <v>1472</v>
      </c>
      <c r="F83" s="1708">
        <v>0</v>
      </c>
      <c r="G83" s="1704">
        <f t="shared" si="21"/>
        <v>0</v>
      </c>
      <c r="H83" s="1708">
        <v>13829655.55384</v>
      </c>
      <c r="I83" s="1704">
        <f t="shared" si="22"/>
        <v>-4840379.4438439999</v>
      </c>
      <c r="J83" s="1704">
        <f t="shared" si="23"/>
        <v>8989276.1099960003</v>
      </c>
      <c r="K83" s="1753"/>
      <c r="L83" s="1708">
        <f t="shared" si="24"/>
        <v>0</v>
      </c>
      <c r="M83" s="1704">
        <f t="shared" si="25"/>
        <v>0</v>
      </c>
      <c r="N83" s="1708">
        <v>13829655.55384</v>
      </c>
      <c r="O83" s="1704">
        <f t="shared" si="26"/>
        <v>-2904227.6663063997</v>
      </c>
      <c r="P83" s="1704">
        <f t="shared" si="27"/>
        <v>10925427.887533601</v>
      </c>
      <c r="Q83" s="1704"/>
      <c r="R83" s="1704">
        <f t="shared" si="28"/>
        <v>-1936151.7775376011</v>
      </c>
      <c r="S83" s="1753"/>
      <c r="T83" s="1708">
        <v>0</v>
      </c>
      <c r="U83" s="1753"/>
      <c r="V83" s="1708">
        <v>0</v>
      </c>
      <c r="W83" s="1753"/>
      <c r="X83" s="1704">
        <f t="shared" si="29"/>
        <v>-1936151.7775376011</v>
      </c>
      <c r="Y83" s="1707"/>
      <c r="Z83" s="1374" t="s">
        <v>1486</v>
      </c>
      <c r="AA83" s="1705"/>
      <c r="AB83" s="1374" t="s">
        <v>22</v>
      </c>
      <c r="AC83" s="1705"/>
      <c r="AD83" s="1706">
        <v>0.32958000000000004</v>
      </c>
      <c r="AE83" s="1705"/>
      <c r="AF83" s="1704">
        <f t="shared" ref="AF83:AF90" si="30">X83*AD83</f>
        <v>-638116.90284084261</v>
      </c>
      <c r="AG83" s="985"/>
      <c r="AH83" s="1246">
        <v>190</v>
      </c>
      <c r="AI83" s="1246"/>
    </row>
    <row r="84" spans="2:35">
      <c r="B84" s="1246">
        <v>73</v>
      </c>
      <c r="C84" s="1365" t="s">
        <v>1790</v>
      </c>
      <c r="D84" s="1365" t="s">
        <v>1488</v>
      </c>
      <c r="E84" s="1365" t="s">
        <v>1472</v>
      </c>
      <c r="F84" s="1708">
        <v>0</v>
      </c>
      <c r="G84" s="1704">
        <f t="shared" si="21"/>
        <v>0</v>
      </c>
      <c r="H84" s="1708">
        <v>47754298.834408969</v>
      </c>
      <c r="I84" s="1704">
        <f t="shared" si="22"/>
        <v>-16714004.592043137</v>
      </c>
      <c r="J84" s="1704">
        <f t="shared" si="23"/>
        <v>31040294.24236583</v>
      </c>
      <c r="K84" s="1753"/>
      <c r="L84" s="1708">
        <f t="shared" si="24"/>
        <v>0</v>
      </c>
      <c r="M84" s="1704">
        <f t="shared" si="25"/>
        <v>0</v>
      </c>
      <c r="N84" s="1708">
        <v>47754298.834408969</v>
      </c>
      <c r="O84" s="1704">
        <f t="shared" si="26"/>
        <v>-10028402.755225884</v>
      </c>
      <c r="P84" s="1704">
        <f t="shared" si="27"/>
        <v>37725896.079183087</v>
      </c>
      <c r="Q84" s="1704"/>
      <c r="R84" s="1704">
        <f t="shared" si="28"/>
        <v>-6685601.8368172571</v>
      </c>
      <c r="S84" s="1753"/>
      <c r="T84" s="1708">
        <v>0</v>
      </c>
      <c r="U84" s="1753"/>
      <c r="V84" s="1708">
        <v>0</v>
      </c>
      <c r="W84" s="1753"/>
      <c r="X84" s="1704">
        <f t="shared" si="29"/>
        <v>-6685601.8368172571</v>
      </c>
      <c r="Y84" s="1707"/>
      <c r="Z84" s="1374" t="s">
        <v>1486</v>
      </c>
      <c r="AA84" s="1705"/>
      <c r="AB84" s="1374" t="s">
        <v>22</v>
      </c>
      <c r="AC84" s="1705"/>
      <c r="AD84" s="1706">
        <v>0.32958000000000004</v>
      </c>
      <c r="AE84" s="1705"/>
      <c r="AF84" s="1704">
        <f t="shared" si="30"/>
        <v>-2203440.6533782319</v>
      </c>
      <c r="AG84" s="985"/>
      <c r="AH84" s="1246">
        <v>190</v>
      </c>
      <c r="AI84" s="1246"/>
    </row>
    <row r="85" spans="2:35">
      <c r="B85" s="1246">
        <v>74</v>
      </c>
      <c r="C85" s="1365" t="s">
        <v>1789</v>
      </c>
      <c r="D85" s="1365" t="s">
        <v>1489</v>
      </c>
      <c r="E85" s="1365" t="s">
        <v>1413</v>
      </c>
      <c r="F85" s="1708">
        <v>66042515.890802301</v>
      </c>
      <c r="G85" s="1704">
        <f t="shared" si="21"/>
        <v>23114880.561780803</v>
      </c>
      <c r="H85" s="1708">
        <v>0</v>
      </c>
      <c r="I85" s="1704">
        <f t="shared" si="22"/>
        <v>0</v>
      </c>
      <c r="J85" s="1704">
        <f t="shared" si="23"/>
        <v>23114880.561780803</v>
      </c>
      <c r="K85" s="1753"/>
      <c r="L85" s="1708">
        <f t="shared" si="24"/>
        <v>66042515.890802301</v>
      </c>
      <c r="M85" s="1704">
        <f t="shared" si="25"/>
        <v>13868928.337068483</v>
      </c>
      <c r="N85" s="1708">
        <v>0</v>
      </c>
      <c r="O85" s="1704">
        <f t="shared" si="26"/>
        <v>0</v>
      </c>
      <c r="P85" s="1704">
        <f t="shared" si="27"/>
        <v>13868928.337068483</v>
      </c>
      <c r="Q85" s="1704"/>
      <c r="R85" s="1704">
        <f t="shared" si="28"/>
        <v>9245952.2247123197</v>
      </c>
      <c r="S85" s="1753"/>
      <c r="T85" s="1708">
        <v>0</v>
      </c>
      <c r="U85" s="1753"/>
      <c r="V85" s="1708">
        <v>0</v>
      </c>
      <c r="W85" s="1753"/>
      <c r="X85" s="1704">
        <f t="shared" si="29"/>
        <v>9245952.2247123197</v>
      </c>
      <c r="Y85" s="1707"/>
      <c r="Z85" s="1374" t="s">
        <v>1486</v>
      </c>
      <c r="AA85" s="1705"/>
      <c r="AB85" s="1374" t="s">
        <v>22</v>
      </c>
      <c r="AC85" s="1705"/>
      <c r="AD85" s="1706">
        <v>0.32958000000000004</v>
      </c>
      <c r="AE85" s="1705"/>
      <c r="AF85" s="1704">
        <f t="shared" si="30"/>
        <v>3047280.9342206866</v>
      </c>
      <c r="AG85" s="985"/>
      <c r="AH85" s="1246">
        <v>190</v>
      </c>
      <c r="AI85" s="1246"/>
    </row>
    <row r="86" spans="2:35">
      <c r="B86" s="1246">
        <v>75</v>
      </c>
      <c r="C86" s="1365" t="s">
        <v>1788</v>
      </c>
      <c r="D86" s="1365" t="s">
        <v>1490</v>
      </c>
      <c r="E86" s="1365" t="s">
        <v>1491</v>
      </c>
      <c r="F86" s="1708">
        <v>-31970270</v>
      </c>
      <c r="G86" s="1704">
        <f t="shared" si="21"/>
        <v>-11189594.5</v>
      </c>
      <c r="H86" s="1708">
        <v>-2717472.95</v>
      </c>
      <c r="I86" s="1704">
        <f t="shared" si="22"/>
        <v>951115.53249999997</v>
      </c>
      <c r="J86" s="1704">
        <f t="shared" si="23"/>
        <v>-12955951.917499999</v>
      </c>
      <c r="K86" s="1753"/>
      <c r="L86" s="1708">
        <f t="shared" si="24"/>
        <v>-31970270</v>
      </c>
      <c r="M86" s="1704">
        <f t="shared" si="25"/>
        <v>-6713756.7000000002</v>
      </c>
      <c r="N86" s="1708">
        <v>-2717472.95</v>
      </c>
      <c r="O86" s="1704">
        <f t="shared" si="26"/>
        <v>570669.31949999998</v>
      </c>
      <c r="P86" s="1704">
        <f t="shared" si="27"/>
        <v>-8860560.3305000011</v>
      </c>
      <c r="Q86" s="1704"/>
      <c r="R86" s="1704">
        <f t="shared" si="28"/>
        <v>-4095391.5869999975</v>
      </c>
      <c r="S86" s="1753"/>
      <c r="T86" s="1708">
        <v>0</v>
      </c>
      <c r="U86" s="1753"/>
      <c r="V86" s="1708">
        <f>R86</f>
        <v>-4095391.5869999975</v>
      </c>
      <c r="W86" s="1753"/>
      <c r="X86" s="1704">
        <f t="shared" si="29"/>
        <v>0</v>
      </c>
      <c r="Y86" s="1707"/>
      <c r="Z86" s="1374" t="s">
        <v>1486</v>
      </c>
      <c r="AA86" s="1705"/>
      <c r="AB86" s="1374" t="s">
        <v>22</v>
      </c>
      <c r="AC86" s="1705"/>
      <c r="AD86" s="1706">
        <v>0</v>
      </c>
      <c r="AE86" s="1705"/>
      <c r="AF86" s="1704">
        <f t="shared" si="30"/>
        <v>0</v>
      </c>
      <c r="AG86" s="985"/>
      <c r="AH86" s="1246">
        <v>190</v>
      </c>
      <c r="AI86" s="1246"/>
    </row>
    <row r="87" spans="2:35">
      <c r="B87" s="1246">
        <v>76</v>
      </c>
      <c r="C87" s="1365" t="s">
        <v>1787</v>
      </c>
      <c r="D87" s="1365" t="s">
        <v>1490</v>
      </c>
      <c r="E87" s="1365" t="s">
        <v>1491</v>
      </c>
      <c r="F87" s="1708">
        <v>-3719347</v>
      </c>
      <c r="G87" s="1704">
        <f t="shared" si="21"/>
        <v>-1301771.45</v>
      </c>
      <c r="H87" s="1708">
        <v>-316144.495</v>
      </c>
      <c r="I87" s="1704">
        <f t="shared" si="22"/>
        <v>110650.57324999999</v>
      </c>
      <c r="J87" s="1704">
        <f t="shared" si="23"/>
        <v>-1507265.3717499999</v>
      </c>
      <c r="K87" s="1753"/>
      <c r="L87" s="1708">
        <f t="shared" si="24"/>
        <v>-3719347</v>
      </c>
      <c r="M87" s="1704">
        <f t="shared" si="25"/>
        <v>-781062.87</v>
      </c>
      <c r="N87" s="1708">
        <v>-316144.495</v>
      </c>
      <c r="O87" s="1704">
        <f t="shared" si="26"/>
        <v>66390.343949999995</v>
      </c>
      <c r="P87" s="1704">
        <f t="shared" si="27"/>
        <v>-1030817.02105</v>
      </c>
      <c r="Q87" s="1704"/>
      <c r="R87" s="1704">
        <f t="shared" si="28"/>
        <v>-476448.35069999995</v>
      </c>
      <c r="S87" s="1753"/>
      <c r="T87" s="1708">
        <v>0</v>
      </c>
      <c r="U87" s="1753"/>
      <c r="V87" s="1708">
        <f>R87</f>
        <v>-476448.35069999995</v>
      </c>
      <c r="W87" s="1753"/>
      <c r="X87" s="1704">
        <f t="shared" si="29"/>
        <v>0</v>
      </c>
      <c r="Y87" s="1707"/>
      <c r="Z87" s="1374" t="s">
        <v>1486</v>
      </c>
      <c r="AA87" s="1705"/>
      <c r="AB87" s="1374" t="s">
        <v>22</v>
      </c>
      <c r="AC87" s="1705"/>
      <c r="AD87" s="1706">
        <v>0</v>
      </c>
      <c r="AE87" s="1705"/>
      <c r="AF87" s="1704">
        <f t="shared" si="30"/>
        <v>0</v>
      </c>
      <c r="AG87" s="985"/>
      <c r="AH87" s="1246">
        <v>190</v>
      </c>
      <c r="AI87" s="1246"/>
    </row>
    <row r="88" spans="2:35">
      <c r="B88" s="1246">
        <v>77</v>
      </c>
      <c r="C88" s="1365" t="s">
        <v>1786</v>
      </c>
      <c r="D88" s="1365" t="s">
        <v>1490</v>
      </c>
      <c r="E88" s="1365" t="s">
        <v>1491</v>
      </c>
      <c r="F88" s="1708">
        <v>1534386</v>
      </c>
      <c r="G88" s="1704">
        <f t="shared" si="21"/>
        <v>537035.1</v>
      </c>
      <c r="H88" s="1708">
        <v>130422.81000000001</v>
      </c>
      <c r="I88" s="1704">
        <f t="shared" si="22"/>
        <v>-45647.983500000002</v>
      </c>
      <c r="J88" s="1704">
        <f t="shared" si="23"/>
        <v>621809.92650000006</v>
      </c>
      <c r="K88" s="1753"/>
      <c r="L88" s="1708">
        <f t="shared" si="24"/>
        <v>1534386</v>
      </c>
      <c r="M88" s="1704">
        <f t="shared" si="25"/>
        <v>322221.06</v>
      </c>
      <c r="N88" s="1708">
        <v>130422.81000000001</v>
      </c>
      <c r="O88" s="1704">
        <f t="shared" si="26"/>
        <v>-27388.790100000002</v>
      </c>
      <c r="P88" s="1704">
        <f t="shared" si="27"/>
        <v>425255.07990000001</v>
      </c>
      <c r="Q88" s="1704"/>
      <c r="R88" s="1704">
        <f t="shared" si="28"/>
        <v>196554.84660000005</v>
      </c>
      <c r="S88" s="1753"/>
      <c r="T88" s="1708">
        <v>0</v>
      </c>
      <c r="U88" s="1753"/>
      <c r="V88" s="1708">
        <f>R88</f>
        <v>196554.84660000005</v>
      </c>
      <c r="W88" s="1753"/>
      <c r="X88" s="1704">
        <f t="shared" si="29"/>
        <v>0</v>
      </c>
      <c r="Y88" s="1707"/>
      <c r="Z88" s="1374" t="s">
        <v>1486</v>
      </c>
      <c r="AA88" s="1705"/>
      <c r="AB88" s="1374" t="s">
        <v>22</v>
      </c>
      <c r="AC88" s="1705"/>
      <c r="AD88" s="1706">
        <v>0</v>
      </c>
      <c r="AE88" s="1705"/>
      <c r="AF88" s="1704">
        <f t="shared" si="30"/>
        <v>0</v>
      </c>
      <c r="AG88" s="985"/>
      <c r="AH88" s="1246">
        <v>190</v>
      </c>
      <c r="AI88" s="1246"/>
    </row>
    <row r="89" spans="2:35">
      <c r="B89" s="1246">
        <v>78</v>
      </c>
      <c r="C89" s="1365" t="s">
        <v>1785</v>
      </c>
      <c r="D89" s="1365" t="s">
        <v>1490</v>
      </c>
      <c r="E89" s="1365" t="s">
        <v>1491</v>
      </c>
      <c r="F89" s="1708">
        <v>335888</v>
      </c>
      <c r="G89" s="1704">
        <f t="shared" si="21"/>
        <v>117560.79999999999</v>
      </c>
      <c r="H89" s="1708">
        <v>28550.480000000003</v>
      </c>
      <c r="I89" s="1704">
        <f t="shared" si="22"/>
        <v>-9992.6679999999997</v>
      </c>
      <c r="J89" s="1704">
        <f t="shared" si="23"/>
        <v>136118.61199999999</v>
      </c>
      <c r="K89" s="1753"/>
      <c r="L89" s="1708">
        <f t="shared" si="24"/>
        <v>335888</v>
      </c>
      <c r="M89" s="1704">
        <f t="shared" si="25"/>
        <v>70536.479999999996</v>
      </c>
      <c r="N89" s="1708">
        <v>28550.480000000003</v>
      </c>
      <c r="O89" s="1704">
        <f t="shared" si="26"/>
        <v>-5995.6008000000002</v>
      </c>
      <c r="P89" s="1704">
        <f t="shared" si="27"/>
        <v>93091.359199999992</v>
      </c>
      <c r="Q89" s="1704"/>
      <c r="R89" s="1704">
        <f t="shared" si="28"/>
        <v>43027.252800000002</v>
      </c>
      <c r="S89" s="1753"/>
      <c r="T89" s="1708">
        <v>0</v>
      </c>
      <c r="U89" s="1753"/>
      <c r="V89" s="1708">
        <f>R89</f>
        <v>43027.252800000002</v>
      </c>
      <c r="W89" s="1753"/>
      <c r="X89" s="1704">
        <f t="shared" si="29"/>
        <v>0</v>
      </c>
      <c r="Y89" s="1707"/>
      <c r="Z89" s="1374" t="s">
        <v>1486</v>
      </c>
      <c r="AA89" s="1705"/>
      <c r="AB89" s="1374" t="s">
        <v>22</v>
      </c>
      <c r="AC89" s="1705"/>
      <c r="AD89" s="1706">
        <v>0</v>
      </c>
      <c r="AE89" s="1705"/>
      <c r="AF89" s="1704">
        <f t="shared" si="30"/>
        <v>0</v>
      </c>
      <c r="AG89" s="985"/>
      <c r="AH89" s="1246">
        <v>190</v>
      </c>
      <c r="AI89" s="1246"/>
    </row>
    <row r="90" spans="2:35">
      <c r="B90" s="1246">
        <v>79</v>
      </c>
      <c r="C90" s="1365" t="s">
        <v>1492</v>
      </c>
      <c r="D90" s="1365" t="s">
        <v>1493</v>
      </c>
      <c r="E90" s="1365" t="s">
        <v>1491</v>
      </c>
      <c r="F90" s="1708"/>
      <c r="G90" s="1704"/>
      <c r="H90" s="1708"/>
      <c r="I90" s="1704"/>
      <c r="J90" s="1704"/>
      <c r="K90" s="1753"/>
      <c r="L90" s="1708">
        <v>543170075.49919415</v>
      </c>
      <c r="M90" s="1704">
        <f t="shared" si="25"/>
        <v>114065715.85483077</v>
      </c>
      <c r="N90" s="1708">
        <v>46169456.417431504</v>
      </c>
      <c r="O90" s="1704">
        <f t="shared" si="26"/>
        <v>-9695585.847660616</v>
      </c>
      <c r="P90" s="1704">
        <f t="shared" si="27"/>
        <v>150539586.42460167</v>
      </c>
      <c r="Q90" s="1704"/>
      <c r="R90" s="1704">
        <f t="shared" si="28"/>
        <v>-150539586.42460167</v>
      </c>
      <c r="S90" s="1753"/>
      <c r="T90" s="1708">
        <v>0</v>
      </c>
      <c r="U90" s="1753"/>
      <c r="V90" s="1708">
        <f>R90</f>
        <v>-150539586.42460167</v>
      </c>
      <c r="W90" s="1753"/>
      <c r="X90" s="1704">
        <f t="shared" si="29"/>
        <v>0</v>
      </c>
      <c r="Y90" s="1707"/>
      <c r="Z90" s="1374"/>
      <c r="AA90" s="1705"/>
      <c r="AB90" s="1374"/>
      <c r="AC90" s="1705"/>
      <c r="AD90" s="1706">
        <v>0</v>
      </c>
      <c r="AE90" s="1705"/>
      <c r="AF90" s="1704">
        <f t="shared" si="30"/>
        <v>0</v>
      </c>
      <c r="AG90" s="985"/>
      <c r="AH90" s="1246">
        <v>190</v>
      </c>
      <c r="AI90" s="1246"/>
    </row>
    <row r="91" spans="2:35" ht="13">
      <c r="B91" s="1246">
        <v>80</v>
      </c>
      <c r="C91" s="1755" t="s">
        <v>1494</v>
      </c>
      <c r="D91" s="1374"/>
      <c r="E91" s="1374"/>
      <c r="F91" s="1756">
        <f>SUM(F12:F90)</f>
        <v>133075814.83080229</v>
      </c>
      <c r="G91" s="1756">
        <f>SUM(G12:G90)</f>
        <v>46576535.190780789</v>
      </c>
      <c r="H91" s="1756">
        <f>SUM(H12:H90)</f>
        <v>67281784.822798967</v>
      </c>
      <c r="I91" s="1756">
        <f>SUM(I12:I90)</f>
        <v>-23548624.687979642</v>
      </c>
      <c r="J91" s="1756">
        <f>SUM(J12:J90)</f>
        <v>90309695.325600132</v>
      </c>
      <c r="K91" s="1757"/>
      <c r="L91" s="1756">
        <f>SUM(L12:L90)</f>
        <v>676245890.32999647</v>
      </c>
      <c r="M91" s="1756">
        <f>SUM(M12:M90)</f>
        <v>142011636.96929926</v>
      </c>
      <c r="N91" s="1756">
        <f>SUM(N12:N90)</f>
        <v>113451241.24023047</v>
      </c>
      <c r="O91" s="1756">
        <f>SUM(O12:O90)</f>
        <v>-23824760.660448402</v>
      </c>
      <c r="P91" s="1756">
        <f>SUM(P12:P90)</f>
        <v>231638117.54908133</v>
      </c>
      <c r="R91" s="1756">
        <f>SUM(R12:R90)</f>
        <v>-141328422.22348121</v>
      </c>
      <c r="S91" s="1757"/>
      <c r="T91" s="1756">
        <f>SUM(T12:T90)</f>
        <v>2781026.7938164794</v>
      </c>
      <c r="U91" s="1757"/>
      <c r="V91" s="1756">
        <f>SUM(V12:V90)</f>
        <v>-154871844.26290166</v>
      </c>
      <c r="W91" s="1757"/>
      <c r="X91" s="1756">
        <f>SUM(X12:X90)</f>
        <v>10762395.24560398</v>
      </c>
      <c r="Y91" s="1757"/>
      <c r="Z91" s="1374"/>
      <c r="AA91" s="1758"/>
      <c r="AB91" s="1374"/>
      <c r="AC91" s="1758"/>
      <c r="AD91" s="1759"/>
      <c r="AE91" s="1758"/>
      <c r="AF91" s="1756">
        <f>SUM(AF12:AF90)</f>
        <v>771196.44201147277</v>
      </c>
      <c r="AG91" s="1758"/>
      <c r="AH91" s="1246"/>
      <c r="AI91" s="1246"/>
    </row>
    <row r="92" spans="2:35" ht="13">
      <c r="B92" s="1374"/>
      <c r="C92" s="1374"/>
      <c r="D92" s="1374"/>
      <c r="E92" s="1374"/>
      <c r="F92" s="1760"/>
      <c r="G92" s="1760"/>
      <c r="H92" s="1760"/>
      <c r="I92" s="1760"/>
      <c r="J92" s="1760"/>
      <c r="K92" s="1757"/>
      <c r="L92" s="1760"/>
      <c r="M92" s="1760"/>
      <c r="N92" s="1760"/>
      <c r="O92" s="1760"/>
      <c r="P92" s="1760"/>
      <c r="R92" s="1760"/>
      <c r="S92" s="1757"/>
      <c r="T92" s="1760"/>
      <c r="U92" s="1757"/>
      <c r="V92" s="1760"/>
      <c r="W92" s="1757"/>
      <c r="X92" s="1760"/>
      <c r="Y92" s="1757"/>
      <c r="Z92" s="1374"/>
      <c r="AA92" s="1758"/>
      <c r="AB92" s="1374"/>
      <c r="AC92" s="1758"/>
      <c r="AD92" s="1759"/>
      <c r="AE92" s="1758"/>
      <c r="AF92" s="1760"/>
      <c r="AG92" s="1758"/>
      <c r="AH92" s="1246"/>
      <c r="AI92" s="1246"/>
    </row>
    <row r="93" spans="2:35" ht="13">
      <c r="B93" s="1374"/>
      <c r="C93" s="1374"/>
      <c r="D93" s="1374"/>
      <c r="E93" s="1374"/>
      <c r="F93" s="1760"/>
      <c r="G93" s="1760"/>
      <c r="H93" s="1760"/>
      <c r="I93" s="1760"/>
      <c r="J93" s="1760"/>
      <c r="K93" s="1757"/>
      <c r="L93" s="1760"/>
      <c r="M93" s="1760"/>
      <c r="N93" s="1760"/>
      <c r="O93" s="1760"/>
      <c r="P93" s="1760"/>
      <c r="R93" s="1760"/>
      <c r="S93" s="1757"/>
      <c r="T93" s="1760"/>
      <c r="U93" s="1757"/>
      <c r="V93" s="1760"/>
      <c r="W93" s="1757"/>
      <c r="X93" s="1760"/>
      <c r="Y93" s="1757"/>
      <c r="Z93" s="1374"/>
      <c r="AA93" s="1758"/>
      <c r="AB93" s="1374"/>
      <c r="AC93" s="1758"/>
      <c r="AD93" s="1759"/>
      <c r="AE93" s="1758"/>
      <c r="AF93" s="1760"/>
      <c r="AG93" s="1758"/>
      <c r="AH93" s="1246"/>
      <c r="AI93" s="1246"/>
    </row>
    <row r="94" spans="2:35" ht="13">
      <c r="B94" s="1374"/>
      <c r="C94" s="1752" t="s">
        <v>1898</v>
      </c>
      <c r="D94" s="1374"/>
      <c r="E94" s="1374"/>
      <c r="F94" s="1760"/>
      <c r="G94" s="1760"/>
      <c r="H94" s="1760"/>
      <c r="I94" s="1760"/>
      <c r="J94" s="1760"/>
      <c r="K94" s="1757"/>
      <c r="L94" s="1760"/>
      <c r="M94" s="1760"/>
      <c r="N94" s="1760"/>
      <c r="O94" s="1760"/>
      <c r="P94" s="1760"/>
      <c r="R94" s="1760"/>
      <c r="S94" s="1757"/>
      <c r="T94" s="1760"/>
      <c r="U94" s="1757"/>
      <c r="V94" s="1760"/>
      <c r="W94" s="1757"/>
      <c r="X94" s="1760"/>
      <c r="Y94" s="1757"/>
      <c r="Z94" s="1374"/>
      <c r="AA94" s="1758"/>
      <c r="AB94" s="1374"/>
      <c r="AC94" s="1758"/>
      <c r="AD94" s="1759"/>
      <c r="AE94" s="1758"/>
      <c r="AF94" s="1760"/>
      <c r="AG94" s="1758"/>
      <c r="AH94" s="1246"/>
      <c r="AI94" s="1246"/>
    </row>
    <row r="95" spans="2:35">
      <c r="B95" s="1246">
        <v>81</v>
      </c>
      <c r="C95" s="1365" t="s">
        <v>1784</v>
      </c>
      <c r="D95" s="1365" t="s">
        <v>1495</v>
      </c>
      <c r="E95" s="1365" t="s">
        <v>1413</v>
      </c>
      <c r="F95" s="1710">
        <v>-1475410753.9000001</v>
      </c>
      <c r="G95" s="1709">
        <f t="shared" ref="G95:G110" si="31">F95*0.35</f>
        <v>-516393763.86500001</v>
      </c>
      <c r="H95" s="1710">
        <v>0</v>
      </c>
      <c r="I95" s="1709">
        <f t="shared" ref="I95:I110" si="32">H95*-0.35</f>
        <v>0</v>
      </c>
      <c r="J95" s="1709">
        <f t="shared" ref="J95:J110" si="33">G95+H95+I95</f>
        <v>-516393763.86500001</v>
      </c>
      <c r="K95" s="1707"/>
      <c r="L95" s="1710">
        <f t="shared" ref="L95:L110" si="34">F95</f>
        <v>-1475410753.9000001</v>
      </c>
      <c r="M95" s="1709">
        <f t="shared" ref="M95:M110" si="35">L95*0.21</f>
        <v>-309836258.31900001</v>
      </c>
      <c r="N95" s="1710">
        <v>0</v>
      </c>
      <c r="O95" s="1709">
        <f t="shared" ref="O95:O110" si="36">N95*-0.21</f>
        <v>0</v>
      </c>
      <c r="P95" s="1709">
        <f t="shared" ref="P95:P110" si="37">M95+N95+O95</f>
        <v>-309836258.31900001</v>
      </c>
      <c r="R95" s="1709">
        <f t="shared" ref="R95:R110" si="38">J95-P95</f>
        <v>-206557505.546</v>
      </c>
      <c r="S95" s="1707"/>
      <c r="T95" s="1710">
        <v>0</v>
      </c>
      <c r="U95" s="1707"/>
      <c r="V95" s="1710">
        <v>0</v>
      </c>
      <c r="W95" s="1707"/>
      <c r="X95" s="1709">
        <f t="shared" ref="X95:X110" si="39">R95-T95-V95</f>
        <v>-206557505.546</v>
      </c>
      <c r="Y95" s="1707"/>
      <c r="Z95" s="1374" t="s">
        <v>1486</v>
      </c>
      <c r="AA95" s="1705"/>
      <c r="AB95" s="1374" t="s">
        <v>22</v>
      </c>
      <c r="AC95" s="1705"/>
      <c r="AD95" s="1706">
        <v>0.32958000000000004</v>
      </c>
      <c r="AE95" s="1705"/>
      <c r="AF95" s="1709">
        <f t="shared" ref="AF95:AF100" si="40">X95*AD95</f>
        <v>-68077222.677850693</v>
      </c>
      <c r="AG95" s="985"/>
      <c r="AH95" s="1246">
        <v>282</v>
      </c>
      <c r="AI95" s="1246"/>
    </row>
    <row r="96" spans="2:35">
      <c r="B96" s="1246">
        <v>82</v>
      </c>
      <c r="C96" s="1365" t="s">
        <v>1496</v>
      </c>
      <c r="D96" s="1365" t="s">
        <v>1497</v>
      </c>
      <c r="E96" s="1365" t="s">
        <v>1411</v>
      </c>
      <c r="F96" s="1708">
        <v>-1205260066.6600001</v>
      </c>
      <c r="G96" s="1704">
        <f t="shared" si="31"/>
        <v>-421841023.33100003</v>
      </c>
      <c r="H96" s="1708">
        <v>0</v>
      </c>
      <c r="I96" s="1704">
        <f t="shared" si="32"/>
        <v>0</v>
      </c>
      <c r="J96" s="1704">
        <f t="shared" si="33"/>
        <v>-421841023.33100003</v>
      </c>
      <c r="K96" s="1753"/>
      <c r="L96" s="1708">
        <f t="shared" si="34"/>
        <v>-1205260066.6600001</v>
      </c>
      <c r="M96" s="1704">
        <f t="shared" si="35"/>
        <v>-253104613.99860001</v>
      </c>
      <c r="N96" s="1708">
        <v>0</v>
      </c>
      <c r="O96" s="1704">
        <f t="shared" si="36"/>
        <v>0</v>
      </c>
      <c r="P96" s="1704">
        <f t="shared" si="37"/>
        <v>-253104613.99860001</v>
      </c>
      <c r="Q96" s="1704"/>
      <c r="R96" s="1704">
        <f t="shared" si="38"/>
        <v>-168736409.33240002</v>
      </c>
      <c r="S96" s="1753"/>
      <c r="T96" s="1708">
        <v>0</v>
      </c>
      <c r="U96" s="1753"/>
      <c r="V96" s="1708">
        <v>-7192463.0836799592</v>
      </c>
      <c r="W96" s="1753"/>
      <c r="X96" s="1704">
        <f t="shared" si="39"/>
        <v>-161543946.24872005</v>
      </c>
      <c r="Y96" s="1707"/>
      <c r="Z96" s="1374" t="s">
        <v>1486</v>
      </c>
      <c r="AA96" s="1705"/>
      <c r="AB96" s="1374" t="s">
        <v>22</v>
      </c>
      <c r="AC96" s="1705"/>
      <c r="AD96" s="1706">
        <v>0.32958000000000004</v>
      </c>
      <c r="AE96" s="1705"/>
      <c r="AF96" s="1704">
        <f t="shared" si="40"/>
        <v>-53241653.80465316</v>
      </c>
      <c r="AG96" s="985"/>
      <c r="AH96" s="1246">
        <v>282</v>
      </c>
      <c r="AI96" s="1246"/>
    </row>
    <row r="97" spans="2:35">
      <c r="B97" s="1246">
        <v>83</v>
      </c>
      <c r="C97" s="1365" t="s">
        <v>1498</v>
      </c>
      <c r="D97" s="1365" t="s">
        <v>1497</v>
      </c>
      <c r="E97" s="1365" t="s">
        <v>1411</v>
      </c>
      <c r="F97" s="1708">
        <v>89655390</v>
      </c>
      <c r="G97" s="1704">
        <f t="shared" si="31"/>
        <v>31379386.499999996</v>
      </c>
      <c r="H97" s="1708">
        <v>0</v>
      </c>
      <c r="I97" s="1704">
        <f t="shared" si="32"/>
        <v>0</v>
      </c>
      <c r="J97" s="1704">
        <f t="shared" si="33"/>
        <v>31379386.499999996</v>
      </c>
      <c r="K97" s="1753"/>
      <c r="L97" s="1708">
        <f t="shared" si="34"/>
        <v>89655390</v>
      </c>
      <c r="M97" s="1704">
        <f t="shared" si="35"/>
        <v>18827631.899999999</v>
      </c>
      <c r="N97" s="1708">
        <v>0</v>
      </c>
      <c r="O97" s="1704">
        <f t="shared" si="36"/>
        <v>0</v>
      </c>
      <c r="P97" s="1704">
        <f t="shared" si="37"/>
        <v>18827631.899999999</v>
      </c>
      <c r="Q97" s="1704"/>
      <c r="R97" s="1704">
        <f t="shared" si="38"/>
        <v>12551754.599999998</v>
      </c>
      <c r="S97" s="1753"/>
      <c r="T97" s="1708">
        <v>0</v>
      </c>
      <c r="U97" s="1753"/>
      <c r="V97" s="1708">
        <v>0</v>
      </c>
      <c r="W97" s="1753"/>
      <c r="X97" s="1704">
        <f t="shared" si="39"/>
        <v>12551754.599999998</v>
      </c>
      <c r="Y97" s="1707"/>
      <c r="Z97" s="1374" t="s">
        <v>1486</v>
      </c>
      <c r="AA97" s="1705"/>
      <c r="AB97" s="1374" t="s">
        <v>23</v>
      </c>
      <c r="AC97" s="1705"/>
      <c r="AD97" s="1706">
        <v>0</v>
      </c>
      <c r="AE97" s="1705"/>
      <c r="AF97" s="1704">
        <f t="shared" si="40"/>
        <v>0</v>
      </c>
      <c r="AG97" s="985"/>
      <c r="AH97" s="1246">
        <v>282</v>
      </c>
      <c r="AI97" s="1246"/>
    </row>
    <row r="98" spans="2:35">
      <c r="B98" s="1246">
        <v>84</v>
      </c>
      <c r="C98" s="1365" t="s">
        <v>1783</v>
      </c>
      <c r="D98" s="1365" t="s">
        <v>1497</v>
      </c>
      <c r="E98" s="1365" t="s">
        <v>1411</v>
      </c>
      <c r="F98" s="1708">
        <v>0</v>
      </c>
      <c r="G98" s="1704">
        <f t="shared" si="31"/>
        <v>0</v>
      </c>
      <c r="H98" s="1708">
        <v>-49092225.367920004</v>
      </c>
      <c r="I98" s="1704">
        <f t="shared" si="32"/>
        <v>17182278.878772002</v>
      </c>
      <c r="J98" s="1704">
        <f t="shared" si="33"/>
        <v>-31909946.489148002</v>
      </c>
      <c r="K98" s="1753"/>
      <c r="L98" s="1708">
        <f t="shared" si="34"/>
        <v>0</v>
      </c>
      <c r="M98" s="1704">
        <f t="shared" si="35"/>
        <v>0</v>
      </c>
      <c r="N98" s="1708">
        <v>-49092225.367920004</v>
      </c>
      <c r="O98" s="1704">
        <f t="shared" si="36"/>
        <v>10309367.327263201</v>
      </c>
      <c r="P98" s="1704">
        <f t="shared" si="37"/>
        <v>-38782858.040656805</v>
      </c>
      <c r="Q98" s="1704"/>
      <c r="R98" s="1704">
        <f t="shared" si="38"/>
        <v>6872911.5515088029</v>
      </c>
      <c r="S98" s="1753"/>
      <c r="T98" s="1708">
        <v>0</v>
      </c>
      <c r="U98" s="1753"/>
      <c r="V98" s="1708">
        <v>0</v>
      </c>
      <c r="W98" s="1753"/>
      <c r="X98" s="1704">
        <f t="shared" si="39"/>
        <v>6872911.5515088029</v>
      </c>
      <c r="Y98" s="1707"/>
      <c r="Z98" s="1374" t="s">
        <v>1486</v>
      </c>
      <c r="AA98" s="1705"/>
      <c r="AB98" s="1374" t="s">
        <v>22</v>
      </c>
      <c r="AC98" s="1705"/>
      <c r="AD98" s="1706">
        <v>0.32958000000000004</v>
      </c>
      <c r="AE98" s="1705"/>
      <c r="AF98" s="1704">
        <f t="shared" si="40"/>
        <v>2265174.1891462714</v>
      </c>
      <c r="AG98" s="985"/>
      <c r="AH98" s="1246">
        <v>282</v>
      </c>
      <c r="AI98" s="1246"/>
    </row>
    <row r="99" spans="2:35">
      <c r="B99" s="1246">
        <v>85</v>
      </c>
      <c r="C99" s="1365" t="s">
        <v>1782</v>
      </c>
      <c r="D99" s="1365" t="s">
        <v>1497</v>
      </c>
      <c r="E99" s="1365" t="s">
        <v>1411</v>
      </c>
      <c r="F99" s="1708">
        <v>0</v>
      </c>
      <c r="G99" s="1704">
        <f t="shared" si="31"/>
        <v>0</v>
      </c>
      <c r="H99" s="1708">
        <v>2511377.3160000001</v>
      </c>
      <c r="I99" s="1704">
        <f t="shared" si="32"/>
        <v>-878982.06059999997</v>
      </c>
      <c r="J99" s="1704">
        <f t="shared" si="33"/>
        <v>1632395.2554000001</v>
      </c>
      <c r="K99" s="1753"/>
      <c r="L99" s="1708">
        <f t="shared" si="34"/>
        <v>0</v>
      </c>
      <c r="M99" s="1704">
        <f t="shared" si="35"/>
        <v>0</v>
      </c>
      <c r="N99" s="1708">
        <v>2511377.3160000001</v>
      </c>
      <c r="O99" s="1704">
        <f t="shared" si="36"/>
        <v>-527389.23635999998</v>
      </c>
      <c r="P99" s="1704">
        <f t="shared" si="37"/>
        <v>1983988.0796400001</v>
      </c>
      <c r="Q99" s="1704"/>
      <c r="R99" s="1704">
        <f t="shared" si="38"/>
        <v>-351592.82423999999</v>
      </c>
      <c r="S99" s="1753"/>
      <c r="T99" s="1708">
        <v>0</v>
      </c>
      <c r="U99" s="1753"/>
      <c r="V99" s="1708">
        <v>0</v>
      </c>
      <c r="W99" s="1753"/>
      <c r="X99" s="1704">
        <f t="shared" si="39"/>
        <v>-351592.82423999999</v>
      </c>
      <c r="Y99" s="1707"/>
      <c r="Z99" s="1374" t="s">
        <v>1486</v>
      </c>
      <c r="AA99" s="1705"/>
      <c r="AB99" s="1374" t="s">
        <v>23</v>
      </c>
      <c r="AC99" s="1705"/>
      <c r="AD99" s="1706">
        <v>0</v>
      </c>
      <c r="AE99" s="1705"/>
      <c r="AF99" s="1704">
        <f t="shared" si="40"/>
        <v>0</v>
      </c>
      <c r="AG99" s="985"/>
      <c r="AH99" s="1246">
        <v>282</v>
      </c>
      <c r="AI99" s="1246"/>
    </row>
    <row r="100" spans="2:35">
      <c r="B100" s="1246">
        <v>86</v>
      </c>
      <c r="C100" s="1365" t="s">
        <v>1781</v>
      </c>
      <c r="D100" s="1365" t="s">
        <v>1497</v>
      </c>
      <c r="E100" s="1365" t="s">
        <v>1411</v>
      </c>
      <c r="F100" s="1708">
        <v>0</v>
      </c>
      <c r="G100" s="1704">
        <f t="shared" si="31"/>
        <v>0</v>
      </c>
      <c r="H100" s="1708">
        <v>-152798236.77192</v>
      </c>
      <c r="I100" s="1704">
        <f t="shared" si="32"/>
        <v>53479382.870171994</v>
      </c>
      <c r="J100" s="1704">
        <f t="shared" si="33"/>
        <v>-99318853.901748002</v>
      </c>
      <c r="K100" s="1753"/>
      <c r="L100" s="1708">
        <f t="shared" si="34"/>
        <v>0</v>
      </c>
      <c r="M100" s="1704">
        <f t="shared" si="35"/>
        <v>0</v>
      </c>
      <c r="N100" s="1708">
        <v>-152798236.77192</v>
      </c>
      <c r="O100" s="1704">
        <f t="shared" si="36"/>
        <v>32087629.722103197</v>
      </c>
      <c r="P100" s="1704">
        <f t="shared" si="37"/>
        <v>-120710607.0498168</v>
      </c>
      <c r="Q100" s="1704"/>
      <c r="R100" s="1704">
        <f t="shared" si="38"/>
        <v>21391753.148068801</v>
      </c>
      <c r="S100" s="1753"/>
      <c r="T100" s="1708">
        <v>0</v>
      </c>
      <c r="U100" s="1753"/>
      <c r="V100" s="1708">
        <v>0</v>
      </c>
      <c r="W100" s="1753"/>
      <c r="X100" s="1704">
        <f t="shared" si="39"/>
        <v>21391753.148068801</v>
      </c>
      <c r="Y100" s="1707"/>
      <c r="Z100" s="1374" t="s">
        <v>1486</v>
      </c>
      <c r="AA100" s="1705"/>
      <c r="AB100" s="1374" t="s">
        <v>22</v>
      </c>
      <c r="AC100" s="1705"/>
      <c r="AD100" s="1706">
        <v>0.32958000000000004</v>
      </c>
      <c r="AE100" s="1705"/>
      <c r="AF100" s="1704">
        <f t="shared" si="40"/>
        <v>7050294.0025405157</v>
      </c>
      <c r="AG100" s="985"/>
      <c r="AH100" s="1246">
        <v>282</v>
      </c>
      <c r="AI100" s="1246"/>
    </row>
    <row r="101" spans="2:35">
      <c r="B101" s="1246">
        <v>87</v>
      </c>
      <c r="C101" s="1365" t="s">
        <v>1780</v>
      </c>
      <c r="D101" s="1365" t="s">
        <v>1497</v>
      </c>
      <c r="E101" s="1365" t="s">
        <v>1411</v>
      </c>
      <c r="F101" s="1708">
        <v>0</v>
      </c>
      <c r="G101" s="1704">
        <f t="shared" si="31"/>
        <v>0</v>
      </c>
      <c r="H101" s="1708">
        <v>5110357.2300000004</v>
      </c>
      <c r="I101" s="1704">
        <f t="shared" si="32"/>
        <v>-1788625.0305000001</v>
      </c>
      <c r="J101" s="1704">
        <f t="shared" si="33"/>
        <v>3321732.1995000001</v>
      </c>
      <c r="K101" s="1753"/>
      <c r="L101" s="1708">
        <f t="shared" si="34"/>
        <v>0</v>
      </c>
      <c r="M101" s="1704">
        <f t="shared" si="35"/>
        <v>0</v>
      </c>
      <c r="N101" s="1708">
        <v>5110357.2300000004</v>
      </c>
      <c r="O101" s="1704">
        <f t="shared" si="36"/>
        <v>-1073175.0183000001</v>
      </c>
      <c r="P101" s="1704">
        <f t="shared" si="37"/>
        <v>4037182.2117000003</v>
      </c>
      <c r="Q101" s="1704"/>
      <c r="R101" s="1704">
        <f t="shared" si="38"/>
        <v>-715450.01220000023</v>
      </c>
      <c r="S101" s="1753"/>
      <c r="T101" s="1708">
        <v>0</v>
      </c>
      <c r="U101" s="1753"/>
      <c r="V101" s="1708">
        <v>0</v>
      </c>
      <c r="W101" s="1753"/>
      <c r="X101" s="1704">
        <f t="shared" si="39"/>
        <v>-715450.01220000023</v>
      </c>
      <c r="Y101" s="1707"/>
      <c r="Z101" s="1374" t="s">
        <v>1486</v>
      </c>
      <c r="AA101" s="1705"/>
      <c r="AB101" s="1374" t="s">
        <v>23</v>
      </c>
      <c r="AC101" s="1705"/>
      <c r="AD101" s="1706">
        <v>0</v>
      </c>
      <c r="AE101" s="1705"/>
      <c r="AF101" s="1704">
        <v>0</v>
      </c>
      <c r="AG101" s="985"/>
      <c r="AH101" s="1246">
        <v>282</v>
      </c>
      <c r="AI101" s="1246"/>
    </row>
    <row r="102" spans="2:35">
      <c r="B102" s="1246">
        <v>88</v>
      </c>
      <c r="C102" s="1365" t="s">
        <v>1499</v>
      </c>
      <c r="D102" s="1365" t="s">
        <v>1497</v>
      </c>
      <c r="E102" s="1365" t="s">
        <v>1411</v>
      </c>
      <c r="F102" s="1708">
        <v>-56147252.799999997</v>
      </c>
      <c r="G102" s="1704">
        <f t="shared" si="31"/>
        <v>-19651538.479999997</v>
      </c>
      <c r="H102" s="1708">
        <v>0</v>
      </c>
      <c r="I102" s="1704">
        <f t="shared" si="32"/>
        <v>0</v>
      </c>
      <c r="J102" s="1704">
        <f t="shared" si="33"/>
        <v>-19651538.479999997</v>
      </c>
      <c r="K102" s="1753"/>
      <c r="L102" s="1708">
        <f t="shared" si="34"/>
        <v>-56147252.799999997</v>
      </c>
      <c r="M102" s="1704">
        <f t="shared" si="35"/>
        <v>-11790923.088</v>
      </c>
      <c r="N102" s="1708">
        <v>0</v>
      </c>
      <c r="O102" s="1704">
        <f t="shared" si="36"/>
        <v>0</v>
      </c>
      <c r="P102" s="1704">
        <f t="shared" si="37"/>
        <v>-11790923.088</v>
      </c>
      <c r="Q102" s="1704"/>
      <c r="R102" s="1704">
        <f t="shared" si="38"/>
        <v>-7860615.3919999972</v>
      </c>
      <c r="S102" s="1753"/>
      <c r="T102" s="1708">
        <v>0</v>
      </c>
      <c r="U102" s="1753"/>
      <c r="V102" s="1708">
        <v>0</v>
      </c>
      <c r="W102" s="1753"/>
      <c r="X102" s="1704">
        <f t="shared" si="39"/>
        <v>-7860615.3919999972</v>
      </c>
      <c r="Y102" s="1707"/>
      <c r="Z102" s="1374" t="s">
        <v>1486</v>
      </c>
      <c r="AA102" s="1705"/>
      <c r="AB102" s="1374" t="s">
        <v>22</v>
      </c>
      <c r="AC102" s="1705"/>
      <c r="AD102" s="1706">
        <v>0.32958000000000004</v>
      </c>
      <c r="AE102" s="1705"/>
      <c r="AF102" s="1704">
        <f t="shared" ref="AF102:AF110" si="41">X102*AD102</f>
        <v>-2590701.6208953592</v>
      </c>
      <c r="AG102" s="985"/>
      <c r="AH102" s="1246">
        <v>282</v>
      </c>
      <c r="AI102" s="1246"/>
    </row>
    <row r="103" spans="2:35">
      <c r="B103" s="1246">
        <v>89</v>
      </c>
      <c r="C103" s="1365" t="s">
        <v>1779</v>
      </c>
      <c r="D103" s="1365" t="s">
        <v>1497</v>
      </c>
      <c r="E103" s="1365" t="s">
        <v>1411</v>
      </c>
      <c r="F103" s="1708">
        <v>0</v>
      </c>
      <c r="G103" s="1704">
        <f t="shared" si="31"/>
        <v>0</v>
      </c>
      <c r="H103" s="1708">
        <v>-1572123.0784</v>
      </c>
      <c r="I103" s="1704">
        <f t="shared" si="32"/>
        <v>550243.07743999991</v>
      </c>
      <c r="J103" s="1704">
        <f t="shared" si="33"/>
        <v>-1021880.0009600001</v>
      </c>
      <c r="K103" s="1753"/>
      <c r="L103" s="1708">
        <f t="shared" si="34"/>
        <v>0</v>
      </c>
      <c r="M103" s="1704">
        <f t="shared" si="35"/>
        <v>0</v>
      </c>
      <c r="N103" s="1708">
        <v>-1572123.0784</v>
      </c>
      <c r="O103" s="1704">
        <f t="shared" si="36"/>
        <v>330145.846464</v>
      </c>
      <c r="P103" s="1704">
        <f t="shared" si="37"/>
        <v>-1241977.2319360001</v>
      </c>
      <c r="Q103" s="1704"/>
      <c r="R103" s="1704">
        <f t="shared" si="38"/>
        <v>220097.23097599996</v>
      </c>
      <c r="S103" s="1753"/>
      <c r="T103" s="1708">
        <v>0</v>
      </c>
      <c r="U103" s="1753"/>
      <c r="V103" s="1708">
        <v>0</v>
      </c>
      <c r="W103" s="1753"/>
      <c r="X103" s="1704">
        <f t="shared" si="39"/>
        <v>220097.23097599996</v>
      </c>
      <c r="Y103" s="1707"/>
      <c r="Z103" s="1374" t="s">
        <v>1486</v>
      </c>
      <c r="AA103" s="1705"/>
      <c r="AB103" s="1374" t="s">
        <v>22</v>
      </c>
      <c r="AC103" s="1705"/>
      <c r="AD103" s="1706">
        <v>0.32958000000000004</v>
      </c>
      <c r="AE103" s="1705"/>
      <c r="AF103" s="1704">
        <f t="shared" si="41"/>
        <v>72539.645385070078</v>
      </c>
      <c r="AG103" s="985"/>
      <c r="AH103" s="1246">
        <v>282</v>
      </c>
      <c r="AI103" s="1246"/>
    </row>
    <row r="104" spans="2:35">
      <c r="B104" s="1246">
        <v>90</v>
      </c>
      <c r="C104" s="1365" t="s">
        <v>1778</v>
      </c>
      <c r="D104" s="1365" t="s">
        <v>1497</v>
      </c>
      <c r="E104" s="1365" t="s">
        <v>1411</v>
      </c>
      <c r="F104" s="1708">
        <v>0</v>
      </c>
      <c r="G104" s="1704">
        <f t="shared" si="31"/>
        <v>0</v>
      </c>
      <c r="H104" s="1708">
        <v>-3200393.4095999999</v>
      </c>
      <c r="I104" s="1704">
        <f t="shared" si="32"/>
        <v>1120137.6933599999</v>
      </c>
      <c r="J104" s="1704">
        <f t="shared" si="33"/>
        <v>-2080255.71624</v>
      </c>
      <c r="K104" s="1753"/>
      <c r="L104" s="1708">
        <f t="shared" si="34"/>
        <v>0</v>
      </c>
      <c r="M104" s="1704">
        <f t="shared" si="35"/>
        <v>0</v>
      </c>
      <c r="N104" s="1708">
        <v>-3200393.4095999999</v>
      </c>
      <c r="O104" s="1704">
        <f t="shared" si="36"/>
        <v>672082.61601599993</v>
      </c>
      <c r="P104" s="1704">
        <f t="shared" si="37"/>
        <v>-2528310.7935839999</v>
      </c>
      <c r="Q104" s="1704"/>
      <c r="R104" s="1704">
        <f t="shared" si="38"/>
        <v>448055.07734399987</v>
      </c>
      <c r="S104" s="1753"/>
      <c r="T104" s="1708">
        <v>0</v>
      </c>
      <c r="U104" s="1753"/>
      <c r="V104" s="1708">
        <v>0</v>
      </c>
      <c r="W104" s="1753"/>
      <c r="X104" s="1704">
        <f t="shared" si="39"/>
        <v>448055.07734399987</v>
      </c>
      <c r="Y104" s="1707"/>
      <c r="Z104" s="1374" t="s">
        <v>1486</v>
      </c>
      <c r="AA104" s="1705"/>
      <c r="AB104" s="1374" t="s">
        <v>22</v>
      </c>
      <c r="AC104" s="1705"/>
      <c r="AD104" s="1706">
        <v>0.32958000000000004</v>
      </c>
      <c r="AE104" s="1705"/>
      <c r="AF104" s="1704">
        <f t="shared" si="41"/>
        <v>147669.99239103548</v>
      </c>
      <c r="AG104" s="985"/>
      <c r="AH104" s="1246">
        <v>282</v>
      </c>
      <c r="AI104" s="1246"/>
    </row>
    <row r="105" spans="2:35">
      <c r="B105" s="1246">
        <v>91</v>
      </c>
      <c r="C105" s="1365" t="s">
        <v>1501</v>
      </c>
      <c r="D105" s="1365" t="s">
        <v>1500</v>
      </c>
      <c r="E105" s="1365" t="s">
        <v>1411</v>
      </c>
      <c r="F105" s="1708">
        <v>-3458769.33</v>
      </c>
      <c r="G105" s="1704">
        <f t="shared" si="31"/>
        <v>-1210569.2655</v>
      </c>
      <c r="H105" s="1708">
        <v>0</v>
      </c>
      <c r="I105" s="1704">
        <f t="shared" si="32"/>
        <v>0</v>
      </c>
      <c r="J105" s="1704">
        <f t="shared" si="33"/>
        <v>-1210569.2655</v>
      </c>
      <c r="K105" s="1753"/>
      <c r="L105" s="1708">
        <f t="shared" si="34"/>
        <v>-3458769.33</v>
      </c>
      <c r="M105" s="1704">
        <f t="shared" si="35"/>
        <v>-726341.55929999996</v>
      </c>
      <c r="N105" s="1708">
        <v>0</v>
      </c>
      <c r="O105" s="1704">
        <f t="shared" si="36"/>
        <v>0</v>
      </c>
      <c r="P105" s="1704">
        <f t="shared" si="37"/>
        <v>-726341.55929999996</v>
      </c>
      <c r="Q105" s="1704"/>
      <c r="R105" s="1704">
        <f t="shared" si="38"/>
        <v>-484227.70620000002</v>
      </c>
      <c r="S105" s="1753"/>
      <c r="T105" s="1708">
        <v>0</v>
      </c>
      <c r="U105" s="1753"/>
      <c r="V105" s="1708">
        <v>0</v>
      </c>
      <c r="W105" s="1753"/>
      <c r="X105" s="1704">
        <f t="shared" si="39"/>
        <v>-484227.70620000002</v>
      </c>
      <c r="Y105" s="1707"/>
      <c r="Z105" s="1374" t="s">
        <v>1486</v>
      </c>
      <c r="AA105" s="1705"/>
      <c r="AB105" s="1374" t="s">
        <v>22</v>
      </c>
      <c r="AC105" s="1705"/>
      <c r="AD105" s="1706">
        <v>0.32958000000000004</v>
      </c>
      <c r="AE105" s="1705"/>
      <c r="AF105" s="1704">
        <f t="shared" si="41"/>
        <v>-159591.76740939604</v>
      </c>
      <c r="AG105" s="985"/>
      <c r="AH105" s="1246">
        <v>282</v>
      </c>
      <c r="AI105" s="1246"/>
    </row>
    <row r="106" spans="2:35">
      <c r="B106" s="1246">
        <v>92</v>
      </c>
      <c r="C106" s="1365" t="s">
        <v>1502</v>
      </c>
      <c r="D106" s="1365" t="s">
        <v>1500</v>
      </c>
      <c r="E106" s="1365" t="s">
        <v>1411</v>
      </c>
      <c r="F106" s="1708">
        <v>14702392</v>
      </c>
      <c r="G106" s="1704">
        <f t="shared" si="31"/>
        <v>5145837.1999999993</v>
      </c>
      <c r="H106" s="1708">
        <v>0</v>
      </c>
      <c r="I106" s="1704">
        <f t="shared" si="32"/>
        <v>0</v>
      </c>
      <c r="J106" s="1704">
        <f t="shared" si="33"/>
        <v>5145837.1999999993</v>
      </c>
      <c r="K106" s="1753"/>
      <c r="L106" s="1708">
        <f t="shared" si="34"/>
        <v>14702392</v>
      </c>
      <c r="M106" s="1704">
        <f t="shared" si="35"/>
        <v>3087502.32</v>
      </c>
      <c r="N106" s="1708">
        <v>0</v>
      </c>
      <c r="O106" s="1704">
        <f t="shared" si="36"/>
        <v>0</v>
      </c>
      <c r="P106" s="1704">
        <f t="shared" si="37"/>
        <v>3087502.32</v>
      </c>
      <c r="Q106" s="1704"/>
      <c r="R106" s="1704">
        <f t="shared" si="38"/>
        <v>2058334.8799999994</v>
      </c>
      <c r="S106" s="1753"/>
      <c r="T106" s="1708">
        <v>0</v>
      </c>
      <c r="U106" s="1753"/>
      <c r="V106" s="1708">
        <v>0</v>
      </c>
      <c r="W106" s="1753"/>
      <c r="X106" s="1704">
        <f t="shared" si="39"/>
        <v>2058334.8799999994</v>
      </c>
      <c r="Y106" s="1707"/>
      <c r="Z106" s="1374" t="s">
        <v>1486</v>
      </c>
      <c r="AA106" s="1705"/>
      <c r="AB106" s="1374" t="s">
        <v>23</v>
      </c>
      <c r="AC106" s="1705"/>
      <c r="AD106" s="1706">
        <v>0</v>
      </c>
      <c r="AE106" s="1705"/>
      <c r="AF106" s="1704">
        <f t="shared" si="41"/>
        <v>0</v>
      </c>
      <c r="AG106" s="985"/>
      <c r="AH106" s="1246">
        <v>282</v>
      </c>
      <c r="AI106" s="1246"/>
    </row>
    <row r="107" spans="2:35">
      <c r="B107" s="1246">
        <v>93</v>
      </c>
      <c r="C107" s="1365" t="s">
        <v>1777</v>
      </c>
      <c r="D107" s="1365" t="s">
        <v>1500</v>
      </c>
      <c r="E107" s="1365" t="s">
        <v>1411</v>
      </c>
      <c r="F107" s="1708">
        <v>0</v>
      </c>
      <c r="G107" s="1704">
        <f t="shared" si="31"/>
        <v>0</v>
      </c>
      <c r="H107" s="1708">
        <v>-96845.541240000006</v>
      </c>
      <c r="I107" s="1704">
        <f t="shared" si="32"/>
        <v>33895.939434</v>
      </c>
      <c r="J107" s="1704">
        <f t="shared" si="33"/>
        <v>-62949.601806000006</v>
      </c>
      <c r="K107" s="1753"/>
      <c r="L107" s="1708">
        <f t="shared" si="34"/>
        <v>0</v>
      </c>
      <c r="M107" s="1704">
        <f t="shared" si="35"/>
        <v>0</v>
      </c>
      <c r="N107" s="1708">
        <v>-96845.541240000006</v>
      </c>
      <c r="O107" s="1704">
        <f t="shared" si="36"/>
        <v>20337.563660399999</v>
      </c>
      <c r="P107" s="1704">
        <f t="shared" si="37"/>
        <v>-76507.977579600003</v>
      </c>
      <c r="Q107" s="1704"/>
      <c r="R107" s="1704">
        <f t="shared" si="38"/>
        <v>13558.375773599997</v>
      </c>
      <c r="S107" s="1753"/>
      <c r="T107" s="1708">
        <v>0</v>
      </c>
      <c r="U107" s="1753"/>
      <c r="V107" s="1708">
        <v>0</v>
      </c>
      <c r="W107" s="1753"/>
      <c r="X107" s="1704">
        <f t="shared" si="39"/>
        <v>13558.375773599997</v>
      </c>
      <c r="Y107" s="1707"/>
      <c r="Z107" s="1374" t="s">
        <v>1486</v>
      </c>
      <c r="AA107" s="1705"/>
      <c r="AB107" s="1374" t="s">
        <v>22</v>
      </c>
      <c r="AC107" s="1705"/>
      <c r="AD107" s="1706">
        <v>0.32958000000000004</v>
      </c>
      <c r="AE107" s="1705"/>
      <c r="AF107" s="1704">
        <f t="shared" si="41"/>
        <v>4468.5694874630872</v>
      </c>
      <c r="AG107" s="985"/>
      <c r="AH107" s="1246">
        <v>282</v>
      </c>
      <c r="AI107" s="1246"/>
    </row>
    <row r="108" spans="2:35">
      <c r="B108" s="1246">
        <v>94</v>
      </c>
      <c r="C108" s="1365" t="s">
        <v>1776</v>
      </c>
      <c r="D108" s="1365" t="s">
        <v>1500</v>
      </c>
      <c r="E108" s="1365" t="s">
        <v>1411</v>
      </c>
      <c r="F108" s="1708">
        <v>0</v>
      </c>
      <c r="G108" s="1704">
        <f t="shared" si="31"/>
        <v>0</v>
      </c>
      <c r="H108" s="1708">
        <v>411666.97600000002</v>
      </c>
      <c r="I108" s="1704">
        <f t="shared" si="32"/>
        <v>-144083.44159999999</v>
      </c>
      <c r="J108" s="1704">
        <f t="shared" si="33"/>
        <v>267583.5344</v>
      </c>
      <c r="K108" s="1753"/>
      <c r="L108" s="1708">
        <f t="shared" si="34"/>
        <v>0</v>
      </c>
      <c r="M108" s="1704">
        <f t="shared" si="35"/>
        <v>0</v>
      </c>
      <c r="N108" s="1708">
        <v>411666.97600000002</v>
      </c>
      <c r="O108" s="1704">
        <f t="shared" si="36"/>
        <v>-86450.064960000003</v>
      </c>
      <c r="P108" s="1704">
        <f t="shared" si="37"/>
        <v>325216.91104000004</v>
      </c>
      <c r="Q108" s="1704"/>
      <c r="R108" s="1704">
        <f t="shared" si="38"/>
        <v>-57633.376640000031</v>
      </c>
      <c r="S108" s="1753"/>
      <c r="T108" s="1708">
        <v>0</v>
      </c>
      <c r="U108" s="1753"/>
      <c r="V108" s="1708">
        <v>0</v>
      </c>
      <c r="W108" s="1753"/>
      <c r="X108" s="1704">
        <f t="shared" si="39"/>
        <v>-57633.376640000031</v>
      </c>
      <c r="Y108" s="1707"/>
      <c r="Z108" s="1374" t="s">
        <v>1486</v>
      </c>
      <c r="AA108" s="1705"/>
      <c r="AB108" s="1374" t="s">
        <v>23</v>
      </c>
      <c r="AC108" s="1705"/>
      <c r="AD108" s="1706">
        <v>0</v>
      </c>
      <c r="AE108" s="1705"/>
      <c r="AF108" s="1704">
        <f t="shared" si="41"/>
        <v>0</v>
      </c>
      <c r="AG108" s="985"/>
      <c r="AH108" s="1246">
        <v>282</v>
      </c>
      <c r="AI108" s="1246"/>
    </row>
    <row r="109" spans="2:35">
      <c r="B109" s="1246">
        <v>95</v>
      </c>
      <c r="C109" s="1365" t="s">
        <v>1775</v>
      </c>
      <c r="D109" s="1365" t="s">
        <v>1500</v>
      </c>
      <c r="E109" s="1365" t="s">
        <v>1411</v>
      </c>
      <c r="F109" s="1708">
        <v>0</v>
      </c>
      <c r="G109" s="1704">
        <f t="shared" si="31"/>
        <v>0</v>
      </c>
      <c r="H109" s="1708">
        <v>-197149.85181000002</v>
      </c>
      <c r="I109" s="1704">
        <f t="shared" si="32"/>
        <v>69002.448133500002</v>
      </c>
      <c r="J109" s="1704">
        <f t="shared" si="33"/>
        <v>-128147.40367650002</v>
      </c>
      <c r="K109" s="1753"/>
      <c r="L109" s="1708">
        <f t="shared" si="34"/>
        <v>0</v>
      </c>
      <c r="M109" s="1704">
        <f t="shared" si="35"/>
        <v>0</v>
      </c>
      <c r="N109" s="1708">
        <v>-197149.85181000002</v>
      </c>
      <c r="O109" s="1704">
        <f t="shared" si="36"/>
        <v>41401.468880100001</v>
      </c>
      <c r="P109" s="1704">
        <f t="shared" si="37"/>
        <v>-155748.38292990002</v>
      </c>
      <c r="Q109" s="1704"/>
      <c r="R109" s="1704">
        <f t="shared" si="38"/>
        <v>27600.979253400001</v>
      </c>
      <c r="S109" s="1753"/>
      <c r="T109" s="1708">
        <v>0</v>
      </c>
      <c r="U109" s="1753"/>
      <c r="V109" s="1708">
        <v>0</v>
      </c>
      <c r="W109" s="1753"/>
      <c r="X109" s="1704">
        <f t="shared" si="39"/>
        <v>27600.979253400001</v>
      </c>
      <c r="Y109" s="1707"/>
      <c r="Z109" s="1374" t="s">
        <v>1486</v>
      </c>
      <c r="AA109" s="1705"/>
      <c r="AB109" s="1374" t="s">
        <v>22</v>
      </c>
      <c r="AC109" s="1705"/>
      <c r="AD109" s="1706">
        <v>0.32958000000000004</v>
      </c>
      <c r="AE109" s="1705"/>
      <c r="AF109" s="1704">
        <f t="shared" si="41"/>
        <v>9096.7307423355742</v>
      </c>
      <c r="AG109" s="985"/>
      <c r="AH109" s="1246">
        <v>282</v>
      </c>
      <c r="AI109" s="1246"/>
    </row>
    <row r="110" spans="2:35">
      <c r="B110" s="1246">
        <v>96</v>
      </c>
      <c r="C110" s="1365" t="s">
        <v>1774</v>
      </c>
      <c r="D110" s="1365" t="s">
        <v>1500</v>
      </c>
      <c r="E110" s="1365" t="s">
        <v>1411</v>
      </c>
      <c r="F110" s="1708">
        <v>0</v>
      </c>
      <c r="G110" s="1704">
        <f t="shared" si="31"/>
        <v>0</v>
      </c>
      <c r="H110" s="1708">
        <v>838036.34400000004</v>
      </c>
      <c r="I110" s="1704">
        <f t="shared" si="32"/>
        <v>-293312.72039999999</v>
      </c>
      <c r="J110" s="1704">
        <f t="shared" si="33"/>
        <v>544723.62360000005</v>
      </c>
      <c r="K110" s="1753"/>
      <c r="L110" s="1708">
        <f t="shared" si="34"/>
        <v>0</v>
      </c>
      <c r="M110" s="1704">
        <f t="shared" si="35"/>
        <v>0</v>
      </c>
      <c r="N110" s="1708">
        <v>838036.34400000004</v>
      </c>
      <c r="O110" s="1704">
        <f t="shared" si="36"/>
        <v>-175987.63224000001</v>
      </c>
      <c r="P110" s="1704">
        <f t="shared" si="37"/>
        <v>662048.71176000009</v>
      </c>
      <c r="Q110" s="1704"/>
      <c r="R110" s="1704">
        <f t="shared" si="38"/>
        <v>-117325.08816000004</v>
      </c>
      <c r="S110" s="1753"/>
      <c r="T110" s="1708">
        <v>0</v>
      </c>
      <c r="U110" s="1753"/>
      <c r="V110" s="1708">
        <v>0</v>
      </c>
      <c r="W110" s="1753"/>
      <c r="X110" s="1704">
        <f t="shared" si="39"/>
        <v>-117325.08816000004</v>
      </c>
      <c r="Y110" s="1707"/>
      <c r="Z110" s="1374" t="s">
        <v>1486</v>
      </c>
      <c r="AA110" s="1705"/>
      <c r="AB110" s="1374" t="s">
        <v>23</v>
      </c>
      <c r="AC110" s="1705"/>
      <c r="AD110" s="1706">
        <v>0</v>
      </c>
      <c r="AE110" s="1705"/>
      <c r="AF110" s="1704">
        <f t="shared" si="41"/>
        <v>0</v>
      </c>
      <c r="AG110" s="985"/>
      <c r="AH110" s="1246">
        <v>282</v>
      </c>
      <c r="AI110" s="1246"/>
    </row>
    <row r="111" spans="2:35" ht="13">
      <c r="B111" s="1246">
        <v>97</v>
      </c>
      <c r="C111" s="1755" t="s">
        <v>1503</v>
      </c>
      <c r="D111" s="1374"/>
      <c r="E111" s="1374"/>
      <c r="F111" s="1756">
        <f>SUM(F95:F110)</f>
        <v>-2635919060.6900005</v>
      </c>
      <c r="G111" s="1756">
        <f>SUM(G95:G110)</f>
        <v>-922571671.24150002</v>
      </c>
      <c r="H111" s="1756">
        <f>SUM(H95:H110)</f>
        <v>-198085536.15488997</v>
      </c>
      <c r="I111" s="1756">
        <f>SUM(I95:I110)</f>
        <v>69329937.654211506</v>
      </c>
      <c r="J111" s="1756">
        <f>SUM(J95:J110)</f>
        <v>-1051327269.7421788</v>
      </c>
      <c r="K111" s="1757"/>
      <c r="L111" s="1756">
        <f>SUM(L95:L110)</f>
        <v>-2635919060.6900005</v>
      </c>
      <c r="M111" s="1756">
        <f>SUM(M95:M110)</f>
        <v>-553543002.74489987</v>
      </c>
      <c r="N111" s="1756">
        <f>SUM(N95:N110)</f>
        <v>-198085536.15488997</v>
      </c>
      <c r="O111" s="1756">
        <f>SUM(O95:O110)</f>
        <v>41597962.592526905</v>
      </c>
      <c r="P111" s="1756">
        <f>SUM(P95:P110)</f>
        <v>-710030576.30726314</v>
      </c>
      <c r="R111" s="1756">
        <f>SUM(R95:R110)</f>
        <v>-341296693.43491548</v>
      </c>
      <c r="S111" s="1757"/>
      <c r="T111" s="1756">
        <f>SUM(T95:T110)</f>
        <v>0</v>
      </c>
      <c r="U111" s="1757"/>
      <c r="V111" s="1756">
        <f>SUM(V95:V110)</f>
        <v>-7192463.0836799592</v>
      </c>
      <c r="W111" s="1757"/>
      <c r="X111" s="1756">
        <f>SUM(X95:X110)</f>
        <v>-334104230.35123551</v>
      </c>
      <c r="Y111" s="1757"/>
      <c r="Z111" s="1374"/>
      <c r="AA111" s="1758"/>
      <c r="AB111" s="1374"/>
      <c r="AC111" s="1758"/>
      <c r="AD111" s="1759"/>
      <c r="AE111" s="1758"/>
      <c r="AF111" s="1756"/>
      <c r="AG111" s="1758"/>
      <c r="AH111" s="1246"/>
      <c r="AI111" s="1246"/>
    </row>
    <row r="112" spans="2:35" ht="13">
      <c r="B112" s="1246"/>
      <c r="C112" s="1374"/>
      <c r="D112" s="1374"/>
      <c r="E112" s="1374"/>
      <c r="F112" s="1760"/>
      <c r="G112" s="1760"/>
      <c r="H112" s="1760"/>
      <c r="I112" s="1760"/>
      <c r="J112" s="1760"/>
      <c r="K112" s="1757"/>
      <c r="L112" s="1760"/>
      <c r="M112" s="1760"/>
      <c r="N112" s="1760"/>
      <c r="O112" s="1760"/>
      <c r="P112" s="1760"/>
      <c r="R112" s="1760"/>
      <c r="S112" s="1757"/>
      <c r="T112" s="1760"/>
      <c r="U112" s="1757"/>
      <c r="V112" s="1760"/>
      <c r="W112" s="1757"/>
      <c r="X112" s="1760"/>
      <c r="Y112" s="1757"/>
      <c r="Z112" s="1374"/>
      <c r="AA112" s="1758"/>
      <c r="AB112" s="1374"/>
      <c r="AC112" s="1758"/>
      <c r="AD112" s="1759"/>
      <c r="AE112" s="1758"/>
      <c r="AF112" s="1760"/>
      <c r="AG112" s="1758"/>
      <c r="AH112" s="1246"/>
      <c r="AI112" s="1246"/>
    </row>
    <row r="113" spans="2:35" ht="13">
      <c r="B113" s="1246"/>
      <c r="C113" s="1752" t="s">
        <v>1899</v>
      </c>
      <c r="D113" s="1374"/>
      <c r="E113" s="1374"/>
      <c r="F113" s="1760"/>
      <c r="G113" s="1760"/>
      <c r="H113" s="1760"/>
      <c r="I113" s="1760"/>
      <c r="J113" s="1760"/>
      <c r="K113" s="1757"/>
      <c r="L113" s="1760"/>
      <c r="M113" s="1760"/>
      <c r="N113" s="1760"/>
      <c r="O113" s="1760"/>
      <c r="P113" s="1760"/>
      <c r="R113" s="1760"/>
      <c r="S113" s="1757"/>
      <c r="T113" s="1760"/>
      <c r="U113" s="1757"/>
      <c r="V113" s="1760"/>
      <c r="W113" s="1757"/>
      <c r="X113" s="1760"/>
      <c r="Y113" s="1757"/>
      <c r="Z113" s="1374"/>
      <c r="AA113" s="1758"/>
      <c r="AB113" s="1374"/>
      <c r="AC113" s="1758"/>
      <c r="AD113" s="1759"/>
      <c r="AE113" s="1758"/>
      <c r="AF113" s="1760"/>
      <c r="AG113" s="1758"/>
      <c r="AH113" s="1246"/>
      <c r="AI113" s="1246"/>
    </row>
    <row r="114" spans="2:35">
      <c r="B114" s="1246">
        <v>98</v>
      </c>
      <c r="C114" s="1365" t="s">
        <v>1773</v>
      </c>
      <c r="D114" s="1365" t="s">
        <v>1771</v>
      </c>
      <c r="E114" s="1365" t="s">
        <v>1472</v>
      </c>
      <c r="F114" s="1710">
        <v>-1551232.3</v>
      </c>
      <c r="G114" s="1709">
        <f t="shared" ref="G114:G145" si="42">F114*0.35</f>
        <v>-542931.30499999993</v>
      </c>
      <c r="H114" s="1710">
        <v>-131854.74550000002</v>
      </c>
      <c r="I114" s="1709">
        <f t="shared" ref="I114:I145" si="43">H114*-0.35</f>
        <v>46149.160925000004</v>
      </c>
      <c r="J114" s="1709">
        <f t="shared" ref="J114:J145" si="44">G114+H114+I114</f>
        <v>-628636.88957499992</v>
      </c>
      <c r="K114" s="1707"/>
      <c r="L114" s="1710">
        <f t="shared" ref="L114:L145" si="45">F114</f>
        <v>-1551232.3</v>
      </c>
      <c r="M114" s="1709">
        <f t="shared" ref="M114:M145" si="46">L114*0.21</f>
        <v>-325758.783</v>
      </c>
      <c r="N114" s="1710">
        <v>-131854.74550000002</v>
      </c>
      <c r="O114" s="1709">
        <f t="shared" ref="O114:O145" si="47">N114*-0.21</f>
        <v>27689.496555000002</v>
      </c>
      <c r="P114" s="1709">
        <f t="shared" ref="P114:P145" si="48">M114+N114+O114</f>
        <v>-429924.031945</v>
      </c>
      <c r="R114" s="1709">
        <f t="shared" ref="R114:R145" si="49">J114-P114</f>
        <v>-198712.85762999993</v>
      </c>
      <c r="S114" s="1707"/>
      <c r="T114" s="1710">
        <v>0</v>
      </c>
      <c r="U114" s="1707"/>
      <c r="V114" s="1710">
        <v>0</v>
      </c>
      <c r="W114" s="1707"/>
      <c r="X114" s="1709">
        <f t="shared" ref="X114:X145" si="50">R114-T114-V114</f>
        <v>-198712.85762999993</v>
      </c>
      <c r="Y114" s="1707"/>
      <c r="Z114" s="1374" t="s">
        <v>1482</v>
      </c>
      <c r="AA114" s="1705"/>
      <c r="AB114" s="1374" t="s">
        <v>23</v>
      </c>
      <c r="AC114" s="1705"/>
      <c r="AD114" s="1706">
        <v>0</v>
      </c>
      <c r="AE114" s="1705"/>
      <c r="AF114" s="1709">
        <f t="shared" ref="AF114:AF145" si="51">X114*AD114</f>
        <v>0</v>
      </c>
      <c r="AG114" s="985"/>
      <c r="AH114" s="1246">
        <v>283</v>
      </c>
      <c r="AI114" s="1246"/>
    </row>
    <row r="115" spans="2:35">
      <c r="B115" s="1246">
        <v>99</v>
      </c>
      <c r="C115" s="1365" t="s">
        <v>1772</v>
      </c>
      <c r="D115" s="1365" t="s">
        <v>1771</v>
      </c>
      <c r="E115" s="1365" t="s">
        <v>1472</v>
      </c>
      <c r="F115" s="1708">
        <v>-458580</v>
      </c>
      <c r="G115" s="1704">
        <f t="shared" si="42"/>
        <v>-160503</v>
      </c>
      <c r="H115" s="1708">
        <v>-38979.300000000003</v>
      </c>
      <c r="I115" s="1704">
        <f t="shared" si="43"/>
        <v>13642.755000000001</v>
      </c>
      <c r="J115" s="1704">
        <f t="shared" si="44"/>
        <v>-185839.54499999998</v>
      </c>
      <c r="K115" s="1753"/>
      <c r="L115" s="1708">
        <f t="shared" si="45"/>
        <v>-458580</v>
      </c>
      <c r="M115" s="1704">
        <f t="shared" si="46"/>
        <v>-96301.8</v>
      </c>
      <c r="N115" s="1708">
        <v>-38979.300000000003</v>
      </c>
      <c r="O115" s="1704">
        <f t="shared" si="47"/>
        <v>8185.6530000000002</v>
      </c>
      <c r="P115" s="1704">
        <f t="shared" si="48"/>
        <v>-127095.447</v>
      </c>
      <c r="Q115" s="1704"/>
      <c r="R115" s="1704">
        <f t="shared" si="49"/>
        <v>-58744.097999999984</v>
      </c>
      <c r="S115" s="1753"/>
      <c r="T115" s="1708">
        <v>0</v>
      </c>
      <c r="U115" s="1753"/>
      <c r="V115" s="1708">
        <v>0</v>
      </c>
      <c r="W115" s="1753"/>
      <c r="X115" s="1704">
        <f t="shared" si="50"/>
        <v>-58744.097999999984</v>
      </c>
      <c r="Y115" s="1707"/>
      <c r="Z115" s="1374" t="s">
        <v>1716</v>
      </c>
      <c r="AA115" s="1705"/>
      <c r="AB115" s="1374" t="s">
        <v>23</v>
      </c>
      <c r="AC115" s="1705"/>
      <c r="AD115" s="1706">
        <v>0</v>
      </c>
      <c r="AE115" s="1705"/>
      <c r="AF115" s="1704">
        <f t="shared" si="51"/>
        <v>0</v>
      </c>
      <c r="AG115" s="985"/>
      <c r="AH115" s="1246">
        <v>283</v>
      </c>
      <c r="AI115" s="1246"/>
    </row>
    <row r="116" spans="2:35">
      <c r="B116" s="1246">
        <v>100</v>
      </c>
      <c r="C116" s="1365" t="s">
        <v>1770</v>
      </c>
      <c r="D116" s="1365" t="s">
        <v>1769</v>
      </c>
      <c r="E116" s="1365" t="s">
        <v>1472</v>
      </c>
      <c r="F116" s="1708">
        <v>-4934591.42</v>
      </c>
      <c r="G116" s="1704">
        <f t="shared" si="42"/>
        <v>-1727106.997</v>
      </c>
      <c r="H116" s="1708">
        <v>-419440.27070000005</v>
      </c>
      <c r="I116" s="1704">
        <f t="shared" si="43"/>
        <v>146804.09474500001</v>
      </c>
      <c r="J116" s="1704">
        <f t="shared" si="44"/>
        <v>-1999743.1729550003</v>
      </c>
      <c r="K116" s="1753"/>
      <c r="L116" s="1708">
        <f t="shared" si="45"/>
        <v>-4934591.42</v>
      </c>
      <c r="M116" s="1704">
        <f t="shared" si="46"/>
        <v>-1036264.1982</v>
      </c>
      <c r="N116" s="1708">
        <v>-419440.27070000005</v>
      </c>
      <c r="O116" s="1704">
        <f t="shared" si="47"/>
        <v>88082.456847000009</v>
      </c>
      <c r="P116" s="1704">
        <f t="shared" si="48"/>
        <v>-1367622.012053</v>
      </c>
      <c r="Q116" s="1704"/>
      <c r="R116" s="1704">
        <f t="shared" si="49"/>
        <v>-632121.16090200027</v>
      </c>
      <c r="S116" s="1753"/>
      <c r="T116" s="1708">
        <v>0</v>
      </c>
      <c r="U116" s="1753"/>
      <c r="V116" s="1708">
        <v>0</v>
      </c>
      <c r="W116" s="1753"/>
      <c r="X116" s="1704">
        <f t="shared" si="50"/>
        <v>-632121.16090200027</v>
      </c>
      <c r="Y116" s="1707"/>
      <c r="Z116" s="1374" t="s">
        <v>1716</v>
      </c>
      <c r="AA116" s="1705"/>
      <c r="AB116" s="1374" t="s">
        <v>23</v>
      </c>
      <c r="AC116" s="1705"/>
      <c r="AD116" s="1706">
        <v>0</v>
      </c>
      <c r="AE116" s="1705"/>
      <c r="AF116" s="1704">
        <f t="shared" si="51"/>
        <v>0</v>
      </c>
      <c r="AG116" s="985"/>
      <c r="AH116" s="1246">
        <v>283</v>
      </c>
      <c r="AI116" s="1246"/>
    </row>
    <row r="117" spans="2:35">
      <c r="B117" s="1246">
        <v>101</v>
      </c>
      <c r="C117" s="1365" t="s">
        <v>1768</v>
      </c>
      <c r="D117" s="1365" t="s">
        <v>1767</v>
      </c>
      <c r="E117" s="1365" t="s">
        <v>1472</v>
      </c>
      <c r="F117" s="1708">
        <v>-29346</v>
      </c>
      <c r="G117" s="1704">
        <f t="shared" si="42"/>
        <v>-10271.099999999999</v>
      </c>
      <c r="H117" s="1708">
        <v>-2494.4100000000003</v>
      </c>
      <c r="I117" s="1704">
        <f t="shared" si="43"/>
        <v>873.04350000000011</v>
      </c>
      <c r="J117" s="1704">
        <f t="shared" si="44"/>
        <v>-11892.466499999999</v>
      </c>
      <c r="K117" s="1753"/>
      <c r="L117" s="1708">
        <f t="shared" si="45"/>
        <v>-29346</v>
      </c>
      <c r="M117" s="1704">
        <f t="shared" si="46"/>
        <v>-6162.66</v>
      </c>
      <c r="N117" s="1708">
        <v>-2494.4100000000003</v>
      </c>
      <c r="O117" s="1704">
        <f t="shared" si="47"/>
        <v>523.8261</v>
      </c>
      <c r="P117" s="1704">
        <f t="shared" si="48"/>
        <v>-8133.2438999999995</v>
      </c>
      <c r="Q117" s="1704"/>
      <c r="R117" s="1704">
        <f t="shared" si="49"/>
        <v>-3759.2225999999991</v>
      </c>
      <c r="S117" s="1753"/>
      <c r="T117" s="1708">
        <v>0</v>
      </c>
      <c r="U117" s="1753"/>
      <c r="V117" s="1708">
        <v>0</v>
      </c>
      <c r="W117" s="1753"/>
      <c r="X117" s="1704">
        <f t="shared" si="50"/>
        <v>-3759.2225999999991</v>
      </c>
      <c r="Y117" s="1707"/>
      <c r="Z117" s="1374" t="s">
        <v>1716</v>
      </c>
      <c r="AA117" s="1705"/>
      <c r="AB117" s="1374" t="s">
        <v>23</v>
      </c>
      <c r="AC117" s="1705"/>
      <c r="AD117" s="1706">
        <v>0</v>
      </c>
      <c r="AE117" s="1705"/>
      <c r="AF117" s="1704">
        <f t="shared" si="51"/>
        <v>0</v>
      </c>
      <c r="AG117" s="985"/>
      <c r="AH117" s="1246">
        <v>283</v>
      </c>
      <c r="AI117" s="1246"/>
    </row>
    <row r="118" spans="2:35">
      <c r="B118" s="1246">
        <v>102</v>
      </c>
      <c r="C118" s="1365" t="s">
        <v>1766</v>
      </c>
      <c r="D118" s="1365" t="s">
        <v>1710</v>
      </c>
      <c r="E118" s="1365" t="s">
        <v>1472</v>
      </c>
      <c r="F118" s="1708">
        <v>462933.59</v>
      </c>
      <c r="G118" s="1704">
        <f t="shared" si="42"/>
        <v>162026.75649999999</v>
      </c>
      <c r="H118" s="1708">
        <v>39349.355150000003</v>
      </c>
      <c r="I118" s="1704">
        <f t="shared" si="43"/>
        <v>-13772.2743025</v>
      </c>
      <c r="J118" s="1704">
        <f t="shared" si="44"/>
        <v>187603.83734749997</v>
      </c>
      <c r="K118" s="1753"/>
      <c r="L118" s="1708">
        <f t="shared" si="45"/>
        <v>462933.59</v>
      </c>
      <c r="M118" s="1704">
        <f t="shared" si="46"/>
        <v>97216.053899999999</v>
      </c>
      <c r="N118" s="1708">
        <v>39349.355150000003</v>
      </c>
      <c r="O118" s="1704">
        <f t="shared" si="47"/>
        <v>-8263.3645815</v>
      </c>
      <c r="P118" s="1704">
        <f t="shared" si="48"/>
        <v>128302.04446850001</v>
      </c>
      <c r="Q118" s="1704"/>
      <c r="R118" s="1704">
        <f t="shared" si="49"/>
        <v>59301.792878999957</v>
      </c>
      <c r="S118" s="1753"/>
      <c r="T118" s="1708">
        <v>0</v>
      </c>
      <c r="U118" s="1753"/>
      <c r="V118" s="1708">
        <v>0</v>
      </c>
      <c r="W118" s="1753"/>
      <c r="X118" s="1704">
        <f t="shared" si="50"/>
        <v>59301.792878999957</v>
      </c>
      <c r="Y118" s="1707"/>
      <c r="Z118" s="1374" t="s">
        <v>1486</v>
      </c>
      <c r="AA118" s="1705"/>
      <c r="AB118" s="1374" t="s">
        <v>22</v>
      </c>
      <c r="AC118" s="1705"/>
      <c r="AD118" s="1706">
        <v>0.31493199999999999</v>
      </c>
      <c r="AE118" s="1705"/>
      <c r="AF118" s="1704">
        <f t="shared" si="51"/>
        <v>18676.032234969214</v>
      </c>
      <c r="AG118" s="985"/>
      <c r="AH118" s="1246">
        <v>283</v>
      </c>
      <c r="AI118" s="1246"/>
    </row>
    <row r="119" spans="2:35">
      <c r="B119" s="1246">
        <v>103</v>
      </c>
      <c r="C119" s="1365" t="s">
        <v>1765</v>
      </c>
      <c r="D119" s="1365" t="s">
        <v>1761</v>
      </c>
      <c r="E119" s="1365" t="s">
        <v>1472</v>
      </c>
      <c r="F119" s="1708">
        <v>985653</v>
      </c>
      <c r="G119" s="1704">
        <f t="shared" si="42"/>
        <v>344978.55</v>
      </c>
      <c r="H119" s="1708">
        <v>83780.505000000005</v>
      </c>
      <c r="I119" s="1704">
        <f t="shared" si="43"/>
        <v>-29323.176749999999</v>
      </c>
      <c r="J119" s="1704">
        <f t="shared" si="44"/>
        <v>399435.87825000001</v>
      </c>
      <c r="K119" s="1753"/>
      <c r="L119" s="1708">
        <f t="shared" si="45"/>
        <v>985653</v>
      </c>
      <c r="M119" s="1704">
        <f t="shared" si="46"/>
        <v>206987.13</v>
      </c>
      <c r="N119" s="1708">
        <v>83780.505000000005</v>
      </c>
      <c r="O119" s="1704">
        <f t="shared" si="47"/>
        <v>-17593.906050000001</v>
      </c>
      <c r="P119" s="1704">
        <f t="shared" si="48"/>
        <v>273173.72895000002</v>
      </c>
      <c r="Q119" s="1704"/>
      <c r="R119" s="1704">
        <f t="shared" si="49"/>
        <v>126262.14929999999</v>
      </c>
      <c r="S119" s="1753"/>
      <c r="T119" s="1708">
        <v>126262.1493</v>
      </c>
      <c r="U119" s="1753"/>
      <c r="V119" s="1708">
        <v>0</v>
      </c>
      <c r="W119" s="1753"/>
      <c r="X119" s="1704">
        <f t="shared" si="50"/>
        <v>-1.4551915228366852E-11</v>
      </c>
      <c r="Y119" s="1707"/>
      <c r="Z119" s="1374" t="s">
        <v>262</v>
      </c>
      <c r="AA119" s="1705"/>
      <c r="AB119" s="1374" t="s">
        <v>23</v>
      </c>
      <c r="AC119" s="1705"/>
      <c r="AD119" s="1706">
        <v>0</v>
      </c>
      <c r="AE119" s="1705"/>
      <c r="AF119" s="1704">
        <f t="shared" si="51"/>
        <v>0</v>
      </c>
      <c r="AG119" s="985"/>
      <c r="AH119" s="1246">
        <v>283</v>
      </c>
      <c r="AI119" s="1246"/>
    </row>
    <row r="120" spans="2:35">
      <c r="B120" s="1246">
        <v>104</v>
      </c>
      <c r="C120" s="1365" t="s">
        <v>1764</v>
      </c>
      <c r="D120" s="1365" t="s">
        <v>1761</v>
      </c>
      <c r="E120" s="1365" t="s">
        <v>1472</v>
      </c>
      <c r="F120" s="1708">
        <v>187499</v>
      </c>
      <c r="G120" s="1704">
        <f t="shared" si="42"/>
        <v>65624.649999999994</v>
      </c>
      <c r="H120" s="1708">
        <v>15937.415000000001</v>
      </c>
      <c r="I120" s="1704">
        <f t="shared" si="43"/>
        <v>-5578.0952500000003</v>
      </c>
      <c r="J120" s="1704">
        <f t="shared" si="44"/>
        <v>75983.969750000004</v>
      </c>
      <c r="K120" s="1753"/>
      <c r="L120" s="1708">
        <f t="shared" si="45"/>
        <v>187499</v>
      </c>
      <c r="M120" s="1704">
        <f t="shared" si="46"/>
        <v>39374.79</v>
      </c>
      <c r="N120" s="1708">
        <v>15937.415000000001</v>
      </c>
      <c r="O120" s="1704">
        <f t="shared" si="47"/>
        <v>-3346.8571500000003</v>
      </c>
      <c r="P120" s="1704">
        <f t="shared" si="48"/>
        <v>51965.347849999998</v>
      </c>
      <c r="Q120" s="1704"/>
      <c r="R120" s="1704">
        <f t="shared" si="49"/>
        <v>24018.621900000006</v>
      </c>
      <c r="S120" s="1753"/>
      <c r="T120" s="1708">
        <v>24018.621900000002</v>
      </c>
      <c r="U120" s="1753"/>
      <c r="V120" s="1708">
        <v>0</v>
      </c>
      <c r="W120" s="1753"/>
      <c r="X120" s="1704">
        <f t="shared" si="50"/>
        <v>3.637978807091713E-12</v>
      </c>
      <c r="Y120" s="1707"/>
      <c r="Z120" s="1374" t="s">
        <v>262</v>
      </c>
      <c r="AA120" s="1705"/>
      <c r="AB120" s="1374" t="s">
        <v>23</v>
      </c>
      <c r="AC120" s="1705"/>
      <c r="AD120" s="1706">
        <v>0</v>
      </c>
      <c r="AE120" s="1705"/>
      <c r="AF120" s="1704">
        <f t="shared" si="51"/>
        <v>0</v>
      </c>
      <c r="AG120" s="985"/>
      <c r="AH120" s="1246">
        <v>283</v>
      </c>
      <c r="AI120" s="1246"/>
    </row>
    <row r="121" spans="2:35">
      <c r="B121" s="1246">
        <v>105</v>
      </c>
      <c r="C121" s="1365" t="s">
        <v>1480</v>
      </c>
      <c r="D121" s="1365" t="s">
        <v>1761</v>
      </c>
      <c r="E121" s="1365" t="s">
        <v>1472</v>
      </c>
      <c r="F121" s="1708">
        <v>3196441.64</v>
      </c>
      <c r="G121" s="1704">
        <f t="shared" si="42"/>
        <v>1118754.574</v>
      </c>
      <c r="H121" s="1708">
        <v>271697.53940000001</v>
      </c>
      <c r="I121" s="1704">
        <f t="shared" si="43"/>
        <v>-95094.138789999997</v>
      </c>
      <c r="J121" s="1704">
        <f t="shared" si="44"/>
        <v>1295357.9746100002</v>
      </c>
      <c r="K121" s="1753"/>
      <c r="L121" s="1708">
        <f t="shared" si="45"/>
        <v>3196441.64</v>
      </c>
      <c r="M121" s="1704">
        <f t="shared" si="46"/>
        <v>671252.74439999997</v>
      </c>
      <c r="N121" s="1708">
        <v>271697.53940000001</v>
      </c>
      <c r="O121" s="1704">
        <f t="shared" si="47"/>
        <v>-57056.483273999998</v>
      </c>
      <c r="P121" s="1704">
        <f t="shared" si="48"/>
        <v>885893.80052599998</v>
      </c>
      <c r="Q121" s="1704"/>
      <c r="R121" s="1704">
        <f t="shared" si="49"/>
        <v>409464.17408400017</v>
      </c>
      <c r="S121" s="1753"/>
      <c r="T121" s="1708">
        <v>409464.17408400006</v>
      </c>
      <c r="U121" s="1753"/>
      <c r="V121" s="1708">
        <v>0</v>
      </c>
      <c r="W121" s="1753"/>
      <c r="X121" s="1704">
        <f t="shared" si="50"/>
        <v>1.1641532182693481E-10</v>
      </c>
      <c r="Y121" s="1707"/>
      <c r="Z121" s="1374" t="s">
        <v>262</v>
      </c>
      <c r="AA121" s="1705"/>
      <c r="AB121" s="1374" t="s">
        <v>23</v>
      </c>
      <c r="AC121" s="1705"/>
      <c r="AD121" s="1706">
        <v>0</v>
      </c>
      <c r="AE121" s="1705"/>
      <c r="AF121" s="1704">
        <f t="shared" si="51"/>
        <v>0</v>
      </c>
      <c r="AG121" s="985"/>
      <c r="AH121" s="1246">
        <v>283</v>
      </c>
      <c r="AI121" s="1246"/>
    </row>
    <row r="122" spans="2:35">
      <c r="B122" s="1246">
        <v>106</v>
      </c>
      <c r="C122" s="1365" t="s">
        <v>1763</v>
      </c>
      <c r="D122" s="1365" t="s">
        <v>1761</v>
      </c>
      <c r="E122" s="1365" t="s">
        <v>1472</v>
      </c>
      <c r="F122" s="1708">
        <v>6914606.4699999997</v>
      </c>
      <c r="G122" s="1704">
        <f t="shared" si="42"/>
        <v>2420112.2644999996</v>
      </c>
      <c r="H122" s="1708">
        <v>587741.54995000002</v>
      </c>
      <c r="I122" s="1704">
        <f t="shared" si="43"/>
        <v>-205709.54248249999</v>
      </c>
      <c r="J122" s="1704">
        <f t="shared" si="44"/>
        <v>2802144.2719674995</v>
      </c>
      <c r="K122" s="1753"/>
      <c r="L122" s="1708">
        <f t="shared" si="45"/>
        <v>6914606.4699999997</v>
      </c>
      <c r="M122" s="1704">
        <f t="shared" si="46"/>
        <v>1452067.3587</v>
      </c>
      <c r="N122" s="1708">
        <v>587741.54995000002</v>
      </c>
      <c r="O122" s="1704">
        <f t="shared" si="47"/>
        <v>-123425.72548949999</v>
      </c>
      <c r="P122" s="1704">
        <f t="shared" si="48"/>
        <v>1916383.1831605001</v>
      </c>
      <c r="Q122" s="1704"/>
      <c r="R122" s="1704">
        <f t="shared" si="49"/>
        <v>885761.08880699938</v>
      </c>
      <c r="S122" s="1753"/>
      <c r="T122" s="1708">
        <v>885761.08880700008</v>
      </c>
      <c r="U122" s="1753"/>
      <c r="V122" s="1708">
        <v>0</v>
      </c>
      <c r="W122" s="1753"/>
      <c r="X122" s="1704">
        <f t="shared" si="50"/>
        <v>-6.9849193096160889E-10</v>
      </c>
      <c r="Y122" s="1707"/>
      <c r="Z122" s="1374" t="s">
        <v>262</v>
      </c>
      <c r="AA122" s="1705"/>
      <c r="AB122" s="1374" t="s">
        <v>23</v>
      </c>
      <c r="AC122" s="1705"/>
      <c r="AD122" s="1706">
        <v>0</v>
      </c>
      <c r="AE122" s="1705"/>
      <c r="AF122" s="1704">
        <f t="shared" si="51"/>
        <v>0</v>
      </c>
      <c r="AG122" s="985"/>
      <c r="AH122" s="1246">
        <v>283</v>
      </c>
      <c r="AI122" s="1246"/>
    </row>
    <row r="123" spans="2:35">
      <c r="B123" s="1246">
        <v>107</v>
      </c>
      <c r="C123" s="1365" t="s">
        <v>1762</v>
      </c>
      <c r="D123" s="1365" t="s">
        <v>1761</v>
      </c>
      <c r="E123" s="1365" t="s">
        <v>1472</v>
      </c>
      <c r="F123" s="1708">
        <v>1313273.56</v>
      </c>
      <c r="G123" s="1704">
        <f t="shared" si="42"/>
        <v>459645.74599999998</v>
      </c>
      <c r="H123" s="1708">
        <v>111628.25260000001</v>
      </c>
      <c r="I123" s="1704">
        <f t="shared" si="43"/>
        <v>-39069.88841</v>
      </c>
      <c r="J123" s="1704">
        <f t="shared" si="44"/>
        <v>532204.11019000004</v>
      </c>
      <c r="K123" s="1753"/>
      <c r="L123" s="1708">
        <f t="shared" si="45"/>
        <v>1313273.56</v>
      </c>
      <c r="M123" s="1704">
        <f t="shared" si="46"/>
        <v>275787.44760000001</v>
      </c>
      <c r="N123" s="1708">
        <v>111628.25260000001</v>
      </c>
      <c r="O123" s="1704">
        <f t="shared" si="47"/>
        <v>-23441.933046000002</v>
      </c>
      <c r="P123" s="1704">
        <f t="shared" si="48"/>
        <v>363973.767154</v>
      </c>
      <c r="Q123" s="1704"/>
      <c r="R123" s="1704">
        <f t="shared" si="49"/>
        <v>168230.34303600003</v>
      </c>
      <c r="S123" s="1753"/>
      <c r="T123" s="1708">
        <v>168230.34303600003</v>
      </c>
      <c r="U123" s="1753"/>
      <c r="V123" s="1708">
        <v>0</v>
      </c>
      <c r="W123" s="1753"/>
      <c r="X123" s="1704">
        <f t="shared" si="50"/>
        <v>0</v>
      </c>
      <c r="Y123" s="1707"/>
      <c r="Z123" s="1374" t="s">
        <v>1482</v>
      </c>
      <c r="AA123" s="1705"/>
      <c r="AB123" s="1374" t="s">
        <v>23</v>
      </c>
      <c r="AC123" s="1705"/>
      <c r="AD123" s="1706">
        <v>0</v>
      </c>
      <c r="AE123" s="1705"/>
      <c r="AF123" s="1704">
        <f t="shared" si="51"/>
        <v>0</v>
      </c>
      <c r="AG123" s="985"/>
      <c r="AH123" s="1246">
        <v>283</v>
      </c>
      <c r="AI123" s="1246"/>
    </row>
    <row r="124" spans="2:35">
      <c r="B124" s="1246">
        <v>108</v>
      </c>
      <c r="C124" s="1365" t="s">
        <v>1509</v>
      </c>
      <c r="D124" s="1365" t="s">
        <v>1760</v>
      </c>
      <c r="E124" s="1365" t="s">
        <v>1472</v>
      </c>
      <c r="F124" s="1708">
        <v>-196896679.87</v>
      </c>
      <c r="G124" s="1704">
        <f t="shared" si="42"/>
        <v>-68913837.954500005</v>
      </c>
      <c r="H124" s="1708">
        <v>-16736217.788950002</v>
      </c>
      <c r="I124" s="1704">
        <f t="shared" si="43"/>
        <v>5857676.2261325</v>
      </c>
      <c r="J124" s="1704">
        <f t="shared" si="44"/>
        <v>-79792379.517317504</v>
      </c>
      <c r="K124" s="1753"/>
      <c r="L124" s="1708">
        <f t="shared" si="45"/>
        <v>-196896679.87</v>
      </c>
      <c r="M124" s="1704">
        <f t="shared" si="46"/>
        <v>-41348302.772699997</v>
      </c>
      <c r="N124" s="1708">
        <v>-16736217.788950002</v>
      </c>
      <c r="O124" s="1704">
        <f t="shared" si="47"/>
        <v>3514605.7356795003</v>
      </c>
      <c r="P124" s="1704">
        <f t="shared" si="48"/>
        <v>-54569914.825970501</v>
      </c>
      <c r="Q124" s="1704"/>
      <c r="R124" s="1704">
        <f t="shared" si="49"/>
        <v>-25222464.691347003</v>
      </c>
      <c r="S124" s="1753"/>
      <c r="T124" s="1708">
        <v>0</v>
      </c>
      <c r="U124" s="1753"/>
      <c r="V124" s="1708">
        <v>0</v>
      </c>
      <c r="W124" s="1753"/>
      <c r="X124" s="1704">
        <f t="shared" si="50"/>
        <v>-25222464.691347003</v>
      </c>
      <c r="Y124" s="1707"/>
      <c r="Z124" s="1374" t="s">
        <v>262</v>
      </c>
      <c r="AA124" s="1705"/>
      <c r="AB124" s="1374" t="s">
        <v>22</v>
      </c>
      <c r="AC124" s="1705"/>
      <c r="AD124" s="1706">
        <v>6.0801999999999995E-2</v>
      </c>
      <c r="AE124" s="1705"/>
      <c r="AF124" s="1704">
        <f t="shared" si="51"/>
        <v>-1533576.2981632804</v>
      </c>
      <c r="AG124" s="985"/>
      <c r="AH124" s="1246">
        <v>283</v>
      </c>
      <c r="AI124" s="1246"/>
    </row>
    <row r="125" spans="2:35">
      <c r="B125" s="1246">
        <v>109</v>
      </c>
      <c r="C125" s="1365" t="s">
        <v>1505</v>
      </c>
      <c r="D125" s="1365" t="s">
        <v>1759</v>
      </c>
      <c r="E125" s="1365" t="s">
        <v>1472</v>
      </c>
      <c r="F125" s="1708">
        <v>-22946357.990000002</v>
      </c>
      <c r="G125" s="1704">
        <f t="shared" si="42"/>
        <v>-8031225.2965000002</v>
      </c>
      <c r="H125" s="1708">
        <v>-1950440.4291500002</v>
      </c>
      <c r="I125" s="1704">
        <f t="shared" si="43"/>
        <v>682654.15020250005</v>
      </c>
      <c r="J125" s="1704">
        <f t="shared" si="44"/>
        <v>-9299011.5754475016</v>
      </c>
      <c r="K125" s="1753"/>
      <c r="L125" s="1708">
        <f t="shared" si="45"/>
        <v>-22946357.990000002</v>
      </c>
      <c r="M125" s="1704">
        <f t="shared" si="46"/>
        <v>-4818735.1779000005</v>
      </c>
      <c r="N125" s="1708">
        <v>-1950440.4291500002</v>
      </c>
      <c r="O125" s="1704">
        <f t="shared" si="47"/>
        <v>409592.49012150004</v>
      </c>
      <c r="P125" s="1704">
        <f t="shared" si="48"/>
        <v>-6359583.1169285011</v>
      </c>
      <c r="Q125" s="1704"/>
      <c r="R125" s="1704">
        <f t="shared" si="49"/>
        <v>-2939428.4585190006</v>
      </c>
      <c r="S125" s="1753"/>
      <c r="T125" s="1708">
        <v>0</v>
      </c>
      <c r="U125" s="1753"/>
      <c r="V125" s="1708">
        <v>0</v>
      </c>
      <c r="W125" s="1753"/>
      <c r="X125" s="1704">
        <f t="shared" si="50"/>
        <v>-2939428.4585190006</v>
      </c>
      <c r="Y125" s="1707"/>
      <c r="Z125" s="1374" t="s">
        <v>1486</v>
      </c>
      <c r="AA125" s="1705"/>
      <c r="AB125" s="1374" t="s">
        <v>23</v>
      </c>
      <c r="AC125" s="1705"/>
      <c r="AD125" s="1706">
        <v>0</v>
      </c>
      <c r="AE125" s="1705"/>
      <c r="AF125" s="1704">
        <f t="shared" si="51"/>
        <v>0</v>
      </c>
      <c r="AG125" s="985"/>
      <c r="AH125" s="1246">
        <v>283</v>
      </c>
      <c r="AI125" s="1246"/>
    </row>
    <row r="126" spans="2:35">
      <c r="B126" s="1246">
        <v>110</v>
      </c>
      <c r="C126" s="1365" t="s">
        <v>1545</v>
      </c>
      <c r="D126" s="1365" t="s">
        <v>1757</v>
      </c>
      <c r="E126" s="1365" t="s">
        <v>1472</v>
      </c>
      <c r="F126" s="1708">
        <v>-6719421.7000000002</v>
      </c>
      <c r="G126" s="1704">
        <f t="shared" si="42"/>
        <v>-2351797.5949999997</v>
      </c>
      <c r="H126" s="1708">
        <v>-571150.84450000001</v>
      </c>
      <c r="I126" s="1704">
        <f t="shared" si="43"/>
        <v>199902.795575</v>
      </c>
      <c r="J126" s="1704">
        <f t="shared" si="44"/>
        <v>-2723045.643925</v>
      </c>
      <c r="K126" s="1753"/>
      <c r="L126" s="1708">
        <f t="shared" si="45"/>
        <v>-6719421.7000000002</v>
      </c>
      <c r="M126" s="1704">
        <f t="shared" si="46"/>
        <v>-1411078.557</v>
      </c>
      <c r="N126" s="1708">
        <v>-571150.84450000001</v>
      </c>
      <c r="O126" s="1704">
        <f t="shared" si="47"/>
        <v>119941.677345</v>
      </c>
      <c r="P126" s="1704">
        <f t="shared" si="48"/>
        <v>-1862287.7241550002</v>
      </c>
      <c r="Q126" s="1704"/>
      <c r="R126" s="1704">
        <f t="shared" si="49"/>
        <v>-860757.9197699998</v>
      </c>
      <c r="S126" s="1753"/>
      <c r="T126" s="1708">
        <v>0</v>
      </c>
      <c r="U126" s="1753"/>
      <c r="V126" s="1708">
        <v>0</v>
      </c>
      <c r="W126" s="1753"/>
      <c r="X126" s="1704">
        <f t="shared" si="50"/>
        <v>-860757.9197699998</v>
      </c>
      <c r="Y126" s="1707"/>
      <c r="Z126" s="1374" t="s">
        <v>1716</v>
      </c>
      <c r="AA126" s="1705"/>
      <c r="AB126" s="1374" t="s">
        <v>23</v>
      </c>
      <c r="AC126" s="1705"/>
      <c r="AD126" s="1706">
        <v>0</v>
      </c>
      <c r="AE126" s="1705"/>
      <c r="AF126" s="1704">
        <f t="shared" si="51"/>
        <v>0</v>
      </c>
      <c r="AG126" s="985"/>
      <c r="AH126" s="1246">
        <v>283</v>
      </c>
      <c r="AI126" s="1246"/>
    </row>
    <row r="127" spans="2:35">
      <c r="B127" s="1246">
        <v>111</v>
      </c>
      <c r="C127" s="1365" t="s">
        <v>1758</v>
      </c>
      <c r="D127" s="1365" t="s">
        <v>1757</v>
      </c>
      <c r="E127" s="1365" t="s">
        <v>1472</v>
      </c>
      <c r="F127" s="1708">
        <v>-510837.07</v>
      </c>
      <c r="G127" s="1704">
        <f t="shared" si="42"/>
        <v>-178792.97449999998</v>
      </c>
      <c r="H127" s="1708">
        <v>-43421.150950000003</v>
      </c>
      <c r="I127" s="1704">
        <f t="shared" si="43"/>
        <v>15197.4028325</v>
      </c>
      <c r="J127" s="1704">
        <f t="shared" si="44"/>
        <v>-207016.7226175</v>
      </c>
      <c r="K127" s="1753"/>
      <c r="L127" s="1708">
        <f t="shared" si="45"/>
        <v>-510837.07</v>
      </c>
      <c r="M127" s="1704">
        <f t="shared" si="46"/>
        <v>-107275.7847</v>
      </c>
      <c r="N127" s="1708">
        <v>-43421.150950000003</v>
      </c>
      <c r="O127" s="1704">
        <f t="shared" si="47"/>
        <v>9118.4416995000011</v>
      </c>
      <c r="P127" s="1704">
        <f t="shared" si="48"/>
        <v>-141578.49395050001</v>
      </c>
      <c r="Q127" s="1704"/>
      <c r="R127" s="1704">
        <f t="shared" si="49"/>
        <v>-65438.228666999988</v>
      </c>
      <c r="S127" s="1753"/>
      <c r="T127" s="1708">
        <v>0</v>
      </c>
      <c r="U127" s="1753"/>
      <c r="V127" s="1708">
        <v>0</v>
      </c>
      <c r="W127" s="1753"/>
      <c r="X127" s="1704">
        <f t="shared" si="50"/>
        <v>-65438.228666999988</v>
      </c>
      <c r="Y127" s="1707"/>
      <c r="Z127" s="1374" t="s">
        <v>1486</v>
      </c>
      <c r="AA127" s="1705"/>
      <c r="AB127" s="1374" t="s">
        <v>22</v>
      </c>
      <c r="AC127" s="1705"/>
      <c r="AD127" s="1706">
        <v>0.31493199999999999</v>
      </c>
      <c r="AE127" s="1705"/>
      <c r="AF127" s="1704">
        <f t="shared" si="51"/>
        <v>-20608.592230555641</v>
      </c>
      <c r="AG127" s="985"/>
      <c r="AH127" s="1246">
        <v>283</v>
      </c>
      <c r="AI127" s="1246"/>
    </row>
    <row r="128" spans="2:35">
      <c r="B128" s="1246">
        <v>112</v>
      </c>
      <c r="C128" s="1365" t="s">
        <v>1504</v>
      </c>
      <c r="D128" s="1365" t="s">
        <v>1757</v>
      </c>
      <c r="E128" s="1365" t="s">
        <v>1472</v>
      </c>
      <c r="F128" s="1708">
        <v>-443834.4</v>
      </c>
      <c r="G128" s="1704">
        <f t="shared" si="42"/>
        <v>-155342.04</v>
      </c>
      <c r="H128" s="1708">
        <v>-37725.924000000006</v>
      </c>
      <c r="I128" s="1704">
        <f t="shared" si="43"/>
        <v>13204.073400000001</v>
      </c>
      <c r="J128" s="1704">
        <f t="shared" si="44"/>
        <v>-179863.89060000001</v>
      </c>
      <c r="K128" s="1753"/>
      <c r="L128" s="1708">
        <f t="shared" si="45"/>
        <v>-443834.4</v>
      </c>
      <c r="M128" s="1704">
        <f t="shared" si="46"/>
        <v>-93205.224000000002</v>
      </c>
      <c r="N128" s="1708">
        <v>-37725.924000000006</v>
      </c>
      <c r="O128" s="1704">
        <f t="shared" si="47"/>
        <v>7922.4440400000012</v>
      </c>
      <c r="P128" s="1704">
        <f t="shared" si="48"/>
        <v>-123008.70396000001</v>
      </c>
      <c r="Q128" s="1704"/>
      <c r="R128" s="1704">
        <f t="shared" si="49"/>
        <v>-56855.18664</v>
      </c>
      <c r="S128" s="1753"/>
      <c r="T128" s="1708">
        <v>0</v>
      </c>
      <c r="U128" s="1753"/>
      <c r="V128" s="1708">
        <v>0</v>
      </c>
      <c r="W128" s="1753"/>
      <c r="X128" s="1704">
        <f t="shared" si="50"/>
        <v>-56855.18664</v>
      </c>
      <c r="Y128" s="1707"/>
      <c r="Z128" s="1374" t="s">
        <v>1486</v>
      </c>
      <c r="AA128" s="1705"/>
      <c r="AB128" s="1374" t="s">
        <v>22</v>
      </c>
      <c r="AC128" s="1705"/>
      <c r="AD128" s="1706">
        <v>0.31493199999999999</v>
      </c>
      <c r="AE128" s="1705"/>
      <c r="AF128" s="1704">
        <f t="shared" si="51"/>
        <v>-17905.517638908481</v>
      </c>
      <c r="AG128" s="985"/>
      <c r="AH128" s="1246">
        <v>283</v>
      </c>
      <c r="AI128" s="1246"/>
    </row>
    <row r="129" spans="2:35">
      <c r="B129" s="1246">
        <v>113</v>
      </c>
      <c r="C129" s="1365" t="s">
        <v>1756</v>
      </c>
      <c r="D129" s="1365" t="s">
        <v>1755</v>
      </c>
      <c r="E129" s="1365" t="s">
        <v>1472</v>
      </c>
      <c r="F129" s="1708">
        <v>-56498499.810000002</v>
      </c>
      <c r="G129" s="1704">
        <f t="shared" si="42"/>
        <v>-19774474.933499999</v>
      </c>
      <c r="H129" s="1708">
        <v>-4802372.4838500004</v>
      </c>
      <c r="I129" s="1704">
        <f t="shared" si="43"/>
        <v>1680830.3693475001</v>
      </c>
      <c r="J129" s="1704">
        <f t="shared" si="44"/>
        <v>-22896017.0480025</v>
      </c>
      <c r="K129" s="1753"/>
      <c r="L129" s="1708">
        <f t="shared" si="45"/>
        <v>-56498499.810000002</v>
      </c>
      <c r="M129" s="1704">
        <f t="shared" si="46"/>
        <v>-11864684.960100001</v>
      </c>
      <c r="N129" s="1708">
        <v>-4802372.4838500004</v>
      </c>
      <c r="O129" s="1704">
        <f t="shared" si="47"/>
        <v>1008498.2216085</v>
      </c>
      <c r="P129" s="1704">
        <f t="shared" si="48"/>
        <v>-15658559.2223415</v>
      </c>
      <c r="Q129" s="1704"/>
      <c r="R129" s="1704">
        <f t="shared" si="49"/>
        <v>-7237457.8256609999</v>
      </c>
      <c r="S129" s="1753"/>
      <c r="T129" s="1708">
        <v>0</v>
      </c>
      <c r="U129" s="1753"/>
      <c r="V129" s="1708">
        <v>0</v>
      </c>
      <c r="W129" s="1753"/>
      <c r="X129" s="1704">
        <f t="shared" si="50"/>
        <v>-7237457.8256609999</v>
      </c>
      <c r="Y129" s="1707"/>
      <c r="Z129" s="1374" t="s">
        <v>1482</v>
      </c>
      <c r="AA129" s="1705"/>
      <c r="AB129" s="1374" t="s">
        <v>23</v>
      </c>
      <c r="AC129" s="1705"/>
      <c r="AD129" s="1706">
        <v>0</v>
      </c>
      <c r="AE129" s="1705"/>
      <c r="AF129" s="1704">
        <f t="shared" si="51"/>
        <v>0</v>
      </c>
      <c r="AG129" s="985"/>
      <c r="AH129" s="1246">
        <v>283</v>
      </c>
      <c r="AI129" s="1246"/>
    </row>
    <row r="130" spans="2:35">
      <c r="B130" s="1246">
        <v>114</v>
      </c>
      <c r="C130" s="1365" t="s">
        <v>1754</v>
      </c>
      <c r="D130" s="1365" t="s">
        <v>1753</v>
      </c>
      <c r="E130" s="1365" t="s">
        <v>1472</v>
      </c>
      <c r="F130" s="1708">
        <v>-7549595</v>
      </c>
      <c r="G130" s="1704">
        <f t="shared" si="42"/>
        <v>-2642358.25</v>
      </c>
      <c r="H130" s="1708">
        <v>-641715.57500000007</v>
      </c>
      <c r="I130" s="1704">
        <f t="shared" si="43"/>
        <v>224600.45125000001</v>
      </c>
      <c r="J130" s="1704">
        <f t="shared" si="44"/>
        <v>-3059473.3737500003</v>
      </c>
      <c r="K130" s="1753"/>
      <c r="L130" s="1708">
        <f t="shared" si="45"/>
        <v>-7549595</v>
      </c>
      <c r="M130" s="1704">
        <f t="shared" si="46"/>
        <v>-1585414.95</v>
      </c>
      <c r="N130" s="1708">
        <v>-641715.57500000007</v>
      </c>
      <c r="O130" s="1704">
        <f t="shared" si="47"/>
        <v>134760.27075</v>
      </c>
      <c r="P130" s="1704">
        <f t="shared" si="48"/>
        <v>-2092370.25425</v>
      </c>
      <c r="Q130" s="1704"/>
      <c r="R130" s="1704">
        <f t="shared" si="49"/>
        <v>-967103.11950000026</v>
      </c>
      <c r="S130" s="1753"/>
      <c r="T130" s="1708">
        <v>0</v>
      </c>
      <c r="U130" s="1753"/>
      <c r="V130" s="1708">
        <v>0</v>
      </c>
      <c r="W130" s="1753"/>
      <c r="X130" s="1704">
        <f t="shared" si="50"/>
        <v>-967103.11950000026</v>
      </c>
      <c r="Y130" s="1707"/>
      <c r="Z130" s="1374" t="s">
        <v>1088</v>
      </c>
      <c r="AA130" s="1705"/>
      <c r="AB130" s="1374" t="s">
        <v>22</v>
      </c>
      <c r="AC130" s="1705"/>
      <c r="AD130" s="1706">
        <v>1</v>
      </c>
      <c r="AE130" s="1705"/>
      <c r="AF130" s="1704">
        <f t="shared" si="51"/>
        <v>-967103.11950000026</v>
      </c>
      <c r="AG130" s="985"/>
      <c r="AH130" s="1246">
        <v>283</v>
      </c>
      <c r="AI130" s="1246"/>
    </row>
    <row r="131" spans="2:35">
      <c r="B131" s="1246">
        <v>115</v>
      </c>
      <c r="C131" s="1365" t="s">
        <v>1506</v>
      </c>
      <c r="D131" s="1365" t="s">
        <v>1739</v>
      </c>
      <c r="E131" s="1365" t="s">
        <v>1472</v>
      </c>
      <c r="F131" s="1708">
        <v>-653578.25</v>
      </c>
      <c r="G131" s="1704">
        <f t="shared" si="42"/>
        <v>-228752.38749999998</v>
      </c>
      <c r="H131" s="1708">
        <v>-55554.151250000003</v>
      </c>
      <c r="I131" s="1704">
        <f t="shared" si="43"/>
        <v>19443.952937499998</v>
      </c>
      <c r="J131" s="1704">
        <f t="shared" si="44"/>
        <v>-264862.58581249998</v>
      </c>
      <c r="K131" s="1753"/>
      <c r="L131" s="1708">
        <f t="shared" si="45"/>
        <v>-653578.25</v>
      </c>
      <c r="M131" s="1704">
        <f t="shared" si="46"/>
        <v>-137251.4325</v>
      </c>
      <c r="N131" s="1708">
        <v>-55554.151250000003</v>
      </c>
      <c r="O131" s="1704">
        <f t="shared" si="47"/>
        <v>11666.371762500001</v>
      </c>
      <c r="P131" s="1704">
        <f t="shared" si="48"/>
        <v>-181139.21198749999</v>
      </c>
      <c r="Q131" s="1704"/>
      <c r="R131" s="1704">
        <f t="shared" si="49"/>
        <v>-83723.373824999988</v>
      </c>
      <c r="S131" s="1753"/>
      <c r="T131" s="1708">
        <v>0</v>
      </c>
      <c r="U131" s="1753"/>
      <c r="V131" s="1708">
        <v>0</v>
      </c>
      <c r="W131" s="1753"/>
      <c r="X131" s="1704">
        <f t="shared" si="50"/>
        <v>-83723.373824999988</v>
      </c>
      <c r="Y131" s="1707"/>
      <c r="Z131" s="1374" t="s">
        <v>1486</v>
      </c>
      <c r="AA131" s="1705"/>
      <c r="AB131" s="1374" t="s">
        <v>22</v>
      </c>
      <c r="AC131" s="1705"/>
      <c r="AD131" s="1706">
        <v>0</v>
      </c>
      <c r="AE131" s="1705"/>
      <c r="AF131" s="1704">
        <f t="shared" si="51"/>
        <v>0</v>
      </c>
      <c r="AG131" s="985"/>
      <c r="AH131" s="1246">
        <v>283</v>
      </c>
      <c r="AI131" s="1246"/>
    </row>
    <row r="132" spans="2:35">
      <c r="B132" s="1246">
        <v>116</v>
      </c>
      <c r="C132" s="1365" t="s">
        <v>1752</v>
      </c>
      <c r="D132" s="1365" t="s">
        <v>1739</v>
      </c>
      <c r="E132" s="1365" t="s">
        <v>1472</v>
      </c>
      <c r="F132" s="1708">
        <v>-24070683.079999998</v>
      </c>
      <c r="G132" s="1704">
        <f t="shared" si="42"/>
        <v>-8424739.0779999997</v>
      </c>
      <c r="H132" s="1708">
        <v>-2046008.0618</v>
      </c>
      <c r="I132" s="1704">
        <f t="shared" si="43"/>
        <v>716102.82163000002</v>
      </c>
      <c r="J132" s="1704">
        <f t="shared" si="44"/>
        <v>-9754644.3181699999</v>
      </c>
      <c r="K132" s="1753"/>
      <c r="L132" s="1708">
        <f t="shared" si="45"/>
        <v>-24070683.079999998</v>
      </c>
      <c r="M132" s="1704">
        <f t="shared" si="46"/>
        <v>-5054843.4467999991</v>
      </c>
      <c r="N132" s="1708">
        <v>-2046008.0618</v>
      </c>
      <c r="O132" s="1704">
        <f t="shared" si="47"/>
        <v>429661.69297799998</v>
      </c>
      <c r="P132" s="1704">
        <f t="shared" si="48"/>
        <v>-6671189.8156219991</v>
      </c>
      <c r="Q132" s="1704"/>
      <c r="R132" s="1704">
        <f t="shared" si="49"/>
        <v>-3083454.5025480008</v>
      </c>
      <c r="S132" s="1753"/>
      <c r="T132" s="1708">
        <v>0</v>
      </c>
      <c r="U132" s="1753"/>
      <c r="V132" s="1708">
        <v>0</v>
      </c>
      <c r="W132" s="1753"/>
      <c r="X132" s="1704">
        <f t="shared" si="50"/>
        <v>-3083454.5025480008</v>
      </c>
      <c r="Y132" s="1707"/>
      <c r="Z132" s="1374" t="s">
        <v>1482</v>
      </c>
      <c r="AA132" s="1705"/>
      <c r="AB132" s="1374" t="s">
        <v>23</v>
      </c>
      <c r="AC132" s="1705"/>
      <c r="AD132" s="1706">
        <v>0</v>
      </c>
      <c r="AE132" s="1705"/>
      <c r="AF132" s="1704">
        <f t="shared" si="51"/>
        <v>0</v>
      </c>
      <c r="AG132" s="985"/>
      <c r="AH132" s="1246">
        <v>283</v>
      </c>
      <c r="AI132" s="1246"/>
    </row>
    <row r="133" spans="2:35">
      <c r="B133" s="1246">
        <v>117</v>
      </c>
      <c r="C133" s="1365" t="s">
        <v>1751</v>
      </c>
      <c r="D133" s="1365" t="s">
        <v>1739</v>
      </c>
      <c r="E133" s="1365" t="s">
        <v>1472</v>
      </c>
      <c r="F133" s="1708">
        <v>-65234695.509999998</v>
      </c>
      <c r="G133" s="1704">
        <f t="shared" si="42"/>
        <v>-22832143.428499997</v>
      </c>
      <c r="H133" s="1708">
        <v>-5544949.1183500001</v>
      </c>
      <c r="I133" s="1704">
        <f t="shared" si="43"/>
        <v>1940732.1914224999</v>
      </c>
      <c r="J133" s="1704">
        <f t="shared" si="44"/>
        <v>-26436360.355427496</v>
      </c>
      <c r="K133" s="1753"/>
      <c r="L133" s="1708">
        <f t="shared" si="45"/>
        <v>-65234695.509999998</v>
      </c>
      <c r="M133" s="1704">
        <f t="shared" si="46"/>
        <v>-13699286.0571</v>
      </c>
      <c r="N133" s="1708">
        <v>-5544949.1183500001</v>
      </c>
      <c r="O133" s="1704">
        <f t="shared" si="47"/>
        <v>1164439.3148534999</v>
      </c>
      <c r="P133" s="1704">
        <f t="shared" si="48"/>
        <v>-18079795.8605965</v>
      </c>
      <c r="Q133" s="1704"/>
      <c r="R133" s="1704">
        <f t="shared" si="49"/>
        <v>-8356564.4948309958</v>
      </c>
      <c r="S133" s="1753"/>
      <c r="T133" s="1708">
        <v>0</v>
      </c>
      <c r="U133" s="1753"/>
      <c r="V133" s="1708">
        <v>0</v>
      </c>
      <c r="W133" s="1753"/>
      <c r="X133" s="1704">
        <f t="shared" si="50"/>
        <v>-8356564.4948309958</v>
      </c>
      <c r="Y133" s="1707"/>
      <c r="Z133" s="1374" t="s">
        <v>1716</v>
      </c>
      <c r="AA133" s="1705"/>
      <c r="AB133" s="1374" t="s">
        <v>23</v>
      </c>
      <c r="AC133" s="1705"/>
      <c r="AD133" s="1706">
        <v>0</v>
      </c>
      <c r="AE133" s="1705"/>
      <c r="AF133" s="1704">
        <f t="shared" si="51"/>
        <v>0</v>
      </c>
      <c r="AG133" s="985"/>
      <c r="AH133" s="1246">
        <v>283</v>
      </c>
      <c r="AI133" s="1246"/>
    </row>
    <row r="134" spans="2:35">
      <c r="B134" s="1246">
        <v>118</v>
      </c>
      <c r="C134" s="1365" t="s">
        <v>1507</v>
      </c>
      <c r="D134" s="1365" t="s">
        <v>1739</v>
      </c>
      <c r="E134" s="1365" t="s">
        <v>1472</v>
      </c>
      <c r="F134" s="1708">
        <v>-4171436.91</v>
      </c>
      <c r="G134" s="1704">
        <f t="shared" si="42"/>
        <v>-1460002.9184999999</v>
      </c>
      <c r="H134" s="1708">
        <v>-354572.13735000003</v>
      </c>
      <c r="I134" s="1704">
        <f t="shared" si="43"/>
        <v>124100.24807250001</v>
      </c>
      <c r="J134" s="1704">
        <f t="shared" si="44"/>
        <v>-1690474.8077774998</v>
      </c>
      <c r="K134" s="1753"/>
      <c r="L134" s="1708">
        <f t="shared" si="45"/>
        <v>-4171436.91</v>
      </c>
      <c r="M134" s="1704">
        <f t="shared" si="46"/>
        <v>-876001.75109999999</v>
      </c>
      <c r="N134" s="1708">
        <v>-354572.13735000003</v>
      </c>
      <c r="O134" s="1704">
        <f t="shared" si="47"/>
        <v>74460.148843500006</v>
      </c>
      <c r="P134" s="1704">
        <f t="shared" si="48"/>
        <v>-1156113.7396064999</v>
      </c>
      <c r="Q134" s="1704"/>
      <c r="R134" s="1704">
        <f t="shared" si="49"/>
        <v>-534361.06817099988</v>
      </c>
      <c r="S134" s="1753"/>
      <c r="T134" s="1708">
        <v>0</v>
      </c>
      <c r="U134" s="1753"/>
      <c r="V134" s="1708">
        <v>0</v>
      </c>
      <c r="W134" s="1753"/>
      <c r="X134" s="1704">
        <f t="shared" si="50"/>
        <v>-534361.06817099988</v>
      </c>
      <c r="Y134" s="1707"/>
      <c r="Z134" s="1374" t="s">
        <v>1482</v>
      </c>
      <c r="AA134" s="1705"/>
      <c r="AB134" s="1374" t="s">
        <v>23</v>
      </c>
      <c r="AC134" s="1705"/>
      <c r="AD134" s="1706">
        <v>0</v>
      </c>
      <c r="AE134" s="1705"/>
      <c r="AF134" s="1704">
        <f t="shared" si="51"/>
        <v>0</v>
      </c>
      <c r="AG134" s="985"/>
      <c r="AH134" s="1246">
        <v>283</v>
      </c>
      <c r="AI134" s="1246"/>
    </row>
    <row r="135" spans="2:35">
      <c r="B135" s="1246">
        <v>119</v>
      </c>
      <c r="C135" s="1365" t="s">
        <v>1750</v>
      </c>
      <c r="D135" s="1365" t="s">
        <v>1739</v>
      </c>
      <c r="E135" s="1365" t="s">
        <v>1472</v>
      </c>
      <c r="F135" s="1708">
        <v>-2895921.43</v>
      </c>
      <c r="G135" s="1704">
        <f t="shared" si="42"/>
        <v>-1013572.5005</v>
      </c>
      <c r="H135" s="1708">
        <v>-246153.32155000002</v>
      </c>
      <c r="I135" s="1704">
        <f t="shared" si="43"/>
        <v>86153.662542500009</v>
      </c>
      <c r="J135" s="1704">
        <f t="shared" si="44"/>
        <v>-1173572.1595075</v>
      </c>
      <c r="K135" s="1753"/>
      <c r="L135" s="1708">
        <f t="shared" si="45"/>
        <v>-2895921.43</v>
      </c>
      <c r="M135" s="1704">
        <f t="shared" si="46"/>
        <v>-608143.50029999996</v>
      </c>
      <c r="N135" s="1708">
        <v>-246153.32155000002</v>
      </c>
      <c r="O135" s="1704">
        <f t="shared" si="47"/>
        <v>51692.1975255</v>
      </c>
      <c r="P135" s="1704">
        <f t="shared" si="48"/>
        <v>-802604.62432449998</v>
      </c>
      <c r="Q135" s="1704"/>
      <c r="R135" s="1704">
        <f t="shared" si="49"/>
        <v>-370967.53518300003</v>
      </c>
      <c r="S135" s="1753"/>
      <c r="T135" s="1708">
        <v>0</v>
      </c>
      <c r="U135" s="1753"/>
      <c r="V135" s="1708">
        <v>0</v>
      </c>
      <c r="W135" s="1753"/>
      <c r="X135" s="1704">
        <f t="shared" si="50"/>
        <v>-370967.53518300003</v>
      </c>
      <c r="Y135" s="1707"/>
      <c r="Z135" s="1374" t="s">
        <v>1716</v>
      </c>
      <c r="AA135" s="1705"/>
      <c r="AB135" s="1374" t="s">
        <v>23</v>
      </c>
      <c r="AC135" s="1705"/>
      <c r="AD135" s="1706">
        <v>0</v>
      </c>
      <c r="AE135" s="1705"/>
      <c r="AF135" s="1704">
        <f t="shared" si="51"/>
        <v>0</v>
      </c>
      <c r="AG135" s="985"/>
      <c r="AH135" s="1246">
        <v>283</v>
      </c>
      <c r="AI135" s="1246"/>
    </row>
    <row r="136" spans="2:35">
      <c r="B136" s="1246">
        <v>120</v>
      </c>
      <c r="C136" s="1365" t="s">
        <v>1749</v>
      </c>
      <c r="D136" s="1365" t="s">
        <v>1739</v>
      </c>
      <c r="E136" s="1365" t="s">
        <v>1472</v>
      </c>
      <c r="F136" s="1708">
        <v>273083.28999999998</v>
      </c>
      <c r="G136" s="1704">
        <f t="shared" si="42"/>
        <v>95579.151499999993</v>
      </c>
      <c r="H136" s="1708">
        <v>23212.07965</v>
      </c>
      <c r="I136" s="1704">
        <f t="shared" si="43"/>
        <v>-8124.2278774999995</v>
      </c>
      <c r="J136" s="1704">
        <f t="shared" si="44"/>
        <v>110667.00327249999</v>
      </c>
      <c r="K136" s="1753"/>
      <c r="L136" s="1708">
        <f t="shared" si="45"/>
        <v>273083.28999999998</v>
      </c>
      <c r="M136" s="1704">
        <f t="shared" si="46"/>
        <v>57347.490899999997</v>
      </c>
      <c r="N136" s="1708">
        <v>23212.07965</v>
      </c>
      <c r="O136" s="1704">
        <f t="shared" si="47"/>
        <v>-4874.5367264999995</v>
      </c>
      <c r="P136" s="1704">
        <f t="shared" si="48"/>
        <v>75685.033823500009</v>
      </c>
      <c r="Q136" s="1704"/>
      <c r="R136" s="1704">
        <f t="shared" si="49"/>
        <v>34981.969448999982</v>
      </c>
      <c r="S136" s="1753"/>
      <c r="T136" s="1708">
        <v>0</v>
      </c>
      <c r="U136" s="1753"/>
      <c r="V136" s="1708">
        <v>0</v>
      </c>
      <c r="W136" s="1753"/>
      <c r="X136" s="1704">
        <f t="shared" si="50"/>
        <v>34981.969448999982</v>
      </c>
      <c r="Y136" s="1707"/>
      <c r="Z136" s="1374" t="s">
        <v>1486</v>
      </c>
      <c r="AA136" s="1705"/>
      <c r="AB136" s="1374" t="s">
        <v>22</v>
      </c>
      <c r="AC136" s="1705"/>
      <c r="AD136" s="1754">
        <v>0</v>
      </c>
      <c r="AE136" s="1705"/>
      <c r="AF136" s="1704">
        <f t="shared" si="51"/>
        <v>0</v>
      </c>
      <c r="AG136" s="985"/>
      <c r="AH136" s="1246">
        <v>283</v>
      </c>
      <c r="AI136" s="1246"/>
    </row>
    <row r="137" spans="2:35">
      <c r="B137" s="1246">
        <v>121</v>
      </c>
      <c r="C137" s="1365" t="s">
        <v>1748</v>
      </c>
      <c r="D137" s="1365" t="s">
        <v>1739</v>
      </c>
      <c r="E137" s="1365" t="s">
        <v>1472</v>
      </c>
      <c r="F137" s="1708">
        <v>-8153327.2599999998</v>
      </c>
      <c r="G137" s="1704">
        <f t="shared" si="42"/>
        <v>-2853664.5409999997</v>
      </c>
      <c r="H137" s="1708">
        <v>-693032.81709999999</v>
      </c>
      <c r="I137" s="1704">
        <f t="shared" si="43"/>
        <v>242561.48598499998</v>
      </c>
      <c r="J137" s="1704">
        <f t="shared" si="44"/>
        <v>-3304135.8721149997</v>
      </c>
      <c r="K137" s="1753"/>
      <c r="L137" s="1708">
        <f t="shared" si="45"/>
        <v>-8153327.2599999998</v>
      </c>
      <c r="M137" s="1704">
        <f t="shared" si="46"/>
        <v>-1712198.7245999998</v>
      </c>
      <c r="N137" s="1708">
        <v>-693032.81709999999</v>
      </c>
      <c r="O137" s="1704">
        <f t="shared" si="47"/>
        <v>145536.89159099999</v>
      </c>
      <c r="P137" s="1704">
        <f t="shared" si="48"/>
        <v>-2259694.650109</v>
      </c>
      <c r="Q137" s="1704"/>
      <c r="R137" s="1704">
        <f t="shared" si="49"/>
        <v>-1044441.2220059996</v>
      </c>
      <c r="S137" s="1753"/>
      <c r="T137" s="1708">
        <v>0</v>
      </c>
      <c r="U137" s="1753"/>
      <c r="V137" s="1708">
        <v>0</v>
      </c>
      <c r="W137" s="1753"/>
      <c r="X137" s="1704">
        <f t="shared" si="50"/>
        <v>-1044441.2220059996</v>
      </c>
      <c r="Y137" s="1707"/>
      <c r="Z137" s="1374" t="s">
        <v>1716</v>
      </c>
      <c r="AA137" s="1705"/>
      <c r="AB137" s="1374" t="s">
        <v>23</v>
      </c>
      <c r="AC137" s="1705"/>
      <c r="AD137" s="1706">
        <v>0</v>
      </c>
      <c r="AE137" s="1705"/>
      <c r="AF137" s="1704">
        <f t="shared" si="51"/>
        <v>0</v>
      </c>
      <c r="AG137" s="985"/>
      <c r="AH137" s="1246">
        <v>283</v>
      </c>
      <c r="AI137" s="1246"/>
    </row>
    <row r="138" spans="2:35">
      <c r="B138" s="1246">
        <v>122</v>
      </c>
      <c r="C138" s="1365" t="s">
        <v>1747</v>
      </c>
      <c r="D138" s="1365" t="s">
        <v>1739</v>
      </c>
      <c r="E138" s="1365" t="s">
        <v>1472</v>
      </c>
      <c r="F138" s="1708">
        <v>-4564994.5999999996</v>
      </c>
      <c r="G138" s="1704">
        <f t="shared" si="42"/>
        <v>-1597748.1099999999</v>
      </c>
      <c r="H138" s="1708">
        <v>-388024.54099999997</v>
      </c>
      <c r="I138" s="1704">
        <f t="shared" si="43"/>
        <v>135808.58934999999</v>
      </c>
      <c r="J138" s="1704">
        <f t="shared" si="44"/>
        <v>-1849964.0616499998</v>
      </c>
      <c r="K138" s="1753"/>
      <c r="L138" s="1708">
        <f t="shared" si="45"/>
        <v>-4564994.5999999996</v>
      </c>
      <c r="M138" s="1704">
        <f t="shared" si="46"/>
        <v>-958648.86599999992</v>
      </c>
      <c r="N138" s="1708">
        <v>-388024.54099999997</v>
      </c>
      <c r="O138" s="1704">
        <f t="shared" si="47"/>
        <v>81485.153609999994</v>
      </c>
      <c r="P138" s="1704">
        <f t="shared" si="48"/>
        <v>-1265188.25339</v>
      </c>
      <c r="Q138" s="1704"/>
      <c r="R138" s="1704">
        <f t="shared" si="49"/>
        <v>-584775.80825999985</v>
      </c>
      <c r="S138" s="1753"/>
      <c r="T138" s="1708">
        <v>0</v>
      </c>
      <c r="U138" s="1753"/>
      <c r="V138" s="1708">
        <v>0</v>
      </c>
      <c r="W138" s="1753"/>
      <c r="X138" s="1704">
        <f t="shared" si="50"/>
        <v>-584775.80825999985</v>
      </c>
      <c r="Y138" s="1707"/>
      <c r="Z138" s="1374" t="s">
        <v>1716</v>
      </c>
      <c r="AA138" s="1705"/>
      <c r="AB138" s="1374" t="s">
        <v>23</v>
      </c>
      <c r="AC138" s="1705"/>
      <c r="AD138" s="1706">
        <v>0</v>
      </c>
      <c r="AE138" s="1705"/>
      <c r="AF138" s="1704">
        <f t="shared" si="51"/>
        <v>0</v>
      </c>
      <c r="AG138" s="985"/>
      <c r="AH138" s="1246">
        <v>283</v>
      </c>
      <c r="AI138" s="1246"/>
    </row>
    <row r="139" spans="2:35">
      <c r="B139" s="1246">
        <v>123</v>
      </c>
      <c r="C139" s="1365" t="s">
        <v>1746</v>
      </c>
      <c r="D139" s="1365" t="s">
        <v>1739</v>
      </c>
      <c r="E139" s="1365" t="s">
        <v>1472</v>
      </c>
      <c r="F139" s="1708">
        <v>-8922463.8499999996</v>
      </c>
      <c r="G139" s="1704">
        <f t="shared" si="42"/>
        <v>-3122862.3474999997</v>
      </c>
      <c r="H139" s="1708">
        <v>-758409.42725000007</v>
      </c>
      <c r="I139" s="1704">
        <f t="shared" si="43"/>
        <v>265443.29953750002</v>
      </c>
      <c r="J139" s="1704">
        <f t="shared" si="44"/>
        <v>-3615828.4752125</v>
      </c>
      <c r="K139" s="1753"/>
      <c r="L139" s="1708">
        <f t="shared" si="45"/>
        <v>-8922463.8499999996</v>
      </c>
      <c r="M139" s="1704">
        <f t="shared" si="46"/>
        <v>-1873717.4084999999</v>
      </c>
      <c r="N139" s="1708">
        <v>-758409.42725000007</v>
      </c>
      <c r="O139" s="1704">
        <f t="shared" si="47"/>
        <v>159265.97972250002</v>
      </c>
      <c r="P139" s="1704">
        <f t="shared" si="48"/>
        <v>-2472860.8560275002</v>
      </c>
      <c r="Q139" s="1704"/>
      <c r="R139" s="1704">
        <f t="shared" si="49"/>
        <v>-1142967.6191849997</v>
      </c>
      <c r="S139" s="1753"/>
      <c r="T139" s="1708">
        <v>0</v>
      </c>
      <c r="U139" s="1753"/>
      <c r="V139" s="1708">
        <v>0</v>
      </c>
      <c r="W139" s="1753"/>
      <c r="X139" s="1704">
        <f t="shared" si="50"/>
        <v>-1142967.6191849997</v>
      </c>
      <c r="Y139" s="1707"/>
      <c r="Z139" s="1374" t="s">
        <v>1482</v>
      </c>
      <c r="AA139" s="1705"/>
      <c r="AB139" s="1374" t="s">
        <v>23</v>
      </c>
      <c r="AC139" s="1705"/>
      <c r="AD139" s="1706">
        <v>0</v>
      </c>
      <c r="AE139" s="1705"/>
      <c r="AF139" s="1704">
        <f t="shared" si="51"/>
        <v>0</v>
      </c>
      <c r="AG139" s="985"/>
      <c r="AH139" s="1246">
        <v>283</v>
      </c>
      <c r="AI139" s="1246"/>
    </row>
    <row r="140" spans="2:35">
      <c r="B140" s="1246">
        <v>124</v>
      </c>
      <c r="C140" s="1365" t="s">
        <v>1746</v>
      </c>
      <c r="D140" s="1365" t="s">
        <v>1739</v>
      </c>
      <c r="E140" s="1365" t="s">
        <v>1472</v>
      </c>
      <c r="F140" s="1708">
        <v>-871249.9</v>
      </c>
      <c r="G140" s="1704">
        <f t="shared" si="42"/>
        <v>-304937.46499999997</v>
      </c>
      <c r="H140" s="1708">
        <v>-74056.241500000004</v>
      </c>
      <c r="I140" s="1704">
        <f t="shared" si="43"/>
        <v>25919.684525000001</v>
      </c>
      <c r="J140" s="1704">
        <f t="shared" si="44"/>
        <v>-353074.02197499998</v>
      </c>
      <c r="K140" s="1753"/>
      <c r="L140" s="1708">
        <f t="shared" si="45"/>
        <v>-871249.9</v>
      </c>
      <c r="M140" s="1704">
        <f t="shared" si="46"/>
        <v>-182962.47899999999</v>
      </c>
      <c r="N140" s="1708">
        <v>-74056.241500000004</v>
      </c>
      <c r="O140" s="1704">
        <f t="shared" si="47"/>
        <v>15551.810715</v>
      </c>
      <c r="P140" s="1704">
        <f t="shared" si="48"/>
        <v>-241466.909785</v>
      </c>
      <c r="Q140" s="1704"/>
      <c r="R140" s="1704">
        <f t="shared" si="49"/>
        <v>-111607.11218999999</v>
      </c>
      <c r="S140" s="1753"/>
      <c r="T140" s="1708">
        <v>0</v>
      </c>
      <c r="U140" s="1753"/>
      <c r="V140" s="1708">
        <v>0</v>
      </c>
      <c r="W140" s="1753"/>
      <c r="X140" s="1704">
        <f t="shared" si="50"/>
        <v>-111607.11218999999</v>
      </c>
      <c r="Y140" s="1707"/>
      <c r="Z140" s="1374" t="s">
        <v>1716</v>
      </c>
      <c r="AA140" s="1705"/>
      <c r="AB140" s="1374" t="s">
        <v>23</v>
      </c>
      <c r="AC140" s="1705"/>
      <c r="AD140" s="1706">
        <v>0</v>
      </c>
      <c r="AE140" s="1705"/>
      <c r="AF140" s="1704">
        <f t="shared" si="51"/>
        <v>0</v>
      </c>
      <c r="AG140" s="985"/>
      <c r="AH140" s="1246">
        <v>283</v>
      </c>
      <c r="AI140" s="1246"/>
    </row>
    <row r="141" spans="2:35">
      <c r="B141" s="1246">
        <v>125</v>
      </c>
      <c r="C141" s="1365" t="s">
        <v>1745</v>
      </c>
      <c r="D141" s="1365" t="s">
        <v>1739</v>
      </c>
      <c r="E141" s="1365" t="s">
        <v>1472</v>
      </c>
      <c r="F141" s="1708">
        <v>-8185596.8899999997</v>
      </c>
      <c r="G141" s="1704">
        <f t="shared" si="42"/>
        <v>-2864958.9114999999</v>
      </c>
      <c r="H141" s="1708">
        <v>-695775.73565000005</v>
      </c>
      <c r="I141" s="1704">
        <f t="shared" si="43"/>
        <v>243521.50747750001</v>
      </c>
      <c r="J141" s="1704">
        <f t="shared" si="44"/>
        <v>-3317213.1396725001</v>
      </c>
      <c r="K141" s="1753"/>
      <c r="L141" s="1708">
        <f t="shared" si="45"/>
        <v>-8185596.8899999997</v>
      </c>
      <c r="M141" s="1704">
        <f t="shared" si="46"/>
        <v>-1718975.3468999998</v>
      </c>
      <c r="N141" s="1708">
        <v>-695775.73565000005</v>
      </c>
      <c r="O141" s="1704">
        <f t="shared" si="47"/>
        <v>146112.90448650002</v>
      </c>
      <c r="P141" s="1704">
        <f t="shared" si="48"/>
        <v>-2268638.1780634997</v>
      </c>
      <c r="Q141" s="1704"/>
      <c r="R141" s="1704">
        <f t="shared" si="49"/>
        <v>-1048574.9616090003</v>
      </c>
      <c r="S141" s="1753"/>
      <c r="T141" s="1708">
        <v>0</v>
      </c>
      <c r="U141" s="1753"/>
      <c r="V141" s="1708">
        <v>0</v>
      </c>
      <c r="W141" s="1753"/>
      <c r="X141" s="1704">
        <f t="shared" si="50"/>
        <v>-1048574.9616090003</v>
      </c>
      <c r="Y141" s="1707"/>
      <c r="Z141" s="1374" t="s">
        <v>262</v>
      </c>
      <c r="AA141" s="1705"/>
      <c r="AB141" s="1374" t="s">
        <v>22</v>
      </c>
      <c r="AC141" s="1705"/>
      <c r="AD141" s="1706">
        <v>6.0801999999999995E-2</v>
      </c>
      <c r="AE141" s="1705"/>
      <c r="AF141" s="1704">
        <f t="shared" si="51"/>
        <v>-63755.454815750432</v>
      </c>
      <c r="AG141" s="985"/>
      <c r="AH141" s="1246">
        <v>283</v>
      </c>
      <c r="AI141" s="1246"/>
    </row>
    <row r="142" spans="2:35">
      <c r="B142" s="1246">
        <v>126</v>
      </c>
      <c r="C142" s="1365" t="s">
        <v>1744</v>
      </c>
      <c r="D142" s="1365" t="s">
        <v>1739</v>
      </c>
      <c r="E142" s="1365" t="s">
        <v>1472</v>
      </c>
      <c r="F142" s="1708">
        <v>-8413844.8900000006</v>
      </c>
      <c r="G142" s="1704">
        <f t="shared" si="42"/>
        <v>-2944845.7115000002</v>
      </c>
      <c r="H142" s="1708">
        <v>-715176.81565000012</v>
      </c>
      <c r="I142" s="1704">
        <f t="shared" si="43"/>
        <v>250311.88547750004</v>
      </c>
      <c r="J142" s="1704">
        <f t="shared" si="44"/>
        <v>-3409710.6416725004</v>
      </c>
      <c r="K142" s="1753"/>
      <c r="L142" s="1708">
        <f t="shared" si="45"/>
        <v>-8413844.8900000006</v>
      </c>
      <c r="M142" s="1704">
        <f t="shared" si="46"/>
        <v>-1766907.4269000001</v>
      </c>
      <c r="N142" s="1708">
        <v>-715176.81565000012</v>
      </c>
      <c r="O142" s="1704">
        <f t="shared" si="47"/>
        <v>150187.13128650002</v>
      </c>
      <c r="P142" s="1704">
        <f t="shared" si="48"/>
        <v>-2331897.1112635001</v>
      </c>
      <c r="Q142" s="1704"/>
      <c r="R142" s="1704">
        <f t="shared" si="49"/>
        <v>-1077813.5304090003</v>
      </c>
      <c r="S142" s="1753"/>
      <c r="T142" s="1708">
        <v>0</v>
      </c>
      <c r="U142" s="1753"/>
      <c r="V142" s="1708">
        <v>0</v>
      </c>
      <c r="W142" s="1753"/>
      <c r="X142" s="1704">
        <f t="shared" si="50"/>
        <v>-1077813.5304090003</v>
      </c>
      <c r="Y142" s="1707"/>
      <c r="Z142" s="1374" t="s">
        <v>1482</v>
      </c>
      <c r="AA142" s="1705"/>
      <c r="AB142" s="1374" t="s">
        <v>23</v>
      </c>
      <c r="AC142" s="1705"/>
      <c r="AD142" s="1706">
        <v>0</v>
      </c>
      <c r="AE142" s="1705"/>
      <c r="AF142" s="1704">
        <f t="shared" si="51"/>
        <v>0</v>
      </c>
      <c r="AG142" s="985"/>
      <c r="AH142" s="1246">
        <v>283</v>
      </c>
      <c r="AI142" s="1246"/>
    </row>
    <row r="143" spans="2:35">
      <c r="B143" s="1246">
        <v>127</v>
      </c>
      <c r="C143" s="1365" t="s">
        <v>1743</v>
      </c>
      <c r="D143" s="1365" t="s">
        <v>1739</v>
      </c>
      <c r="E143" s="1365" t="s">
        <v>1472</v>
      </c>
      <c r="F143" s="1708">
        <v>-353648.88</v>
      </c>
      <c r="G143" s="1704">
        <f t="shared" si="42"/>
        <v>-123777.10799999999</v>
      </c>
      <c r="H143" s="1708">
        <v>-30060.154800000004</v>
      </c>
      <c r="I143" s="1704">
        <f t="shared" si="43"/>
        <v>10521.054180000001</v>
      </c>
      <c r="J143" s="1704">
        <f t="shared" si="44"/>
        <v>-143316.20861999999</v>
      </c>
      <c r="K143" s="1753"/>
      <c r="L143" s="1708">
        <f t="shared" si="45"/>
        <v>-353648.88</v>
      </c>
      <c r="M143" s="1704">
        <f t="shared" si="46"/>
        <v>-74266.264800000004</v>
      </c>
      <c r="N143" s="1708">
        <v>-30060.154800000004</v>
      </c>
      <c r="O143" s="1704">
        <f t="shared" si="47"/>
        <v>6312.6325080000006</v>
      </c>
      <c r="P143" s="1704">
        <f t="shared" si="48"/>
        <v>-98013.787092000013</v>
      </c>
      <c r="Q143" s="1704"/>
      <c r="R143" s="1704">
        <f t="shared" si="49"/>
        <v>-45302.421527999977</v>
      </c>
      <c r="S143" s="1753"/>
      <c r="T143" s="1708">
        <v>0</v>
      </c>
      <c r="U143" s="1753"/>
      <c r="V143" s="1708">
        <v>0</v>
      </c>
      <c r="W143" s="1753"/>
      <c r="X143" s="1704">
        <f t="shared" si="50"/>
        <v>-45302.421527999977</v>
      </c>
      <c r="Y143" s="1707"/>
      <c r="Z143" s="1374" t="s">
        <v>1482</v>
      </c>
      <c r="AA143" s="1705"/>
      <c r="AB143" s="1374" t="s">
        <v>23</v>
      </c>
      <c r="AC143" s="1705"/>
      <c r="AD143" s="1706">
        <v>0</v>
      </c>
      <c r="AE143" s="1705"/>
      <c r="AF143" s="1704">
        <f t="shared" si="51"/>
        <v>0</v>
      </c>
      <c r="AG143" s="985"/>
      <c r="AH143" s="1246">
        <v>283</v>
      </c>
      <c r="AI143" s="1246"/>
    </row>
    <row r="144" spans="2:35">
      <c r="B144" s="1246">
        <v>128</v>
      </c>
      <c r="C144" s="1365" t="s">
        <v>1742</v>
      </c>
      <c r="D144" s="1365" t="s">
        <v>1739</v>
      </c>
      <c r="E144" s="1365" t="s">
        <v>1472</v>
      </c>
      <c r="F144" s="1708">
        <v>-559450.77</v>
      </c>
      <c r="G144" s="1704">
        <f t="shared" si="42"/>
        <v>-195807.76949999999</v>
      </c>
      <c r="H144" s="1708">
        <v>-47553.315450000002</v>
      </c>
      <c r="I144" s="1704">
        <f t="shared" si="43"/>
        <v>16643.6604075</v>
      </c>
      <c r="J144" s="1704">
        <f t="shared" si="44"/>
        <v>-226717.4245425</v>
      </c>
      <c r="K144" s="1753"/>
      <c r="L144" s="1708">
        <f t="shared" si="45"/>
        <v>-559450.77</v>
      </c>
      <c r="M144" s="1704">
        <f t="shared" si="46"/>
        <v>-117484.6617</v>
      </c>
      <c r="N144" s="1708">
        <v>-47553.315450000002</v>
      </c>
      <c r="O144" s="1704">
        <f t="shared" si="47"/>
        <v>9986.1962445000008</v>
      </c>
      <c r="P144" s="1704">
        <f t="shared" si="48"/>
        <v>-155051.7809055</v>
      </c>
      <c r="Q144" s="1704"/>
      <c r="R144" s="1704">
        <f t="shared" si="49"/>
        <v>-71665.643637000001</v>
      </c>
      <c r="S144" s="1753"/>
      <c r="T144" s="1708">
        <v>0</v>
      </c>
      <c r="U144" s="1753"/>
      <c r="V144" s="1708">
        <v>0</v>
      </c>
      <c r="W144" s="1753"/>
      <c r="X144" s="1704">
        <f t="shared" si="50"/>
        <v>-71665.643637000001</v>
      </c>
      <c r="Y144" s="1707"/>
      <c r="Z144" s="1374" t="s">
        <v>1716</v>
      </c>
      <c r="AA144" s="1705"/>
      <c r="AB144" s="1374" t="s">
        <v>23</v>
      </c>
      <c r="AC144" s="1705"/>
      <c r="AD144" s="1706">
        <v>0</v>
      </c>
      <c r="AE144" s="1705"/>
      <c r="AF144" s="1704">
        <f t="shared" si="51"/>
        <v>0</v>
      </c>
      <c r="AG144" s="985"/>
      <c r="AH144" s="1246">
        <v>283</v>
      </c>
      <c r="AI144" s="1246"/>
    </row>
    <row r="145" spans="2:35">
      <c r="B145" s="1246">
        <v>129</v>
      </c>
      <c r="C145" s="1365" t="s">
        <v>1508</v>
      </c>
      <c r="D145" s="1365" t="s">
        <v>1739</v>
      </c>
      <c r="E145" s="1365" t="s">
        <v>1472</v>
      </c>
      <c r="F145" s="1708">
        <v>-13123093.93</v>
      </c>
      <c r="G145" s="1704">
        <f t="shared" si="42"/>
        <v>-4593082.8754999992</v>
      </c>
      <c r="H145" s="1708">
        <v>-1115462.9840500001</v>
      </c>
      <c r="I145" s="1704">
        <f t="shared" si="43"/>
        <v>390412.04441750003</v>
      </c>
      <c r="J145" s="1704">
        <f t="shared" si="44"/>
        <v>-5318133.8151324987</v>
      </c>
      <c r="K145" s="1753"/>
      <c r="L145" s="1708">
        <f t="shared" si="45"/>
        <v>-13123093.93</v>
      </c>
      <c r="M145" s="1704">
        <f t="shared" si="46"/>
        <v>-2755849.7253</v>
      </c>
      <c r="N145" s="1708">
        <v>-1115462.9840500001</v>
      </c>
      <c r="O145" s="1704">
        <f t="shared" si="47"/>
        <v>234247.2266505</v>
      </c>
      <c r="P145" s="1704">
        <f t="shared" si="48"/>
        <v>-3637065.4826994999</v>
      </c>
      <c r="Q145" s="1704"/>
      <c r="R145" s="1704">
        <f t="shared" si="49"/>
        <v>-1681068.3324329988</v>
      </c>
      <c r="S145" s="1753"/>
      <c r="T145" s="1708">
        <v>0</v>
      </c>
      <c r="U145" s="1753"/>
      <c r="V145" s="1708">
        <v>0</v>
      </c>
      <c r="W145" s="1753"/>
      <c r="X145" s="1704">
        <f t="shared" si="50"/>
        <v>-1681068.3324329988</v>
      </c>
      <c r="Y145" s="1707"/>
      <c r="Z145" s="1374" t="s">
        <v>1482</v>
      </c>
      <c r="AA145" s="1705"/>
      <c r="AB145" s="1374" t="s">
        <v>23</v>
      </c>
      <c r="AC145" s="1705"/>
      <c r="AD145" s="1706">
        <v>0</v>
      </c>
      <c r="AE145" s="1705"/>
      <c r="AF145" s="1704">
        <f t="shared" si="51"/>
        <v>0</v>
      </c>
      <c r="AG145" s="985"/>
      <c r="AH145" s="1246">
        <v>283</v>
      </c>
      <c r="AI145" s="1246"/>
    </row>
    <row r="146" spans="2:35">
      <c r="B146" s="1246">
        <v>130</v>
      </c>
      <c r="C146" s="1365" t="s">
        <v>1741</v>
      </c>
      <c r="D146" s="1365" t="s">
        <v>1739</v>
      </c>
      <c r="E146" s="1365" t="s">
        <v>1472</v>
      </c>
      <c r="F146" s="1708">
        <v>-454445.5</v>
      </c>
      <c r="G146" s="1704">
        <f t="shared" ref="G146:G169" si="52">F146*0.35</f>
        <v>-159055.92499999999</v>
      </c>
      <c r="H146" s="1708">
        <v>-38627.8675</v>
      </c>
      <c r="I146" s="1704">
        <f t="shared" ref="I146:I169" si="53">H146*-0.35</f>
        <v>13519.753624999999</v>
      </c>
      <c r="J146" s="1704">
        <f t="shared" ref="J146:J169" si="54">G146+H146+I146</f>
        <v>-184164.03887499997</v>
      </c>
      <c r="K146" s="1753"/>
      <c r="L146" s="1708">
        <f t="shared" ref="L146:L169" si="55">F146</f>
        <v>-454445.5</v>
      </c>
      <c r="M146" s="1704">
        <f t="shared" ref="M146:M169" si="56">L146*0.21</f>
        <v>-95433.554999999993</v>
      </c>
      <c r="N146" s="1708">
        <v>-38627.8675</v>
      </c>
      <c r="O146" s="1704">
        <f t="shared" ref="O146:O169" si="57">N146*-0.21</f>
        <v>8111.852175</v>
      </c>
      <c r="P146" s="1704">
        <f t="shared" ref="P146:P169" si="58">M146+N146+O146</f>
        <v>-125949.57032499998</v>
      </c>
      <c r="Q146" s="1704"/>
      <c r="R146" s="1704">
        <f t="shared" ref="R146:R169" si="59">J146-P146</f>
        <v>-58214.468549999991</v>
      </c>
      <c r="S146" s="1753"/>
      <c r="T146" s="1708">
        <v>0</v>
      </c>
      <c r="U146" s="1753"/>
      <c r="V146" s="1708">
        <v>0</v>
      </c>
      <c r="W146" s="1753"/>
      <c r="X146" s="1704">
        <f t="shared" ref="X146:X169" si="60">R146-T146-V146</f>
        <v>-58214.468549999991</v>
      </c>
      <c r="Y146" s="1707"/>
      <c r="Z146" s="1374" t="s">
        <v>1486</v>
      </c>
      <c r="AA146" s="1705"/>
      <c r="AB146" s="1374" t="s">
        <v>22</v>
      </c>
      <c r="AC146" s="1705"/>
      <c r="AD146" s="1754">
        <v>0</v>
      </c>
      <c r="AE146" s="1705"/>
      <c r="AF146" s="1704">
        <f t="shared" ref="AF146:AF169" si="61">X146*AD146</f>
        <v>0</v>
      </c>
      <c r="AG146" s="985"/>
      <c r="AH146" s="1246">
        <v>283</v>
      </c>
      <c r="AI146" s="1246"/>
    </row>
    <row r="147" spans="2:35">
      <c r="B147" s="1246">
        <v>131</v>
      </c>
      <c r="C147" s="1365" t="s">
        <v>1740</v>
      </c>
      <c r="D147" s="1365" t="s">
        <v>1739</v>
      </c>
      <c r="E147" s="1365" t="s">
        <v>1472</v>
      </c>
      <c r="F147" s="1708">
        <v>3762977</v>
      </c>
      <c r="G147" s="1704">
        <f t="shared" si="52"/>
        <v>1317041.95</v>
      </c>
      <c r="H147" s="1708">
        <v>319853.04500000004</v>
      </c>
      <c r="I147" s="1704">
        <f t="shared" si="53"/>
        <v>-111948.56575000001</v>
      </c>
      <c r="J147" s="1704">
        <f t="shared" si="54"/>
        <v>1524946.42925</v>
      </c>
      <c r="K147" s="1753"/>
      <c r="L147" s="1708">
        <f t="shared" si="55"/>
        <v>3762977</v>
      </c>
      <c r="M147" s="1704">
        <f t="shared" si="56"/>
        <v>790225.16999999993</v>
      </c>
      <c r="N147" s="1708">
        <v>319853.04500000004</v>
      </c>
      <c r="O147" s="1704">
        <f t="shared" si="57"/>
        <v>-67169.139450000002</v>
      </c>
      <c r="P147" s="1704">
        <f t="shared" si="58"/>
        <v>1042909.0755499998</v>
      </c>
      <c r="Q147" s="1704"/>
      <c r="R147" s="1704">
        <f t="shared" si="59"/>
        <v>482037.35370000021</v>
      </c>
      <c r="S147" s="1753"/>
      <c r="T147" s="1708">
        <v>0</v>
      </c>
      <c r="U147" s="1753"/>
      <c r="V147" s="1708">
        <v>0</v>
      </c>
      <c r="W147" s="1753"/>
      <c r="X147" s="1704">
        <f t="shared" si="60"/>
        <v>482037.35370000021</v>
      </c>
      <c r="Y147" s="1707"/>
      <c r="Z147" s="1374" t="s">
        <v>1482</v>
      </c>
      <c r="AA147" s="1705"/>
      <c r="AB147" s="1374" t="s">
        <v>23</v>
      </c>
      <c r="AC147" s="1705"/>
      <c r="AD147" s="1706">
        <v>0</v>
      </c>
      <c r="AE147" s="1705"/>
      <c r="AF147" s="1704">
        <f t="shared" si="61"/>
        <v>0</v>
      </c>
      <c r="AG147" s="985"/>
      <c r="AH147" s="1246">
        <v>283</v>
      </c>
      <c r="AI147" s="1246"/>
    </row>
    <row r="148" spans="2:35">
      <c r="B148" s="1246">
        <v>132</v>
      </c>
      <c r="C148" s="1365" t="s">
        <v>1738</v>
      </c>
      <c r="D148" s="1365" t="s">
        <v>1737</v>
      </c>
      <c r="E148" s="1365" t="s">
        <v>1472</v>
      </c>
      <c r="F148" s="1708">
        <v>-5079637.71</v>
      </c>
      <c r="G148" s="1704">
        <f t="shared" si="52"/>
        <v>-1777873.1984999999</v>
      </c>
      <c r="H148" s="1708">
        <v>-431769.20535</v>
      </c>
      <c r="I148" s="1704">
        <f t="shared" si="53"/>
        <v>151119.2218725</v>
      </c>
      <c r="J148" s="1704">
        <f t="shared" si="54"/>
        <v>-2058523.1819775</v>
      </c>
      <c r="K148" s="1753"/>
      <c r="L148" s="1708">
        <f t="shared" si="55"/>
        <v>-5079637.71</v>
      </c>
      <c r="M148" s="1704">
        <f t="shared" si="56"/>
        <v>-1066723.9191000001</v>
      </c>
      <c r="N148" s="1708">
        <v>-431769.20535</v>
      </c>
      <c r="O148" s="1704">
        <f t="shared" si="57"/>
        <v>90671.53312349999</v>
      </c>
      <c r="P148" s="1704">
        <f t="shared" si="58"/>
        <v>-1407821.5913265001</v>
      </c>
      <c r="Q148" s="1704"/>
      <c r="R148" s="1704">
        <f t="shared" si="59"/>
        <v>-650701.59065099992</v>
      </c>
      <c r="S148" s="1753"/>
      <c r="T148" s="1708">
        <v>0</v>
      </c>
      <c r="U148" s="1753"/>
      <c r="V148" s="1708">
        <v>0</v>
      </c>
      <c r="W148" s="1753"/>
      <c r="X148" s="1704">
        <f t="shared" si="60"/>
        <v>-650701.59065099992</v>
      </c>
      <c r="Y148" s="1707"/>
      <c r="Z148" s="1374" t="s">
        <v>1482</v>
      </c>
      <c r="AA148" s="1705"/>
      <c r="AB148" s="1374" t="s">
        <v>23</v>
      </c>
      <c r="AC148" s="1705"/>
      <c r="AD148" s="1706">
        <v>0</v>
      </c>
      <c r="AE148" s="1705"/>
      <c r="AF148" s="1704">
        <f t="shared" si="61"/>
        <v>0</v>
      </c>
      <c r="AG148" s="985"/>
      <c r="AH148" s="1246">
        <v>283</v>
      </c>
      <c r="AI148" s="1246"/>
    </row>
    <row r="149" spans="2:35">
      <c r="B149" s="1246">
        <v>133</v>
      </c>
      <c r="C149" s="1365" t="s">
        <v>1736</v>
      </c>
      <c r="D149" s="1365" t="s">
        <v>1714</v>
      </c>
      <c r="E149" s="1365" t="s">
        <v>1472</v>
      </c>
      <c r="F149" s="1708">
        <v>-34891471.530000001</v>
      </c>
      <c r="G149" s="1704">
        <f t="shared" si="52"/>
        <v>-12212015.035499999</v>
      </c>
      <c r="H149" s="1708">
        <v>-2965775.0800500005</v>
      </c>
      <c r="I149" s="1704">
        <f t="shared" si="53"/>
        <v>1038021.2780175001</v>
      </c>
      <c r="J149" s="1704">
        <f t="shared" si="54"/>
        <v>-14139768.8375325</v>
      </c>
      <c r="K149" s="1753"/>
      <c r="L149" s="1708">
        <f t="shared" si="55"/>
        <v>-34891471.530000001</v>
      </c>
      <c r="M149" s="1704">
        <f t="shared" si="56"/>
        <v>-7327209.0213000001</v>
      </c>
      <c r="N149" s="1708">
        <v>-2965775.0800500005</v>
      </c>
      <c r="O149" s="1704">
        <f t="shared" si="57"/>
        <v>622812.76681050006</v>
      </c>
      <c r="P149" s="1704">
        <f t="shared" si="58"/>
        <v>-9670171.3345394991</v>
      </c>
      <c r="Q149" s="1704"/>
      <c r="R149" s="1704">
        <f t="shared" si="59"/>
        <v>-4469597.5029930007</v>
      </c>
      <c r="S149" s="1753"/>
      <c r="T149" s="1708">
        <v>0</v>
      </c>
      <c r="U149" s="1753"/>
      <c r="V149" s="1708">
        <v>0</v>
      </c>
      <c r="W149" s="1753"/>
      <c r="X149" s="1704">
        <f t="shared" si="60"/>
        <v>-4469597.5029930007</v>
      </c>
      <c r="Y149" s="1707"/>
      <c r="Z149" s="1374" t="s">
        <v>1486</v>
      </c>
      <c r="AA149" s="1705"/>
      <c r="AB149" s="1374" t="s">
        <v>22</v>
      </c>
      <c r="AC149" s="1705"/>
      <c r="AD149" s="1706">
        <v>0</v>
      </c>
      <c r="AE149" s="1705"/>
      <c r="AF149" s="1704">
        <f t="shared" si="61"/>
        <v>0</v>
      </c>
      <c r="AG149" s="985"/>
      <c r="AH149" s="1246">
        <v>283</v>
      </c>
      <c r="AI149" s="1246"/>
    </row>
    <row r="150" spans="2:35">
      <c r="B150" s="1246">
        <v>134</v>
      </c>
      <c r="C150" s="1365" t="s">
        <v>1735</v>
      </c>
      <c r="D150" s="1365" t="s">
        <v>1714</v>
      </c>
      <c r="E150" s="1365" t="s">
        <v>1472</v>
      </c>
      <c r="F150" s="1708">
        <v>6566664.9500000002</v>
      </c>
      <c r="G150" s="1704">
        <f t="shared" si="52"/>
        <v>2298332.7324999999</v>
      </c>
      <c r="H150" s="1708">
        <v>558166.52075000003</v>
      </c>
      <c r="I150" s="1704">
        <f t="shared" si="53"/>
        <v>-195358.2822625</v>
      </c>
      <c r="J150" s="1704">
        <f t="shared" si="54"/>
        <v>2661140.9709875002</v>
      </c>
      <c r="K150" s="1753"/>
      <c r="L150" s="1708">
        <f t="shared" si="55"/>
        <v>6566664.9500000002</v>
      </c>
      <c r="M150" s="1704">
        <f t="shared" si="56"/>
        <v>1378999.6395</v>
      </c>
      <c r="N150" s="1708">
        <v>558166.52075000003</v>
      </c>
      <c r="O150" s="1704">
        <f t="shared" si="57"/>
        <v>-117214.9693575</v>
      </c>
      <c r="P150" s="1704">
        <f t="shared" si="58"/>
        <v>1819951.1908925001</v>
      </c>
      <c r="Q150" s="1704"/>
      <c r="R150" s="1704">
        <f t="shared" si="59"/>
        <v>841189.78009500005</v>
      </c>
      <c r="S150" s="1753"/>
      <c r="T150" s="1708">
        <v>0</v>
      </c>
      <c r="U150" s="1753"/>
      <c r="V150" s="1708">
        <v>0</v>
      </c>
      <c r="W150" s="1753"/>
      <c r="X150" s="1704">
        <f t="shared" si="60"/>
        <v>841189.78009500005</v>
      </c>
      <c r="Y150" s="1707"/>
      <c r="Z150" s="1374" t="s">
        <v>1716</v>
      </c>
      <c r="AA150" s="1705"/>
      <c r="AB150" s="1374" t="s">
        <v>23</v>
      </c>
      <c r="AC150" s="1705"/>
      <c r="AD150" s="1706">
        <v>0</v>
      </c>
      <c r="AE150" s="1705"/>
      <c r="AF150" s="1704">
        <f t="shared" si="61"/>
        <v>0</v>
      </c>
      <c r="AG150" s="985"/>
      <c r="AH150" s="1246">
        <v>283</v>
      </c>
      <c r="AI150" s="1246"/>
    </row>
    <row r="151" spans="2:35">
      <c r="B151" s="1246">
        <v>135</v>
      </c>
      <c r="C151" s="1365" t="s">
        <v>1734</v>
      </c>
      <c r="D151" s="1365" t="s">
        <v>1714</v>
      </c>
      <c r="E151" s="1365" t="s">
        <v>1472</v>
      </c>
      <c r="F151" s="1708">
        <v>3421999.71</v>
      </c>
      <c r="G151" s="1704">
        <f t="shared" si="52"/>
        <v>1197699.8984999999</v>
      </c>
      <c r="H151" s="1708">
        <v>290869.97535000002</v>
      </c>
      <c r="I151" s="1704">
        <f t="shared" si="53"/>
        <v>-101804.49137250001</v>
      </c>
      <c r="J151" s="1704">
        <f t="shared" si="54"/>
        <v>1386765.3824774998</v>
      </c>
      <c r="K151" s="1753"/>
      <c r="L151" s="1708">
        <f t="shared" si="55"/>
        <v>3421999.71</v>
      </c>
      <c r="M151" s="1704">
        <f t="shared" si="56"/>
        <v>718619.93909999996</v>
      </c>
      <c r="N151" s="1708">
        <v>290869.97535000002</v>
      </c>
      <c r="O151" s="1704">
        <f t="shared" si="57"/>
        <v>-61082.694823500002</v>
      </c>
      <c r="P151" s="1704">
        <f t="shared" si="58"/>
        <v>948407.21962650004</v>
      </c>
      <c r="Q151" s="1704"/>
      <c r="R151" s="1704">
        <f t="shared" si="59"/>
        <v>438358.16285099974</v>
      </c>
      <c r="S151" s="1753"/>
      <c r="T151" s="1708">
        <v>0</v>
      </c>
      <c r="U151" s="1753"/>
      <c r="V151" s="1708">
        <v>0</v>
      </c>
      <c r="W151" s="1753"/>
      <c r="X151" s="1704">
        <f t="shared" si="60"/>
        <v>438358.16285099974</v>
      </c>
      <c r="Y151" s="1707"/>
      <c r="Z151" s="1374" t="s">
        <v>1482</v>
      </c>
      <c r="AA151" s="1705"/>
      <c r="AB151" s="1374" t="s">
        <v>23</v>
      </c>
      <c r="AC151" s="1705"/>
      <c r="AD151" s="1706">
        <v>0</v>
      </c>
      <c r="AE151" s="1705"/>
      <c r="AF151" s="1704">
        <f t="shared" si="61"/>
        <v>0</v>
      </c>
      <c r="AG151" s="985"/>
      <c r="AH151" s="1246">
        <v>283</v>
      </c>
      <c r="AI151" s="1246"/>
    </row>
    <row r="152" spans="2:35">
      <c r="B152" s="1246">
        <v>136</v>
      </c>
      <c r="C152" s="1365" t="s">
        <v>1733</v>
      </c>
      <c r="D152" s="1365" t="s">
        <v>1714</v>
      </c>
      <c r="E152" s="1365" t="s">
        <v>1472</v>
      </c>
      <c r="F152" s="1708">
        <v>-22183141.48</v>
      </c>
      <c r="G152" s="1704">
        <f t="shared" si="52"/>
        <v>-7764099.5179999992</v>
      </c>
      <c r="H152" s="1708">
        <v>-1885567.0258000002</v>
      </c>
      <c r="I152" s="1704">
        <f t="shared" si="53"/>
        <v>659948.45903000003</v>
      </c>
      <c r="J152" s="1704">
        <f t="shared" si="54"/>
        <v>-8989718.0847699996</v>
      </c>
      <c r="K152" s="1753"/>
      <c r="L152" s="1708">
        <f t="shared" si="55"/>
        <v>-22183141.48</v>
      </c>
      <c r="M152" s="1704">
        <f t="shared" si="56"/>
        <v>-4658459.7107999995</v>
      </c>
      <c r="N152" s="1708">
        <v>-1885567.0258000002</v>
      </c>
      <c r="O152" s="1704">
        <f t="shared" si="57"/>
        <v>395969.07541800005</v>
      </c>
      <c r="P152" s="1704">
        <f t="shared" si="58"/>
        <v>-6148057.6611819994</v>
      </c>
      <c r="Q152" s="1704"/>
      <c r="R152" s="1704">
        <f t="shared" si="59"/>
        <v>-2841660.4235880002</v>
      </c>
      <c r="S152" s="1753"/>
      <c r="T152" s="1708">
        <v>0</v>
      </c>
      <c r="U152" s="1753"/>
      <c r="V152" s="1708">
        <v>0</v>
      </c>
      <c r="W152" s="1753"/>
      <c r="X152" s="1704">
        <f t="shared" si="60"/>
        <v>-2841660.4235880002</v>
      </c>
      <c r="Y152" s="1707"/>
      <c r="Z152" s="1374" t="s">
        <v>1486</v>
      </c>
      <c r="AA152" s="1705"/>
      <c r="AB152" s="1374" t="s">
        <v>22</v>
      </c>
      <c r="AC152" s="1705"/>
      <c r="AD152" s="1706">
        <v>0</v>
      </c>
      <c r="AE152" s="1705"/>
      <c r="AF152" s="1704">
        <f t="shared" si="61"/>
        <v>0</v>
      </c>
      <c r="AG152" s="985"/>
      <c r="AH152" s="1246">
        <v>283</v>
      </c>
      <c r="AI152" s="1246"/>
    </row>
    <row r="153" spans="2:35">
      <c r="B153" s="1246">
        <v>137</v>
      </c>
      <c r="C153" s="1365" t="s">
        <v>1732</v>
      </c>
      <c r="D153" s="1365" t="s">
        <v>1714</v>
      </c>
      <c r="E153" s="1365" t="s">
        <v>1472</v>
      </c>
      <c r="F153" s="1708">
        <v>-265986.48</v>
      </c>
      <c r="G153" s="1704">
        <f t="shared" si="52"/>
        <v>-93095.267999999982</v>
      </c>
      <c r="H153" s="1708">
        <v>-22608.8508</v>
      </c>
      <c r="I153" s="1704">
        <f t="shared" si="53"/>
        <v>7913.0977799999991</v>
      </c>
      <c r="J153" s="1704">
        <f t="shared" si="54"/>
        <v>-107791.02101999999</v>
      </c>
      <c r="K153" s="1753"/>
      <c r="L153" s="1708">
        <f t="shared" si="55"/>
        <v>-265986.48</v>
      </c>
      <c r="M153" s="1704">
        <f t="shared" si="56"/>
        <v>-55857.160799999991</v>
      </c>
      <c r="N153" s="1708">
        <v>-22608.8508</v>
      </c>
      <c r="O153" s="1704">
        <f t="shared" si="57"/>
        <v>4747.8586679999999</v>
      </c>
      <c r="P153" s="1704">
        <f t="shared" si="58"/>
        <v>-73718.152931999997</v>
      </c>
      <c r="Q153" s="1704"/>
      <c r="R153" s="1704">
        <f t="shared" si="59"/>
        <v>-34072.868087999988</v>
      </c>
      <c r="S153" s="1753"/>
      <c r="T153" s="1708">
        <v>0</v>
      </c>
      <c r="U153" s="1753"/>
      <c r="V153" s="1708">
        <v>0</v>
      </c>
      <c r="W153" s="1753"/>
      <c r="X153" s="1704">
        <f t="shared" si="60"/>
        <v>-34072.868087999988</v>
      </c>
      <c r="Y153" s="1707"/>
      <c r="Z153" s="1374" t="s">
        <v>1486</v>
      </c>
      <c r="AA153" s="1705"/>
      <c r="AB153" s="1374" t="s">
        <v>22</v>
      </c>
      <c r="AC153" s="1705"/>
      <c r="AD153" s="1706">
        <v>0</v>
      </c>
      <c r="AE153" s="1705"/>
      <c r="AF153" s="1704">
        <f t="shared" si="61"/>
        <v>0</v>
      </c>
      <c r="AG153" s="985"/>
      <c r="AH153" s="1246">
        <v>283</v>
      </c>
      <c r="AI153" s="1246"/>
    </row>
    <row r="154" spans="2:35">
      <c r="B154" s="1246">
        <v>138</v>
      </c>
      <c r="C154" s="1365" t="s">
        <v>1731</v>
      </c>
      <c r="D154" s="1365" t="s">
        <v>1714</v>
      </c>
      <c r="E154" s="1365" t="s">
        <v>1472</v>
      </c>
      <c r="F154" s="1708">
        <v>-85416.6</v>
      </c>
      <c r="G154" s="1704">
        <f t="shared" si="52"/>
        <v>-29895.81</v>
      </c>
      <c r="H154" s="1708">
        <v>-7260.411000000001</v>
      </c>
      <c r="I154" s="1704">
        <f t="shared" si="53"/>
        <v>2541.1438500000004</v>
      </c>
      <c r="J154" s="1704">
        <f t="shared" si="54"/>
        <v>-34615.077150000005</v>
      </c>
      <c r="K154" s="1753"/>
      <c r="L154" s="1708">
        <f t="shared" si="55"/>
        <v>-85416.6</v>
      </c>
      <c r="M154" s="1704">
        <f t="shared" si="56"/>
        <v>-17937.486000000001</v>
      </c>
      <c r="N154" s="1708">
        <v>-7260.411000000001</v>
      </c>
      <c r="O154" s="1704">
        <f t="shared" si="57"/>
        <v>1524.68631</v>
      </c>
      <c r="P154" s="1704">
        <f t="shared" si="58"/>
        <v>-23673.21069</v>
      </c>
      <c r="Q154" s="1704"/>
      <c r="R154" s="1704">
        <f t="shared" si="59"/>
        <v>-10941.866460000005</v>
      </c>
      <c r="S154" s="1753"/>
      <c r="T154" s="1708">
        <v>0</v>
      </c>
      <c r="U154" s="1753"/>
      <c r="V154" s="1708">
        <v>0</v>
      </c>
      <c r="W154" s="1753"/>
      <c r="X154" s="1704">
        <f t="shared" si="60"/>
        <v>-10941.866460000005</v>
      </c>
      <c r="Y154" s="1707"/>
      <c r="Z154" s="1374" t="s">
        <v>1716</v>
      </c>
      <c r="AA154" s="1705"/>
      <c r="AB154" s="1374" t="s">
        <v>23</v>
      </c>
      <c r="AC154" s="1705"/>
      <c r="AD154" s="1706">
        <v>0</v>
      </c>
      <c r="AE154" s="1705"/>
      <c r="AF154" s="1704">
        <f t="shared" si="61"/>
        <v>0</v>
      </c>
      <c r="AG154" s="985"/>
      <c r="AH154" s="1246">
        <v>283</v>
      </c>
      <c r="AI154" s="1246"/>
    </row>
    <row r="155" spans="2:35">
      <c r="B155" s="1246">
        <v>139</v>
      </c>
      <c r="C155" s="1365" t="s">
        <v>1730</v>
      </c>
      <c r="D155" s="1365" t="s">
        <v>1714</v>
      </c>
      <c r="E155" s="1365" t="s">
        <v>1472</v>
      </c>
      <c r="F155" s="1708">
        <v>34891471.530000001</v>
      </c>
      <c r="G155" s="1704">
        <f t="shared" si="52"/>
        <v>12212015.035499999</v>
      </c>
      <c r="H155" s="1708">
        <v>2965775.0800500005</v>
      </c>
      <c r="I155" s="1704">
        <f t="shared" si="53"/>
        <v>-1038021.2780175001</v>
      </c>
      <c r="J155" s="1704">
        <f t="shared" si="54"/>
        <v>14139768.8375325</v>
      </c>
      <c r="K155" s="1753"/>
      <c r="L155" s="1708">
        <f t="shared" si="55"/>
        <v>34891471.530000001</v>
      </c>
      <c r="M155" s="1704">
        <f t="shared" si="56"/>
        <v>7327209.0213000001</v>
      </c>
      <c r="N155" s="1708">
        <v>2965775.0800500005</v>
      </c>
      <c r="O155" s="1704">
        <f t="shared" si="57"/>
        <v>-622812.76681050006</v>
      </c>
      <c r="P155" s="1704">
        <f t="shared" si="58"/>
        <v>9670171.3345394991</v>
      </c>
      <c r="Q155" s="1704"/>
      <c r="R155" s="1704">
        <f t="shared" si="59"/>
        <v>4469597.5029930007</v>
      </c>
      <c r="S155" s="1753"/>
      <c r="T155" s="1708">
        <v>0</v>
      </c>
      <c r="U155" s="1753"/>
      <c r="V155" s="1708">
        <v>0</v>
      </c>
      <c r="W155" s="1753"/>
      <c r="X155" s="1704">
        <f t="shared" si="60"/>
        <v>4469597.5029930007</v>
      </c>
      <c r="Y155" s="1707"/>
      <c r="Z155" s="1374" t="s">
        <v>1486</v>
      </c>
      <c r="AA155" s="1705"/>
      <c r="AB155" s="1374" t="s">
        <v>22</v>
      </c>
      <c r="AC155" s="1705"/>
      <c r="AD155" s="1706">
        <v>0</v>
      </c>
      <c r="AE155" s="1705"/>
      <c r="AF155" s="1704">
        <f t="shared" si="61"/>
        <v>0</v>
      </c>
      <c r="AG155" s="985"/>
      <c r="AH155" s="1246">
        <v>283</v>
      </c>
      <c r="AI155" s="1246"/>
    </row>
    <row r="156" spans="2:35">
      <c r="B156" s="1246">
        <v>140</v>
      </c>
      <c r="C156" s="1365" t="s">
        <v>1729</v>
      </c>
      <c r="D156" s="1365" t="s">
        <v>1714</v>
      </c>
      <c r="E156" s="1365" t="s">
        <v>1472</v>
      </c>
      <c r="F156" s="1708">
        <v>22949489.68</v>
      </c>
      <c r="G156" s="1704">
        <f t="shared" si="52"/>
        <v>8032321.3879999993</v>
      </c>
      <c r="H156" s="1708">
        <v>1950706.6228</v>
      </c>
      <c r="I156" s="1704">
        <f t="shared" si="53"/>
        <v>-682747.31797999993</v>
      </c>
      <c r="J156" s="1704">
        <f t="shared" si="54"/>
        <v>9300280.6928199995</v>
      </c>
      <c r="K156" s="1753"/>
      <c r="L156" s="1708">
        <f t="shared" si="55"/>
        <v>22949489.68</v>
      </c>
      <c r="M156" s="1704">
        <f t="shared" si="56"/>
        <v>4819392.8328</v>
      </c>
      <c r="N156" s="1708">
        <v>1950706.6228</v>
      </c>
      <c r="O156" s="1704">
        <f t="shared" si="57"/>
        <v>-409648.39078799996</v>
      </c>
      <c r="P156" s="1704">
        <f t="shared" si="58"/>
        <v>6360451.0648119999</v>
      </c>
      <c r="Q156" s="1704"/>
      <c r="R156" s="1704">
        <f t="shared" si="59"/>
        <v>2939829.6280079996</v>
      </c>
      <c r="S156" s="1753"/>
      <c r="T156" s="1708">
        <v>0</v>
      </c>
      <c r="U156" s="1753"/>
      <c r="V156" s="1708">
        <v>0</v>
      </c>
      <c r="W156" s="1753"/>
      <c r="X156" s="1704">
        <f t="shared" si="60"/>
        <v>2939829.6280079996</v>
      </c>
      <c r="Y156" s="1707"/>
      <c r="Z156" s="1374" t="s">
        <v>1486</v>
      </c>
      <c r="AA156" s="1705"/>
      <c r="AB156" s="1374" t="s">
        <v>22</v>
      </c>
      <c r="AC156" s="1705"/>
      <c r="AD156" s="1706">
        <v>0</v>
      </c>
      <c r="AE156" s="1705"/>
      <c r="AF156" s="1704">
        <f t="shared" si="61"/>
        <v>0</v>
      </c>
      <c r="AG156" s="985"/>
      <c r="AH156" s="1246">
        <v>283</v>
      </c>
      <c r="AI156" s="1246"/>
    </row>
    <row r="157" spans="2:35">
      <c r="B157" s="1246">
        <v>141</v>
      </c>
      <c r="C157" s="1365" t="s">
        <v>1728</v>
      </c>
      <c r="D157" s="1365" t="s">
        <v>1714</v>
      </c>
      <c r="E157" s="1365" t="s">
        <v>1472</v>
      </c>
      <c r="F157" s="1708">
        <v>392189</v>
      </c>
      <c r="G157" s="1704">
        <f t="shared" si="52"/>
        <v>137266.15</v>
      </c>
      <c r="H157" s="1708">
        <v>33336.065000000002</v>
      </c>
      <c r="I157" s="1704">
        <f t="shared" si="53"/>
        <v>-11667.62275</v>
      </c>
      <c r="J157" s="1704">
        <f t="shared" si="54"/>
        <v>158934.59224999999</v>
      </c>
      <c r="K157" s="1753"/>
      <c r="L157" s="1708">
        <f t="shared" si="55"/>
        <v>392189</v>
      </c>
      <c r="M157" s="1704">
        <f t="shared" si="56"/>
        <v>82359.69</v>
      </c>
      <c r="N157" s="1708">
        <v>33336.065000000002</v>
      </c>
      <c r="O157" s="1704">
        <f t="shared" si="57"/>
        <v>-7000.5736500000003</v>
      </c>
      <c r="P157" s="1704">
        <f t="shared" si="58"/>
        <v>108695.18135</v>
      </c>
      <c r="Q157" s="1704"/>
      <c r="R157" s="1704">
        <f t="shared" si="59"/>
        <v>50239.410899999988</v>
      </c>
      <c r="S157" s="1753"/>
      <c r="T157" s="1708">
        <v>0</v>
      </c>
      <c r="U157" s="1753"/>
      <c r="V157" s="1708">
        <v>0</v>
      </c>
      <c r="W157" s="1753"/>
      <c r="X157" s="1704">
        <f t="shared" si="60"/>
        <v>50239.410899999988</v>
      </c>
      <c r="Y157" s="1707"/>
      <c r="Z157" s="1374" t="s">
        <v>1716</v>
      </c>
      <c r="AA157" s="1705"/>
      <c r="AB157" s="1374" t="s">
        <v>23</v>
      </c>
      <c r="AC157" s="1705"/>
      <c r="AD157" s="1706">
        <v>0</v>
      </c>
      <c r="AE157" s="1705"/>
      <c r="AF157" s="1704">
        <f t="shared" si="61"/>
        <v>0</v>
      </c>
      <c r="AG157" s="985"/>
      <c r="AH157" s="1246">
        <v>283</v>
      </c>
      <c r="AI157" s="1246"/>
    </row>
    <row r="158" spans="2:35">
      <c r="B158" s="1246">
        <v>142</v>
      </c>
      <c r="C158" s="1365" t="s">
        <v>1727</v>
      </c>
      <c r="D158" s="1365" t="s">
        <v>1714</v>
      </c>
      <c r="E158" s="1365" t="s">
        <v>1472</v>
      </c>
      <c r="F158" s="1708">
        <v>-45151.92</v>
      </c>
      <c r="G158" s="1704">
        <f t="shared" si="52"/>
        <v>-15803.171999999999</v>
      </c>
      <c r="H158" s="1708">
        <v>-3837.9132</v>
      </c>
      <c r="I158" s="1704">
        <f t="shared" si="53"/>
        <v>1343.2696199999998</v>
      </c>
      <c r="J158" s="1704">
        <f t="shared" si="54"/>
        <v>-18297.815579999999</v>
      </c>
      <c r="K158" s="1753"/>
      <c r="L158" s="1708">
        <f t="shared" si="55"/>
        <v>-45151.92</v>
      </c>
      <c r="M158" s="1704">
        <f t="shared" si="56"/>
        <v>-9481.9031999999988</v>
      </c>
      <c r="N158" s="1708">
        <v>-3837.9132</v>
      </c>
      <c r="O158" s="1704">
        <f t="shared" si="57"/>
        <v>805.961772</v>
      </c>
      <c r="P158" s="1704">
        <f t="shared" si="58"/>
        <v>-12513.854627999999</v>
      </c>
      <c r="Q158" s="1704"/>
      <c r="R158" s="1704">
        <f t="shared" si="59"/>
        <v>-5783.9609519999995</v>
      </c>
      <c r="S158" s="1753"/>
      <c r="T158" s="1708">
        <v>0</v>
      </c>
      <c r="U158" s="1753"/>
      <c r="V158" s="1708">
        <v>0</v>
      </c>
      <c r="W158" s="1753"/>
      <c r="X158" s="1704">
        <f t="shared" si="60"/>
        <v>-5783.9609519999995</v>
      </c>
      <c r="Y158" s="1707"/>
      <c r="Z158" s="1374" t="s">
        <v>1716</v>
      </c>
      <c r="AA158" s="1705"/>
      <c r="AB158" s="1374" t="s">
        <v>23</v>
      </c>
      <c r="AC158" s="1705"/>
      <c r="AD158" s="1706">
        <v>0</v>
      </c>
      <c r="AE158" s="1705"/>
      <c r="AF158" s="1704">
        <f t="shared" si="61"/>
        <v>0</v>
      </c>
      <c r="AG158" s="985"/>
      <c r="AH158" s="1246">
        <v>283</v>
      </c>
      <c r="AI158" s="1246"/>
    </row>
    <row r="159" spans="2:35">
      <c r="B159" s="1246">
        <v>143</v>
      </c>
      <c r="C159" s="1365" t="s">
        <v>1726</v>
      </c>
      <c r="D159" s="1365" t="s">
        <v>1714</v>
      </c>
      <c r="E159" s="1365" t="s">
        <v>1472</v>
      </c>
      <c r="F159" s="1708">
        <v>-1069750</v>
      </c>
      <c r="G159" s="1704">
        <f t="shared" si="52"/>
        <v>-374412.5</v>
      </c>
      <c r="H159" s="1708">
        <v>-90928.75</v>
      </c>
      <c r="I159" s="1704">
        <f t="shared" si="53"/>
        <v>31825.062499999996</v>
      </c>
      <c r="J159" s="1704">
        <f t="shared" si="54"/>
        <v>-433516.1875</v>
      </c>
      <c r="K159" s="1753"/>
      <c r="L159" s="1708">
        <f t="shared" si="55"/>
        <v>-1069750</v>
      </c>
      <c r="M159" s="1704">
        <f t="shared" si="56"/>
        <v>-224647.5</v>
      </c>
      <c r="N159" s="1708">
        <v>-90928.75</v>
      </c>
      <c r="O159" s="1704">
        <f t="shared" si="57"/>
        <v>19095.037499999999</v>
      </c>
      <c r="P159" s="1704">
        <f t="shared" si="58"/>
        <v>-296481.21250000002</v>
      </c>
      <c r="Q159" s="1704"/>
      <c r="R159" s="1704">
        <f t="shared" si="59"/>
        <v>-137034.97499999998</v>
      </c>
      <c r="S159" s="1753"/>
      <c r="T159" s="1708">
        <v>0</v>
      </c>
      <c r="U159" s="1753"/>
      <c r="V159" s="1708">
        <v>0</v>
      </c>
      <c r="W159" s="1753"/>
      <c r="X159" s="1704">
        <f t="shared" si="60"/>
        <v>-137034.97499999998</v>
      </c>
      <c r="Y159" s="1707"/>
      <c r="Z159" s="1374" t="s">
        <v>1716</v>
      </c>
      <c r="AA159" s="1705"/>
      <c r="AB159" s="1374" t="s">
        <v>23</v>
      </c>
      <c r="AC159" s="1705"/>
      <c r="AD159" s="1706">
        <v>0</v>
      </c>
      <c r="AE159" s="1705"/>
      <c r="AF159" s="1704">
        <f t="shared" si="61"/>
        <v>0</v>
      </c>
      <c r="AG159" s="985"/>
      <c r="AH159" s="1246">
        <v>283</v>
      </c>
      <c r="AI159" s="1246"/>
    </row>
    <row r="160" spans="2:35">
      <c r="B160" s="1246">
        <v>144</v>
      </c>
      <c r="C160" s="1365" t="s">
        <v>1725</v>
      </c>
      <c r="D160" s="1365" t="s">
        <v>1714</v>
      </c>
      <c r="E160" s="1365" t="s">
        <v>1472</v>
      </c>
      <c r="F160" s="1708">
        <v>265986.48</v>
      </c>
      <c r="G160" s="1704">
        <f t="shared" si="52"/>
        <v>93095.267999999982</v>
      </c>
      <c r="H160" s="1708">
        <v>22608.8508</v>
      </c>
      <c r="I160" s="1704">
        <f t="shared" si="53"/>
        <v>-7913.0977799999991</v>
      </c>
      <c r="J160" s="1704">
        <f t="shared" si="54"/>
        <v>107791.02101999999</v>
      </c>
      <c r="K160" s="1753"/>
      <c r="L160" s="1708">
        <f t="shared" si="55"/>
        <v>265986.48</v>
      </c>
      <c r="M160" s="1704">
        <f t="shared" si="56"/>
        <v>55857.160799999991</v>
      </c>
      <c r="N160" s="1708">
        <v>22608.8508</v>
      </c>
      <c r="O160" s="1704">
        <f t="shared" si="57"/>
        <v>-4747.8586679999999</v>
      </c>
      <c r="P160" s="1704">
        <f t="shared" si="58"/>
        <v>73718.152931999997</v>
      </c>
      <c r="Q160" s="1704"/>
      <c r="R160" s="1704">
        <f t="shared" si="59"/>
        <v>34072.868087999988</v>
      </c>
      <c r="S160" s="1753"/>
      <c r="T160" s="1708">
        <v>0</v>
      </c>
      <c r="U160" s="1753"/>
      <c r="V160" s="1708">
        <v>0</v>
      </c>
      <c r="W160" s="1753"/>
      <c r="X160" s="1704">
        <f t="shared" si="60"/>
        <v>34072.868087999988</v>
      </c>
      <c r="Y160" s="1707"/>
      <c r="Z160" s="1374" t="s">
        <v>1486</v>
      </c>
      <c r="AA160" s="1705"/>
      <c r="AB160" s="1374" t="s">
        <v>22</v>
      </c>
      <c r="AC160" s="1705"/>
      <c r="AD160" s="1706">
        <v>0</v>
      </c>
      <c r="AE160" s="1705"/>
      <c r="AF160" s="1704">
        <f t="shared" si="61"/>
        <v>0</v>
      </c>
      <c r="AG160" s="985"/>
      <c r="AH160" s="1246">
        <v>283</v>
      </c>
      <c r="AI160" s="1246"/>
    </row>
    <row r="161" spans="2:35">
      <c r="B161" s="1246">
        <v>145</v>
      </c>
      <c r="C161" s="1365" t="s">
        <v>1724</v>
      </c>
      <c r="D161" s="1365" t="s">
        <v>1714</v>
      </c>
      <c r="E161" s="1365" t="s">
        <v>1472</v>
      </c>
      <c r="F161" s="1708">
        <v>85416.6</v>
      </c>
      <c r="G161" s="1704">
        <f t="shared" si="52"/>
        <v>29895.81</v>
      </c>
      <c r="H161" s="1708">
        <v>7260.411000000001</v>
      </c>
      <c r="I161" s="1704">
        <f t="shared" si="53"/>
        <v>-2541.1438500000004</v>
      </c>
      <c r="J161" s="1704">
        <f t="shared" si="54"/>
        <v>34615.077150000005</v>
      </c>
      <c r="K161" s="1753"/>
      <c r="L161" s="1708">
        <f t="shared" si="55"/>
        <v>85416.6</v>
      </c>
      <c r="M161" s="1704">
        <f t="shared" si="56"/>
        <v>17937.486000000001</v>
      </c>
      <c r="N161" s="1708">
        <v>7260.411000000001</v>
      </c>
      <c r="O161" s="1704">
        <f t="shared" si="57"/>
        <v>-1524.68631</v>
      </c>
      <c r="P161" s="1704">
        <f t="shared" si="58"/>
        <v>23673.21069</v>
      </c>
      <c r="Q161" s="1704"/>
      <c r="R161" s="1704">
        <f t="shared" si="59"/>
        <v>10941.866460000005</v>
      </c>
      <c r="S161" s="1753"/>
      <c r="T161" s="1708">
        <v>0</v>
      </c>
      <c r="U161" s="1753"/>
      <c r="V161" s="1708">
        <v>0</v>
      </c>
      <c r="W161" s="1753"/>
      <c r="X161" s="1704">
        <f t="shared" si="60"/>
        <v>10941.866460000005</v>
      </c>
      <c r="Y161" s="1707"/>
      <c r="Z161" s="1374" t="s">
        <v>1716</v>
      </c>
      <c r="AA161" s="1705"/>
      <c r="AB161" s="1374" t="s">
        <v>23</v>
      </c>
      <c r="AC161" s="1705"/>
      <c r="AD161" s="1706">
        <v>0</v>
      </c>
      <c r="AE161" s="1705"/>
      <c r="AF161" s="1704">
        <f t="shared" si="61"/>
        <v>0</v>
      </c>
      <c r="AG161" s="985"/>
      <c r="AH161" s="1246">
        <v>283</v>
      </c>
      <c r="AI161" s="1246"/>
    </row>
    <row r="162" spans="2:35">
      <c r="B162" s="1246">
        <v>146</v>
      </c>
      <c r="C162" s="1365" t="s">
        <v>1723</v>
      </c>
      <c r="D162" s="1365" t="s">
        <v>1714</v>
      </c>
      <c r="E162" s="1365" t="s">
        <v>1472</v>
      </c>
      <c r="F162" s="1708">
        <v>-2355125.9300000002</v>
      </c>
      <c r="G162" s="1704">
        <f t="shared" si="52"/>
        <v>-824294.07550000004</v>
      </c>
      <c r="H162" s="1708">
        <v>-200185.70405000003</v>
      </c>
      <c r="I162" s="1704">
        <f t="shared" si="53"/>
        <v>70064.996417500006</v>
      </c>
      <c r="J162" s="1704">
        <f t="shared" si="54"/>
        <v>-954414.78313250013</v>
      </c>
      <c r="K162" s="1753"/>
      <c r="L162" s="1708">
        <f t="shared" si="55"/>
        <v>-2355125.9300000002</v>
      </c>
      <c r="M162" s="1704">
        <f t="shared" si="56"/>
        <v>-494576.44530000002</v>
      </c>
      <c r="N162" s="1708">
        <v>-200185.70405000003</v>
      </c>
      <c r="O162" s="1704">
        <f t="shared" si="57"/>
        <v>42038.997850500004</v>
      </c>
      <c r="P162" s="1704">
        <f t="shared" si="58"/>
        <v>-652723.15149950003</v>
      </c>
      <c r="Q162" s="1704"/>
      <c r="R162" s="1704">
        <f t="shared" si="59"/>
        <v>-301691.6316330001</v>
      </c>
      <c r="S162" s="1753"/>
      <c r="T162" s="1708">
        <v>0</v>
      </c>
      <c r="U162" s="1753"/>
      <c r="V162" s="1708">
        <v>0</v>
      </c>
      <c r="W162" s="1753"/>
      <c r="X162" s="1704">
        <f t="shared" si="60"/>
        <v>-301691.6316330001</v>
      </c>
      <c r="Y162" s="1707"/>
      <c r="Z162" s="1374" t="s">
        <v>1482</v>
      </c>
      <c r="AA162" s="1705"/>
      <c r="AB162" s="1374" t="s">
        <v>23</v>
      </c>
      <c r="AC162" s="1705"/>
      <c r="AD162" s="1706">
        <v>0</v>
      </c>
      <c r="AE162" s="1705"/>
      <c r="AF162" s="1704">
        <f t="shared" si="61"/>
        <v>0</v>
      </c>
      <c r="AG162" s="985"/>
      <c r="AH162" s="1246">
        <v>283</v>
      </c>
      <c r="AI162" s="1246"/>
    </row>
    <row r="163" spans="2:35">
      <c r="B163" s="1246">
        <v>147</v>
      </c>
      <c r="C163" s="1365" t="s">
        <v>1722</v>
      </c>
      <c r="D163" s="1365" t="s">
        <v>1714</v>
      </c>
      <c r="E163" s="1365" t="s">
        <v>1472</v>
      </c>
      <c r="F163" s="1708">
        <v>-1043276.76</v>
      </c>
      <c r="G163" s="1704">
        <f t="shared" si="52"/>
        <v>-365146.86599999998</v>
      </c>
      <c r="H163" s="1708">
        <v>-88678.524600000004</v>
      </c>
      <c r="I163" s="1704">
        <f t="shared" si="53"/>
        <v>31037.483609999999</v>
      </c>
      <c r="J163" s="1704">
        <f t="shared" si="54"/>
        <v>-422787.90698999999</v>
      </c>
      <c r="K163" s="1753"/>
      <c r="L163" s="1708">
        <f t="shared" si="55"/>
        <v>-1043276.76</v>
      </c>
      <c r="M163" s="1704">
        <f t="shared" si="56"/>
        <v>-219088.11960000001</v>
      </c>
      <c r="N163" s="1708">
        <v>-88678.524600000004</v>
      </c>
      <c r="O163" s="1704">
        <f t="shared" si="57"/>
        <v>18622.490166</v>
      </c>
      <c r="P163" s="1704">
        <f t="shared" si="58"/>
        <v>-289144.15403400001</v>
      </c>
      <c r="Q163" s="1704"/>
      <c r="R163" s="1704">
        <f t="shared" si="59"/>
        <v>-133643.75295599998</v>
      </c>
      <c r="S163" s="1753"/>
      <c r="T163" s="1708">
        <v>0</v>
      </c>
      <c r="U163" s="1753"/>
      <c r="V163" s="1708">
        <v>0</v>
      </c>
      <c r="W163" s="1753"/>
      <c r="X163" s="1704">
        <f t="shared" si="60"/>
        <v>-133643.75295599998</v>
      </c>
      <c r="Y163" s="1707"/>
      <c r="Z163" s="1374" t="s">
        <v>1716</v>
      </c>
      <c r="AA163" s="1705"/>
      <c r="AB163" s="1374" t="s">
        <v>23</v>
      </c>
      <c r="AC163" s="1705"/>
      <c r="AD163" s="1706">
        <v>0</v>
      </c>
      <c r="AE163" s="1705"/>
      <c r="AF163" s="1704">
        <f t="shared" si="61"/>
        <v>0</v>
      </c>
      <c r="AG163" s="985"/>
      <c r="AH163" s="1246">
        <v>283</v>
      </c>
      <c r="AI163" s="1246"/>
    </row>
    <row r="164" spans="2:35">
      <c r="B164" s="1246">
        <v>148</v>
      </c>
      <c r="C164" s="1365" t="s">
        <v>1721</v>
      </c>
      <c r="D164" s="1365" t="s">
        <v>1714</v>
      </c>
      <c r="E164" s="1365" t="s">
        <v>1472</v>
      </c>
      <c r="F164" s="1708">
        <v>-6566664.9500000002</v>
      </c>
      <c r="G164" s="1704">
        <f t="shared" si="52"/>
        <v>-2298332.7324999999</v>
      </c>
      <c r="H164" s="1708">
        <v>-558166.52075000003</v>
      </c>
      <c r="I164" s="1704">
        <f t="shared" si="53"/>
        <v>195358.2822625</v>
      </c>
      <c r="J164" s="1704">
        <f t="shared" si="54"/>
        <v>-2661140.9709875002</v>
      </c>
      <c r="K164" s="1753"/>
      <c r="L164" s="1708">
        <f t="shared" si="55"/>
        <v>-6566664.9500000002</v>
      </c>
      <c r="M164" s="1704">
        <f t="shared" si="56"/>
        <v>-1378999.6395</v>
      </c>
      <c r="N164" s="1708">
        <v>-558166.52075000003</v>
      </c>
      <c r="O164" s="1704">
        <f t="shared" si="57"/>
        <v>117214.9693575</v>
      </c>
      <c r="P164" s="1704">
        <f t="shared" si="58"/>
        <v>-1819951.1908925001</v>
      </c>
      <c r="Q164" s="1704"/>
      <c r="R164" s="1704">
        <f t="shared" si="59"/>
        <v>-841189.78009500005</v>
      </c>
      <c r="S164" s="1753"/>
      <c r="T164" s="1708">
        <v>0</v>
      </c>
      <c r="U164" s="1753"/>
      <c r="V164" s="1708">
        <v>0</v>
      </c>
      <c r="W164" s="1753"/>
      <c r="X164" s="1704">
        <f t="shared" si="60"/>
        <v>-841189.78009500005</v>
      </c>
      <c r="Y164" s="1707"/>
      <c r="Z164" s="1374" t="s">
        <v>1716</v>
      </c>
      <c r="AA164" s="1705"/>
      <c r="AB164" s="1374" t="s">
        <v>23</v>
      </c>
      <c r="AC164" s="1705"/>
      <c r="AD164" s="1706">
        <v>0</v>
      </c>
      <c r="AE164" s="1705"/>
      <c r="AF164" s="1704">
        <f t="shared" si="61"/>
        <v>0</v>
      </c>
      <c r="AG164" s="985"/>
      <c r="AH164" s="1246">
        <v>283</v>
      </c>
      <c r="AI164" s="1246"/>
    </row>
    <row r="165" spans="2:35">
      <c r="B165" s="1246">
        <v>149</v>
      </c>
      <c r="C165" s="1365" t="s">
        <v>1720</v>
      </c>
      <c r="D165" s="1365" t="s">
        <v>1714</v>
      </c>
      <c r="E165" s="1365" t="s">
        <v>1472</v>
      </c>
      <c r="F165" s="1708">
        <v>-3421999.71</v>
      </c>
      <c r="G165" s="1704">
        <f t="shared" si="52"/>
        <v>-1197699.8984999999</v>
      </c>
      <c r="H165" s="1708">
        <v>-290869.97535000002</v>
      </c>
      <c r="I165" s="1704">
        <f t="shared" si="53"/>
        <v>101804.49137250001</v>
      </c>
      <c r="J165" s="1704">
        <f t="shared" si="54"/>
        <v>-1386765.3824774998</v>
      </c>
      <c r="K165" s="1753"/>
      <c r="L165" s="1708">
        <f t="shared" si="55"/>
        <v>-3421999.71</v>
      </c>
      <c r="M165" s="1704">
        <f t="shared" si="56"/>
        <v>-718619.93909999996</v>
      </c>
      <c r="N165" s="1708">
        <v>-290869.97535000002</v>
      </c>
      <c r="O165" s="1704">
        <f t="shared" si="57"/>
        <v>61082.694823500002</v>
      </c>
      <c r="P165" s="1704">
        <f t="shared" si="58"/>
        <v>-948407.21962650004</v>
      </c>
      <c r="Q165" s="1704"/>
      <c r="R165" s="1704">
        <f t="shared" si="59"/>
        <v>-438358.16285099974</v>
      </c>
      <c r="S165" s="1753"/>
      <c r="T165" s="1708">
        <v>0</v>
      </c>
      <c r="U165" s="1753"/>
      <c r="V165" s="1708">
        <v>0</v>
      </c>
      <c r="W165" s="1753"/>
      <c r="X165" s="1704">
        <f t="shared" si="60"/>
        <v>-438358.16285099974</v>
      </c>
      <c r="Y165" s="1707"/>
      <c r="Z165" s="1374" t="s">
        <v>1482</v>
      </c>
      <c r="AA165" s="1705"/>
      <c r="AB165" s="1374" t="s">
        <v>23</v>
      </c>
      <c r="AC165" s="1705"/>
      <c r="AD165" s="1706">
        <v>0</v>
      </c>
      <c r="AE165" s="1705"/>
      <c r="AF165" s="1704">
        <f t="shared" si="61"/>
        <v>0</v>
      </c>
      <c r="AG165" s="985"/>
      <c r="AH165" s="1246">
        <v>283</v>
      </c>
      <c r="AI165" s="1246"/>
    </row>
    <row r="166" spans="2:35">
      <c r="B166" s="1246">
        <v>150</v>
      </c>
      <c r="C166" s="1365" t="s">
        <v>1719</v>
      </c>
      <c r="D166" s="1365" t="s">
        <v>1714</v>
      </c>
      <c r="E166" s="1365" t="s">
        <v>1472</v>
      </c>
      <c r="F166" s="1708">
        <v>-495686.6</v>
      </c>
      <c r="G166" s="1704">
        <f t="shared" si="52"/>
        <v>-173490.30999999997</v>
      </c>
      <c r="H166" s="1708">
        <v>-42133.361000000004</v>
      </c>
      <c r="I166" s="1704">
        <f t="shared" si="53"/>
        <v>14746.67635</v>
      </c>
      <c r="J166" s="1704">
        <f t="shared" si="54"/>
        <v>-200876.99464999998</v>
      </c>
      <c r="K166" s="1753"/>
      <c r="L166" s="1708">
        <f t="shared" si="55"/>
        <v>-495686.6</v>
      </c>
      <c r="M166" s="1704">
        <f t="shared" si="56"/>
        <v>-104094.18599999999</v>
      </c>
      <c r="N166" s="1708">
        <v>-42133.361000000004</v>
      </c>
      <c r="O166" s="1704">
        <f t="shared" si="57"/>
        <v>8848.0058100000006</v>
      </c>
      <c r="P166" s="1704">
        <f t="shared" si="58"/>
        <v>-137379.54118999999</v>
      </c>
      <c r="Q166" s="1704"/>
      <c r="R166" s="1704">
        <f t="shared" si="59"/>
        <v>-63497.45345999999</v>
      </c>
      <c r="S166" s="1753"/>
      <c r="T166" s="1708">
        <v>0</v>
      </c>
      <c r="U166" s="1753"/>
      <c r="V166" s="1708">
        <v>0</v>
      </c>
      <c r="W166" s="1753"/>
      <c r="X166" s="1704">
        <f t="shared" si="60"/>
        <v>-63497.45345999999</v>
      </c>
      <c r="Y166" s="1707"/>
      <c r="Z166" s="1374" t="s">
        <v>1716</v>
      </c>
      <c r="AA166" s="1705"/>
      <c r="AB166" s="1374" t="s">
        <v>23</v>
      </c>
      <c r="AC166" s="1705"/>
      <c r="AD166" s="1706">
        <v>0</v>
      </c>
      <c r="AE166" s="1705"/>
      <c r="AF166" s="1704">
        <f t="shared" si="61"/>
        <v>0</v>
      </c>
      <c r="AG166" s="985"/>
      <c r="AH166" s="1246">
        <v>283</v>
      </c>
      <c r="AI166" s="1246"/>
    </row>
    <row r="167" spans="2:35">
      <c r="B167" s="1246">
        <v>151</v>
      </c>
      <c r="C167" s="1365" t="s">
        <v>1718</v>
      </c>
      <c r="D167" s="1365" t="s">
        <v>1714</v>
      </c>
      <c r="E167" s="1365" t="s">
        <v>1472</v>
      </c>
      <c r="F167" s="1708">
        <v>3834182.64</v>
      </c>
      <c r="G167" s="1704">
        <f t="shared" si="52"/>
        <v>1341963.9239999999</v>
      </c>
      <c r="H167" s="1708">
        <v>325905.52440000005</v>
      </c>
      <c r="I167" s="1704">
        <f t="shared" si="53"/>
        <v>-114066.93354000001</v>
      </c>
      <c r="J167" s="1704">
        <f t="shared" si="54"/>
        <v>1553802.5148599998</v>
      </c>
      <c r="K167" s="1753"/>
      <c r="L167" s="1708">
        <f t="shared" si="55"/>
        <v>3834182.64</v>
      </c>
      <c r="M167" s="1704">
        <f t="shared" si="56"/>
        <v>805178.35439999995</v>
      </c>
      <c r="N167" s="1708">
        <v>325905.52440000005</v>
      </c>
      <c r="O167" s="1704">
        <f t="shared" si="57"/>
        <v>-68440.160124000002</v>
      </c>
      <c r="P167" s="1704">
        <f t="shared" si="58"/>
        <v>1062643.7186760001</v>
      </c>
      <c r="Q167" s="1704"/>
      <c r="R167" s="1704">
        <f t="shared" si="59"/>
        <v>491158.79618399963</v>
      </c>
      <c r="S167" s="1753"/>
      <c r="T167" s="1708">
        <v>491158.79618400009</v>
      </c>
      <c r="U167" s="1753"/>
      <c r="V167" s="1708">
        <v>0</v>
      </c>
      <c r="W167" s="1753"/>
      <c r="X167" s="1704">
        <f t="shared" si="60"/>
        <v>-4.6566128730773926E-10</v>
      </c>
      <c r="Y167" s="1707"/>
      <c r="Z167" s="1374" t="s">
        <v>1482</v>
      </c>
      <c r="AA167" s="1705"/>
      <c r="AB167" s="1374" t="s">
        <v>23</v>
      </c>
      <c r="AC167" s="1705"/>
      <c r="AD167" s="1706">
        <v>0</v>
      </c>
      <c r="AE167" s="1705"/>
      <c r="AF167" s="1704">
        <f t="shared" si="61"/>
        <v>0</v>
      </c>
      <c r="AG167" s="985"/>
      <c r="AH167" s="1246">
        <v>283</v>
      </c>
      <c r="AI167" s="1246"/>
    </row>
    <row r="168" spans="2:35">
      <c r="B168" s="1246">
        <v>152</v>
      </c>
      <c r="C168" s="1365" t="s">
        <v>1717</v>
      </c>
      <c r="D168" s="1365" t="s">
        <v>1714</v>
      </c>
      <c r="E168" s="1365" t="s">
        <v>1472</v>
      </c>
      <c r="F168" s="1708">
        <v>2662472.04</v>
      </c>
      <c r="G168" s="1704">
        <f t="shared" si="52"/>
        <v>931865.21399999992</v>
      </c>
      <c r="H168" s="1708">
        <v>226310.12340000001</v>
      </c>
      <c r="I168" s="1704">
        <f t="shared" si="53"/>
        <v>-79208.543189999997</v>
      </c>
      <c r="J168" s="1704">
        <f t="shared" si="54"/>
        <v>1078966.79421</v>
      </c>
      <c r="K168" s="1753"/>
      <c r="L168" s="1708">
        <f t="shared" si="55"/>
        <v>2662472.04</v>
      </c>
      <c r="M168" s="1704">
        <f t="shared" si="56"/>
        <v>559119.12840000005</v>
      </c>
      <c r="N168" s="1708">
        <v>226310.12340000001</v>
      </c>
      <c r="O168" s="1704">
        <f t="shared" si="57"/>
        <v>-47525.125914000004</v>
      </c>
      <c r="P168" s="1704">
        <f t="shared" si="58"/>
        <v>737904.12588600011</v>
      </c>
      <c r="Q168" s="1704"/>
      <c r="R168" s="1704">
        <f t="shared" si="59"/>
        <v>341062.66832399985</v>
      </c>
      <c r="S168" s="1753"/>
      <c r="T168" s="1708">
        <v>0</v>
      </c>
      <c r="U168" s="1753"/>
      <c r="V168" s="1708">
        <v>0</v>
      </c>
      <c r="W168" s="1753"/>
      <c r="X168" s="1704">
        <f t="shared" si="60"/>
        <v>341062.66832399985</v>
      </c>
      <c r="Y168" s="1707"/>
      <c r="Z168" s="1374" t="s">
        <v>1716</v>
      </c>
      <c r="AA168" s="1705"/>
      <c r="AB168" s="1374" t="s">
        <v>23</v>
      </c>
      <c r="AC168" s="1705"/>
      <c r="AD168" s="1706">
        <v>0</v>
      </c>
      <c r="AE168" s="1705"/>
      <c r="AF168" s="1704">
        <f t="shared" si="61"/>
        <v>0</v>
      </c>
      <c r="AG168" s="985"/>
      <c r="AH168" s="1246">
        <v>283</v>
      </c>
      <c r="AI168" s="1246"/>
    </row>
    <row r="169" spans="2:35">
      <c r="B169" s="1246">
        <v>153</v>
      </c>
      <c r="C169" s="1365" t="s">
        <v>1715</v>
      </c>
      <c r="D169" s="1365" t="s">
        <v>1714</v>
      </c>
      <c r="E169" s="1365" t="s">
        <v>1472</v>
      </c>
      <c r="F169" s="1708">
        <v>6948.4400000000014</v>
      </c>
      <c r="G169" s="1704">
        <f t="shared" si="52"/>
        <v>2431.9540000000002</v>
      </c>
      <c r="H169" s="1708">
        <v>0</v>
      </c>
      <c r="I169" s="1704">
        <f t="shared" si="53"/>
        <v>0</v>
      </c>
      <c r="J169" s="1704">
        <f t="shared" si="54"/>
        <v>2431.9540000000002</v>
      </c>
      <c r="K169" s="1753"/>
      <c r="L169" s="1708">
        <f t="shared" si="55"/>
        <v>6948.4400000000014</v>
      </c>
      <c r="M169" s="1704">
        <f t="shared" si="56"/>
        <v>1459.1724000000002</v>
      </c>
      <c r="N169" s="1708">
        <v>0</v>
      </c>
      <c r="O169" s="1704">
        <f t="shared" si="57"/>
        <v>0</v>
      </c>
      <c r="P169" s="1704">
        <f t="shared" si="58"/>
        <v>1459.1724000000002</v>
      </c>
      <c r="Q169" s="1704"/>
      <c r="R169" s="1704">
        <f t="shared" si="59"/>
        <v>972.78160000000003</v>
      </c>
      <c r="S169" s="1753"/>
      <c r="T169" s="1708"/>
      <c r="U169" s="1753"/>
      <c r="V169" s="1708">
        <v>0</v>
      </c>
      <c r="W169" s="1753"/>
      <c r="X169" s="1704">
        <f t="shared" si="60"/>
        <v>972.78160000000003</v>
      </c>
      <c r="Y169" s="1707"/>
      <c r="Z169" s="1374" t="s">
        <v>1486</v>
      </c>
      <c r="AA169" s="1705"/>
      <c r="AB169" s="1374" t="s">
        <v>22</v>
      </c>
      <c r="AC169" s="1705"/>
      <c r="AD169" s="1706">
        <v>0.32958000000000004</v>
      </c>
      <c r="AE169" s="1705"/>
      <c r="AF169" s="1704">
        <f t="shared" si="61"/>
        <v>320.60935972800007</v>
      </c>
      <c r="AG169" s="985"/>
      <c r="AH169" s="1246">
        <v>283</v>
      </c>
      <c r="AI169" s="1246"/>
    </row>
    <row r="170" spans="2:35" ht="13">
      <c r="B170" s="1246">
        <v>154</v>
      </c>
      <c r="C170" s="1755" t="s">
        <v>1510</v>
      </c>
      <c r="D170" s="1374"/>
      <c r="E170" s="1374"/>
      <c r="F170" s="1756">
        <f>SUM(F114:F169)</f>
        <v>-434497428.26000005</v>
      </c>
      <c r="G170" s="1756">
        <f>SUM(G114:G169)</f>
        <v>-152074099.89100003</v>
      </c>
      <c r="H170" s="1756">
        <f>SUM(H114:H169)</f>
        <v>-36932872.01949998</v>
      </c>
      <c r="I170" s="1756">
        <f>SUM(I114:I169)</f>
        <v>12926505.206824999</v>
      </c>
      <c r="J170" s="1756">
        <f>SUM(J114:J169)</f>
        <v>-176080466.703675</v>
      </c>
      <c r="K170" s="1757"/>
      <c r="L170" s="1756">
        <f>SUM(L114:L169)</f>
        <v>-434497428.26000005</v>
      </c>
      <c r="M170" s="1756">
        <f>SUM(M114:M169)</f>
        <v>-91244459.93460004</v>
      </c>
      <c r="N170" s="1756">
        <f>SUM(N114:N169)</f>
        <v>-36932872.01949998</v>
      </c>
      <c r="O170" s="1756">
        <f>SUM(O114:O169)</f>
        <v>7755903.1240950013</v>
      </c>
      <c r="P170" s="1756">
        <f>SUM(P114:P169)</f>
        <v>-120421428.83000496</v>
      </c>
      <c r="R170" s="1756">
        <f>SUM(R114:R169)</f>
        <v>-55659037.873670004</v>
      </c>
      <c r="S170" s="1757"/>
      <c r="T170" s="1756">
        <f>SUM(T114:T169)</f>
        <v>2104895.1733110002</v>
      </c>
      <c r="U170" s="1757"/>
      <c r="V170" s="1756">
        <f>SUM(V114:V169)</f>
        <v>0</v>
      </c>
      <c r="W170" s="1757"/>
      <c r="X170" s="1756">
        <f>SUM(X114:X169)</f>
        <v>-57763933.046981007</v>
      </c>
      <c r="Y170" s="1757"/>
      <c r="Z170" s="1374"/>
      <c r="AA170" s="1758"/>
      <c r="AB170" s="1374"/>
      <c r="AC170" s="1758"/>
      <c r="AD170" s="1758"/>
      <c r="AE170" s="1758"/>
      <c r="AF170" s="1756">
        <f>SUM(AF114:AF134)</f>
        <v>-2520517.4952977756</v>
      </c>
      <c r="AG170" s="1758"/>
      <c r="AH170" s="1246"/>
      <c r="AI170" s="1246"/>
    </row>
    <row r="171" spans="2:35" ht="13">
      <c r="B171" s="1246"/>
      <c r="D171" s="1396"/>
      <c r="F171" s="1760"/>
      <c r="G171" s="1760"/>
      <c r="H171" s="1760"/>
      <c r="I171" s="1760"/>
      <c r="J171" s="1760"/>
      <c r="K171" s="1758"/>
      <c r="P171" s="1760"/>
      <c r="R171" s="1760"/>
      <c r="S171" s="1758"/>
      <c r="T171" s="1760"/>
      <c r="U171" s="1758"/>
      <c r="V171" s="1760"/>
      <c r="W171" s="1758"/>
      <c r="X171" s="1760"/>
      <c r="Y171" s="1758"/>
      <c r="AA171" s="1758"/>
      <c r="AC171" s="1758"/>
      <c r="AD171" s="1758"/>
      <c r="AE171" s="1758"/>
      <c r="AF171" s="1760"/>
      <c r="AG171" s="1758"/>
      <c r="AH171" s="1397"/>
      <c r="AI171" s="1397"/>
    </row>
    <row r="172" spans="2:35" ht="13.5" thickBot="1">
      <c r="B172" s="1246">
        <v>155</v>
      </c>
      <c r="C172" s="1755" t="s">
        <v>1511</v>
      </c>
      <c r="D172" s="1396"/>
      <c r="E172" s="1398"/>
      <c r="F172" s="1761">
        <f>F91+F111+F170</f>
        <v>-2937340674.1191983</v>
      </c>
      <c r="G172" s="1761">
        <f>G91+G111+G170</f>
        <v>-1028069235.9417193</v>
      </c>
      <c r="H172" s="1761">
        <f>H91+H111+H170</f>
        <v>-167736623.35159099</v>
      </c>
      <c r="I172" s="1761">
        <f>I91+I111+I170</f>
        <v>58707818.173056871</v>
      </c>
      <c r="J172" s="1761">
        <f>J91+J111+J170</f>
        <v>-1137098041.1202536</v>
      </c>
      <c r="K172" s="1758"/>
      <c r="L172" s="1761">
        <f>L91+L111+L170</f>
        <v>-2394170598.6200042</v>
      </c>
      <c r="M172" s="1761">
        <f>M91+M111+M170</f>
        <v>-502775825.71020067</v>
      </c>
      <c r="N172" s="1761">
        <f>N91+N111+N170</f>
        <v>-121567166.93415949</v>
      </c>
      <c r="O172" s="1761">
        <f>O91+O111+O170</f>
        <v>25529105.056173503</v>
      </c>
      <c r="P172" s="1761">
        <f>P91+P111+P170</f>
        <v>-598813887.58818674</v>
      </c>
      <c r="R172" s="1761">
        <f>R91+R111+R170</f>
        <v>-538284153.5320667</v>
      </c>
      <c r="S172" s="1758"/>
      <c r="T172" s="1761">
        <f>T91+T111+T170</f>
        <v>4885921.9671274796</v>
      </c>
      <c r="U172" s="1758"/>
      <c r="V172" s="1761">
        <f>V91+V111+V170</f>
        <v>-162064307.34658164</v>
      </c>
      <c r="W172" s="1758"/>
      <c r="X172" s="1761">
        <f>X91+X111+X170</f>
        <v>-381105768.15261257</v>
      </c>
      <c r="Y172" s="1758"/>
      <c r="Z172" s="1398"/>
      <c r="AA172" s="1758"/>
      <c r="AB172" s="1398"/>
      <c r="AC172" s="1758"/>
      <c r="AD172" s="1758"/>
      <c r="AE172" s="1758"/>
      <c r="AF172" s="1761">
        <f>AF91+AF111+AF170</f>
        <v>-1749321.0532863028</v>
      </c>
      <c r="AG172" s="1758"/>
      <c r="AH172" s="1397"/>
      <c r="AI172" s="1397"/>
    </row>
    <row r="173" spans="2:35" ht="15.75" customHeight="1" thickTop="1">
      <c r="F173" s="1760"/>
      <c r="G173" s="1760"/>
      <c r="H173" s="1760"/>
      <c r="I173" s="1760"/>
    </row>
    <row r="174" spans="2:35" ht="15.75" customHeight="1">
      <c r="F174" s="1760"/>
      <c r="G174" s="1760"/>
      <c r="H174" s="1760"/>
      <c r="I174" s="1760"/>
    </row>
    <row r="175" spans="2:35">
      <c r="F175" s="1760"/>
      <c r="G175" s="1760"/>
      <c r="H175" s="1760"/>
      <c r="I175" s="1760"/>
      <c r="V175" s="1399" t="s">
        <v>1413</v>
      </c>
      <c r="X175" s="1366">
        <f>SUMIF($E:$E,$V$175,X:X)</f>
        <v>-197311553.32128769</v>
      </c>
      <c r="AF175" s="1366">
        <f>SUMIF($E:$E,$V$175,AF:AF)</f>
        <v>-65029941.743630007</v>
      </c>
    </row>
    <row r="176" spans="2:35" ht="15.75" customHeight="1">
      <c r="B176" s="1398"/>
      <c r="V176" s="1400"/>
      <c r="X176" s="1729"/>
      <c r="AF176" s="1729"/>
    </row>
    <row r="177" spans="1:35">
      <c r="V177" s="1399" t="s">
        <v>1411</v>
      </c>
      <c r="X177" s="1729">
        <f>SUMIF($E:$E,$V$177,X:X)</f>
        <v>-127546724.80523546</v>
      </c>
      <c r="AF177" s="1729">
        <f>SUMIF($E:$E,$V$177,AF:AF)</f>
        <v>-46442704.063265227</v>
      </c>
    </row>
    <row r="178" spans="1:35" ht="15.75" customHeight="1">
      <c r="V178" s="1399" t="s">
        <v>1472</v>
      </c>
      <c r="X178" s="1729">
        <f>SUMIF($E:$E,$V$178,X:X)</f>
        <v>-56247490.026089348</v>
      </c>
      <c r="AF178" s="1729">
        <f>SUMIF($E:$E,$V$178,AF:AF)</f>
        <v>-4860036.8329630112</v>
      </c>
    </row>
    <row r="179" spans="1:35" ht="5.15" customHeight="1">
      <c r="V179" s="985"/>
      <c r="X179" s="1729"/>
      <c r="AF179" s="1729"/>
    </row>
    <row r="180" spans="1:35" ht="15.75" customHeight="1">
      <c r="V180" s="1401" t="s">
        <v>1512</v>
      </c>
      <c r="X180" s="1384">
        <f>SUM(X177:X179)</f>
        <v>-183794214.83132482</v>
      </c>
      <c r="AF180" s="1384">
        <f>SUM(AF177:AF179)</f>
        <v>-51302740.896228239</v>
      </c>
    </row>
    <row r="181" spans="1:35">
      <c r="V181" s="1400"/>
      <c r="X181" s="1729"/>
      <c r="AF181" s="1729"/>
    </row>
    <row r="182" spans="1:35" ht="15.75" customHeight="1" thickBot="1">
      <c r="B182" s="1402"/>
      <c r="V182" s="1401" t="s">
        <v>1513</v>
      </c>
      <c r="X182" s="1387">
        <f>X175+X180</f>
        <v>-381105768.15261251</v>
      </c>
      <c r="AF182" s="1387">
        <f>AF175+AF180</f>
        <v>-116332682.63985825</v>
      </c>
    </row>
    <row r="183" spans="1:35" ht="15.75" customHeight="1" thickTop="1">
      <c r="B183" s="1402"/>
      <c r="V183" s="1401"/>
      <c r="X183" s="1729"/>
      <c r="AF183" s="1729"/>
    </row>
    <row r="184" spans="1:35" ht="15.75" customHeight="1">
      <c r="A184" s="1267"/>
      <c r="B184" s="1770" t="s">
        <v>1430</v>
      </c>
      <c r="C184" s="1267"/>
      <c r="D184" s="1267"/>
      <c r="E184" s="1267"/>
      <c r="F184" s="1267"/>
      <c r="G184" s="1267"/>
      <c r="H184" s="1267"/>
      <c r="I184" s="1267"/>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AF184" s="1267"/>
      <c r="AG184" s="1267"/>
      <c r="AH184" s="1267"/>
      <c r="AI184" s="1267"/>
    </row>
    <row r="185" spans="1:35">
      <c r="B185" s="1403"/>
      <c r="C185" s="1403"/>
      <c r="D185" s="1403"/>
      <c r="Z185" s="1744"/>
      <c r="AB185" s="1744"/>
      <c r="AH185" s="1744"/>
      <c r="AI185" s="1744"/>
    </row>
    <row r="186" spans="1:35" ht="15.75" customHeight="1">
      <c r="B186" s="1863" t="s">
        <v>1514</v>
      </c>
      <c r="C186" s="1863"/>
      <c r="D186" s="1863"/>
      <c r="V186" s="1404"/>
      <c r="X186" s="1704"/>
      <c r="AF186" s="1704"/>
      <c r="AH186" s="1744"/>
      <c r="AI186" s="1746"/>
    </row>
    <row r="187" spans="1:35" ht="15.75" customHeight="1">
      <c r="B187" s="1863"/>
      <c r="C187" s="1863"/>
      <c r="D187" s="1863"/>
      <c r="V187" s="1404"/>
      <c r="X187" s="1704"/>
      <c r="AF187" s="1704"/>
      <c r="AH187" s="1744"/>
      <c r="AI187" s="1746"/>
    </row>
    <row r="188" spans="1:35" ht="15.75" customHeight="1">
      <c r="B188" s="1863"/>
      <c r="C188" s="1863"/>
      <c r="D188" s="1863"/>
      <c r="V188" s="1404"/>
      <c r="X188" s="1704"/>
      <c r="AF188" s="1704"/>
      <c r="AH188" s="1744"/>
      <c r="AI188" s="1746"/>
    </row>
    <row r="189" spans="1:35" ht="15.75" customHeight="1">
      <c r="B189" s="1863"/>
      <c r="C189" s="1863"/>
      <c r="D189" s="1863"/>
      <c r="V189" s="1404"/>
      <c r="X189" s="1704"/>
      <c r="AF189" s="1704"/>
      <c r="AH189" s="1744"/>
      <c r="AI189" s="1746"/>
    </row>
    <row r="190" spans="1:35" ht="15.75" customHeight="1">
      <c r="B190" s="1863"/>
      <c r="C190" s="1863"/>
      <c r="D190" s="1863"/>
      <c r="V190" s="1404"/>
      <c r="X190" s="1704"/>
      <c r="AF190" s="1704"/>
      <c r="AH190" s="1744"/>
      <c r="AI190" s="1746"/>
    </row>
    <row r="191" spans="1:35" ht="15.75" customHeight="1">
      <c r="B191" s="1863"/>
      <c r="C191" s="1863"/>
      <c r="D191" s="1863"/>
      <c r="V191" s="1404"/>
      <c r="X191" s="1704"/>
      <c r="AF191" s="1704"/>
      <c r="AH191" s="1744"/>
      <c r="AI191" s="1746"/>
    </row>
    <row r="192" spans="1:35" ht="15.75" customHeight="1">
      <c r="B192" s="1863"/>
      <c r="C192" s="1863"/>
      <c r="D192" s="1863"/>
      <c r="V192" s="1404"/>
      <c r="X192" s="1704"/>
      <c r="AF192" s="1704"/>
      <c r="AH192" s="1744"/>
      <c r="AI192" s="1746"/>
    </row>
    <row r="193" spans="1:35" ht="15.75" customHeight="1">
      <c r="B193" s="1863"/>
      <c r="C193" s="1863"/>
      <c r="D193" s="1863"/>
      <c r="V193" s="1404"/>
      <c r="X193" s="1704"/>
      <c r="AF193" s="1704"/>
      <c r="AH193" s="1744"/>
      <c r="AI193" s="1746"/>
    </row>
    <row r="194" spans="1:35" ht="15.75" customHeight="1">
      <c r="B194" s="1863"/>
      <c r="C194" s="1863"/>
      <c r="D194" s="1863"/>
      <c r="V194" s="1404"/>
      <c r="X194" s="1704"/>
      <c r="AF194" s="1704"/>
      <c r="AH194" s="1744"/>
      <c r="AI194" s="1746"/>
    </row>
    <row r="195" spans="1:35" ht="15.75" customHeight="1">
      <c r="B195" s="1863"/>
      <c r="C195" s="1863"/>
      <c r="D195" s="1863"/>
      <c r="V195" s="1404"/>
      <c r="X195" s="1704"/>
      <c r="AF195" s="1704"/>
      <c r="AH195" s="1744"/>
      <c r="AI195" s="1746"/>
    </row>
    <row r="196" spans="1:35" ht="15.75" customHeight="1">
      <c r="B196" s="1863"/>
      <c r="C196" s="1863"/>
      <c r="D196" s="1863"/>
      <c r="V196" s="1404"/>
      <c r="X196" s="1704"/>
      <c r="AF196" s="1704"/>
      <c r="AH196" s="1744"/>
      <c r="AI196" s="1746"/>
    </row>
    <row r="197" spans="1:35" ht="12.75" customHeight="1">
      <c r="B197" s="1850" t="s">
        <v>1515</v>
      </c>
      <c r="C197" s="1850"/>
      <c r="D197" s="1850"/>
      <c r="E197" s="1405"/>
      <c r="F197" s="1405"/>
      <c r="G197" s="1405"/>
      <c r="H197" s="1405"/>
      <c r="I197" s="1405"/>
      <c r="J197" s="1405"/>
      <c r="K197" s="1405"/>
      <c r="L197" s="1405"/>
      <c r="M197" s="1405"/>
      <c r="N197" s="1405"/>
      <c r="O197" s="1405"/>
      <c r="Z197" s="1744"/>
      <c r="AB197" s="1744"/>
      <c r="AH197" s="1744"/>
      <c r="AI197" s="1744"/>
    </row>
    <row r="198" spans="1:35">
      <c r="B198" s="1850"/>
      <c r="C198" s="1850"/>
      <c r="D198" s="1850"/>
      <c r="E198" s="1405"/>
      <c r="F198" s="1405"/>
      <c r="G198" s="1405"/>
      <c r="H198" s="1405"/>
      <c r="I198" s="1405"/>
      <c r="J198" s="1405"/>
      <c r="K198" s="1405"/>
      <c r="L198" s="1405"/>
      <c r="M198" s="1405"/>
      <c r="N198" s="1405"/>
      <c r="O198" s="1405"/>
    </row>
    <row r="199" spans="1:35">
      <c r="B199" s="1850"/>
      <c r="C199" s="1850"/>
      <c r="D199" s="1850"/>
      <c r="E199" s="1405"/>
      <c r="F199" s="1405"/>
      <c r="G199" s="1405"/>
      <c r="H199" s="1405"/>
      <c r="I199" s="1405"/>
      <c r="J199" s="1405"/>
      <c r="K199" s="1405"/>
      <c r="L199" s="1405"/>
      <c r="M199" s="1405"/>
      <c r="N199" s="1405"/>
      <c r="O199" s="1405"/>
    </row>
    <row r="200" spans="1:35" ht="12.75" customHeight="1">
      <c r="B200" s="1850" t="s">
        <v>1516</v>
      </c>
      <c r="C200" s="1850"/>
      <c r="D200" s="1850"/>
      <c r="E200" s="1405"/>
      <c r="F200" s="1405"/>
      <c r="G200" s="1405"/>
      <c r="H200" s="1405"/>
      <c r="I200" s="1405"/>
      <c r="J200" s="1405"/>
      <c r="K200" s="1405"/>
      <c r="L200" s="1405"/>
      <c r="M200" s="1405"/>
      <c r="N200" s="1405"/>
      <c r="O200" s="1405"/>
    </row>
    <row r="201" spans="1:35">
      <c r="B201" s="1850"/>
      <c r="C201" s="1850"/>
      <c r="D201" s="1850"/>
      <c r="E201" s="1405"/>
      <c r="F201" s="1405"/>
      <c r="G201" s="1405"/>
      <c r="H201" s="1405"/>
      <c r="I201" s="1405"/>
      <c r="J201" s="1405"/>
      <c r="K201" s="1405"/>
      <c r="L201" s="1405"/>
      <c r="M201" s="1405"/>
      <c r="N201" s="1405"/>
      <c r="O201" s="1405"/>
    </row>
    <row r="202" spans="1:35">
      <c r="B202" s="1403"/>
      <c r="C202" s="1403"/>
      <c r="D202" s="1403"/>
    </row>
    <row r="203" spans="1:35" ht="15.75" customHeight="1">
      <c r="A203" s="1267"/>
      <c r="B203" s="1770" t="s">
        <v>934</v>
      </c>
      <c r="C203" s="1267"/>
      <c r="D203" s="1267"/>
      <c r="E203" s="1267"/>
      <c r="F203" s="1267"/>
      <c r="G203" s="1267"/>
      <c r="H203" s="1267"/>
      <c r="I203" s="1267"/>
      <c r="J203" s="1267"/>
      <c r="K203" s="1267"/>
      <c r="L203" s="1267"/>
      <c r="M203" s="1267"/>
      <c r="N203" s="1267"/>
      <c r="O203" s="1267"/>
      <c r="P203" s="1267"/>
      <c r="Q203" s="1267"/>
      <c r="R203" s="1267"/>
      <c r="S203" s="1267"/>
      <c r="T203" s="1267"/>
      <c r="U203" s="1267"/>
      <c r="V203" s="1267"/>
      <c r="W203" s="1267"/>
      <c r="X203" s="1267"/>
      <c r="Y203" s="1267"/>
      <c r="Z203" s="1267"/>
      <c r="AA203" s="1267"/>
      <c r="AB203" s="1267"/>
      <c r="AC203" s="1267"/>
      <c r="AD203" s="1267"/>
      <c r="AE203" s="1267"/>
      <c r="AF203" s="1267"/>
      <c r="AG203" s="1267"/>
      <c r="AH203" s="1267"/>
      <c r="AI203" s="1267"/>
    </row>
    <row r="204" spans="1:35">
      <c r="B204" s="1403"/>
      <c r="C204" s="1403"/>
      <c r="D204" s="1403"/>
    </row>
    <row r="205" spans="1:35" ht="15.75" customHeight="1">
      <c r="B205" s="1406" t="s">
        <v>9</v>
      </c>
      <c r="C205" s="1862" t="s">
        <v>1517</v>
      </c>
      <c r="D205" s="1862"/>
      <c r="X205" s="1762"/>
    </row>
    <row r="206" spans="1:35" ht="15.75" customHeight="1">
      <c r="B206" s="1406"/>
      <c r="C206" s="1862"/>
      <c r="D206" s="1862"/>
      <c r="X206" s="1762"/>
    </row>
    <row r="207" spans="1:35" ht="15.75" customHeight="1">
      <c r="B207" s="1406"/>
      <c r="C207" s="1862"/>
      <c r="D207" s="1862"/>
      <c r="X207" s="1762"/>
    </row>
    <row r="208" spans="1:35">
      <c r="B208" s="1403"/>
      <c r="C208" s="1862"/>
      <c r="D208" s="1862"/>
    </row>
    <row r="209" spans="1:162" ht="15.75" customHeight="1">
      <c r="B209" s="1763" t="s">
        <v>10</v>
      </c>
      <c r="C209" s="1863" t="s">
        <v>1518</v>
      </c>
      <c r="D209" s="1863"/>
    </row>
    <row r="210" spans="1:162">
      <c r="C210" s="1863"/>
      <c r="D210" s="1863"/>
    </row>
    <row r="211" spans="1:162" ht="15.75" customHeight="1">
      <c r="C211" s="1746" t="s">
        <v>85</v>
      </c>
    </row>
    <row r="213" spans="1:162" ht="15.75" customHeight="1">
      <c r="A213" s="1350" t="s">
        <v>493</v>
      </c>
      <c r="B213" s="1764"/>
      <c r="C213" s="1765"/>
      <c r="D213" s="1766"/>
      <c r="E213" s="1766"/>
      <c r="F213" s="1767"/>
      <c r="G213" s="1766"/>
      <c r="H213" s="1766"/>
      <c r="I213" s="1766"/>
      <c r="J213" s="1766"/>
      <c r="K213" s="1766"/>
      <c r="L213" s="1766"/>
      <c r="M213" s="1766"/>
      <c r="N213" s="1766"/>
      <c r="O213" s="1766"/>
      <c r="P213" s="1766"/>
      <c r="Q213" s="1766"/>
      <c r="R213" s="1766"/>
      <c r="S213" s="1766"/>
      <c r="T213" s="1766"/>
      <c r="U213" s="1766"/>
      <c r="V213" s="1766"/>
      <c r="W213" s="1766"/>
      <c r="X213" s="1766"/>
      <c r="Y213" s="1766"/>
      <c r="Z213" s="1766"/>
      <c r="AA213" s="1766"/>
      <c r="AB213" s="1766"/>
      <c r="AC213" s="1766"/>
      <c r="AD213" s="1766"/>
      <c r="AE213" s="1766"/>
      <c r="AF213" s="1766"/>
      <c r="AG213" s="1766"/>
      <c r="AH213" s="1766"/>
      <c r="AI213" s="1766"/>
    </row>
    <row r="215" spans="1:162" ht="15.75" customHeight="1"/>
    <row r="217" spans="1:162" ht="15.75" customHeight="1"/>
    <row r="219" spans="1:162" ht="15.75" customHeight="1"/>
    <row r="221" spans="1:162" s="1746" customFormat="1" ht="15.75" customHeight="1">
      <c r="F221" s="1744"/>
      <c r="G221" s="1744"/>
      <c r="H221" s="1744"/>
      <c r="I221" s="1744"/>
      <c r="J221" s="1744"/>
      <c r="K221" s="1744"/>
      <c r="L221" s="1744"/>
      <c r="M221" s="1744"/>
      <c r="N221" s="1744"/>
      <c r="O221" s="1744"/>
      <c r="P221" s="1744"/>
      <c r="Q221" s="1744"/>
      <c r="R221" s="1744"/>
      <c r="S221" s="1744"/>
      <c r="T221" s="1744"/>
      <c r="U221" s="1744"/>
      <c r="V221" s="1744"/>
      <c r="W221" s="1744"/>
      <c r="X221" s="1744"/>
      <c r="Y221" s="1744"/>
      <c r="AA221" s="1744"/>
      <c r="AC221" s="1744"/>
      <c r="AD221" s="1744"/>
      <c r="AE221" s="1744"/>
      <c r="AF221" s="1744"/>
      <c r="AG221" s="1744"/>
      <c r="AH221" s="1745"/>
      <c r="AI221" s="1745"/>
      <c r="AJ221" s="1744"/>
      <c r="AK221" s="1744"/>
      <c r="AL221" s="1744"/>
      <c r="AM221" s="1744"/>
      <c r="AN221" s="1744"/>
      <c r="AO221" s="1744"/>
      <c r="AP221" s="1744"/>
      <c r="AQ221" s="1744"/>
      <c r="AR221" s="1744"/>
      <c r="AS221" s="1744"/>
      <c r="AT221" s="1744"/>
      <c r="AU221" s="1744"/>
      <c r="AV221" s="1744"/>
      <c r="AW221" s="1744"/>
      <c r="AX221" s="1744"/>
      <c r="AY221" s="1744"/>
      <c r="AZ221" s="1744"/>
      <c r="BA221" s="1744"/>
      <c r="BB221" s="1744"/>
      <c r="BC221" s="1744"/>
      <c r="BD221" s="1744"/>
      <c r="BE221" s="1744"/>
      <c r="BF221" s="1744"/>
      <c r="BG221" s="1744"/>
      <c r="BH221" s="1744"/>
      <c r="BI221" s="1744"/>
      <c r="BJ221" s="1744"/>
      <c r="BK221" s="1744"/>
      <c r="BL221" s="1744"/>
      <c r="BM221" s="1744"/>
      <c r="BN221" s="1744"/>
      <c r="BO221" s="1744"/>
      <c r="BP221" s="1744"/>
      <c r="BQ221" s="1744"/>
      <c r="BR221" s="1744"/>
      <c r="BS221" s="1744"/>
      <c r="BT221" s="1744"/>
      <c r="BU221" s="1744"/>
      <c r="BV221" s="1744"/>
      <c r="BW221" s="1744"/>
      <c r="BX221" s="1744"/>
      <c r="BY221" s="1744"/>
      <c r="BZ221" s="1744"/>
      <c r="CA221" s="1744"/>
      <c r="CB221" s="1744"/>
      <c r="CC221" s="1744"/>
      <c r="CD221" s="1744"/>
      <c r="CE221" s="1744"/>
      <c r="CF221" s="1744"/>
      <c r="CG221" s="1744"/>
      <c r="CH221" s="1744"/>
      <c r="CI221" s="1744"/>
      <c r="CJ221" s="1744"/>
      <c r="CK221" s="1744"/>
      <c r="CL221" s="1744"/>
      <c r="CM221" s="1744"/>
      <c r="CN221" s="1744"/>
      <c r="CO221" s="1744"/>
      <c r="CP221" s="1744"/>
      <c r="CQ221" s="1744"/>
      <c r="CR221" s="1744"/>
      <c r="CS221" s="1744"/>
      <c r="CT221" s="1744"/>
      <c r="CU221" s="1744"/>
      <c r="CV221" s="1744"/>
      <c r="CW221" s="1744"/>
      <c r="CX221" s="1744"/>
      <c r="CY221" s="1744"/>
      <c r="CZ221" s="1744"/>
      <c r="DA221" s="1744"/>
      <c r="DB221" s="1744"/>
      <c r="DC221" s="1744"/>
      <c r="DD221" s="1744"/>
      <c r="DE221" s="1744"/>
      <c r="DF221" s="1744"/>
      <c r="DG221" s="1744"/>
      <c r="DH221" s="1744"/>
      <c r="DI221" s="1744"/>
      <c r="DJ221" s="1744"/>
      <c r="DK221" s="1744"/>
      <c r="DL221" s="1744"/>
      <c r="DM221" s="1744"/>
      <c r="DN221" s="1744"/>
      <c r="DO221" s="1744"/>
      <c r="DP221" s="1744"/>
      <c r="DQ221" s="1744"/>
      <c r="DR221" s="1744"/>
      <c r="DS221" s="1744"/>
      <c r="DT221" s="1744"/>
      <c r="DU221" s="1744"/>
      <c r="DV221" s="1744"/>
      <c r="DW221" s="1744"/>
      <c r="DX221" s="1744"/>
      <c r="DY221" s="1744"/>
      <c r="DZ221" s="1744"/>
      <c r="EA221" s="1744"/>
      <c r="EB221" s="1744"/>
      <c r="EC221" s="1744"/>
      <c r="ED221" s="1744"/>
      <c r="EE221" s="1744"/>
      <c r="EF221" s="1744"/>
      <c r="EG221" s="1744"/>
      <c r="EH221" s="1744"/>
      <c r="EI221" s="1744"/>
      <c r="EJ221" s="1744"/>
      <c r="EK221" s="1744"/>
      <c r="EL221" s="1744"/>
      <c r="EM221" s="1744"/>
      <c r="EN221" s="1744"/>
      <c r="EO221" s="1744"/>
      <c r="EP221" s="1744"/>
      <c r="EQ221" s="1744"/>
      <c r="ER221" s="1744"/>
      <c r="ES221" s="1744"/>
      <c r="ET221" s="1744"/>
      <c r="EU221" s="1744"/>
      <c r="EV221" s="1744"/>
      <c r="EW221" s="1744"/>
      <c r="EX221" s="1744"/>
      <c r="EY221" s="1744"/>
      <c r="EZ221" s="1744"/>
      <c r="FA221" s="1744"/>
      <c r="FB221" s="1744"/>
      <c r="FC221" s="1744"/>
      <c r="FD221" s="1744"/>
      <c r="FE221" s="1744"/>
      <c r="FF221" s="1744"/>
    </row>
    <row r="223" spans="1:162" s="1746" customFormat="1" ht="15.75" customHeight="1">
      <c r="F223" s="1744"/>
      <c r="G223" s="1744"/>
      <c r="H223" s="1744"/>
      <c r="I223" s="1744"/>
      <c r="J223" s="1744"/>
      <c r="K223" s="1744"/>
      <c r="L223" s="1744"/>
      <c r="M223" s="1744"/>
      <c r="N223" s="1744"/>
      <c r="O223" s="1744"/>
      <c r="P223" s="1744"/>
      <c r="Q223" s="1744"/>
      <c r="R223" s="1744"/>
      <c r="S223" s="1744"/>
      <c r="T223" s="1744"/>
      <c r="U223" s="1744"/>
      <c r="V223" s="1744"/>
      <c r="W223" s="1744"/>
      <c r="X223" s="1744"/>
      <c r="Y223" s="1744"/>
      <c r="AA223" s="1744"/>
      <c r="AC223" s="1744"/>
      <c r="AD223" s="1744"/>
      <c r="AE223" s="1744"/>
      <c r="AF223" s="1744"/>
      <c r="AG223" s="1744"/>
      <c r="AH223" s="1745"/>
      <c r="AI223" s="1745"/>
      <c r="AJ223" s="1744"/>
      <c r="AK223" s="1744"/>
      <c r="AL223" s="1744"/>
      <c r="AM223" s="1744"/>
      <c r="AN223" s="1744"/>
      <c r="AO223" s="1744"/>
      <c r="AP223" s="1744"/>
      <c r="AQ223" s="1744"/>
      <c r="AR223" s="1744"/>
      <c r="AS223" s="1744"/>
      <c r="AT223" s="1744"/>
      <c r="AU223" s="1744"/>
      <c r="AV223" s="1744"/>
      <c r="AW223" s="1744"/>
      <c r="AX223" s="1744"/>
      <c r="AY223" s="1744"/>
      <c r="AZ223" s="1744"/>
      <c r="BA223" s="1744"/>
      <c r="BB223" s="1744"/>
      <c r="BC223" s="1744"/>
      <c r="BD223" s="1744"/>
      <c r="BE223" s="1744"/>
      <c r="BF223" s="1744"/>
      <c r="BG223" s="1744"/>
      <c r="BH223" s="1744"/>
      <c r="BI223" s="1744"/>
      <c r="BJ223" s="1744"/>
      <c r="BK223" s="1744"/>
      <c r="BL223" s="1744"/>
      <c r="BM223" s="1744"/>
      <c r="BN223" s="1744"/>
      <c r="BO223" s="1744"/>
      <c r="BP223" s="1744"/>
      <c r="BQ223" s="1744"/>
      <c r="BR223" s="1744"/>
      <c r="BS223" s="1744"/>
      <c r="BT223" s="1744"/>
      <c r="BU223" s="1744"/>
      <c r="BV223" s="1744"/>
      <c r="BW223" s="1744"/>
      <c r="BX223" s="1744"/>
      <c r="BY223" s="1744"/>
      <c r="BZ223" s="1744"/>
      <c r="CA223" s="1744"/>
      <c r="CB223" s="1744"/>
      <c r="CC223" s="1744"/>
      <c r="CD223" s="1744"/>
      <c r="CE223" s="1744"/>
      <c r="CF223" s="1744"/>
      <c r="CG223" s="1744"/>
      <c r="CH223" s="1744"/>
      <c r="CI223" s="1744"/>
      <c r="CJ223" s="1744"/>
      <c r="CK223" s="1744"/>
      <c r="CL223" s="1744"/>
      <c r="CM223" s="1744"/>
      <c r="CN223" s="1744"/>
      <c r="CO223" s="1744"/>
      <c r="CP223" s="1744"/>
      <c r="CQ223" s="1744"/>
      <c r="CR223" s="1744"/>
      <c r="CS223" s="1744"/>
      <c r="CT223" s="1744"/>
      <c r="CU223" s="1744"/>
      <c r="CV223" s="1744"/>
      <c r="CW223" s="1744"/>
      <c r="CX223" s="1744"/>
      <c r="CY223" s="1744"/>
      <c r="CZ223" s="1744"/>
      <c r="DA223" s="1744"/>
      <c r="DB223" s="1744"/>
      <c r="DC223" s="1744"/>
      <c r="DD223" s="1744"/>
      <c r="DE223" s="1744"/>
      <c r="DF223" s="1744"/>
      <c r="DG223" s="1744"/>
      <c r="DH223" s="1744"/>
      <c r="DI223" s="1744"/>
      <c r="DJ223" s="1744"/>
      <c r="DK223" s="1744"/>
      <c r="DL223" s="1744"/>
      <c r="DM223" s="1744"/>
      <c r="DN223" s="1744"/>
      <c r="DO223" s="1744"/>
      <c r="DP223" s="1744"/>
      <c r="DQ223" s="1744"/>
      <c r="DR223" s="1744"/>
      <c r="DS223" s="1744"/>
      <c r="DT223" s="1744"/>
      <c r="DU223" s="1744"/>
      <c r="DV223" s="1744"/>
      <c r="DW223" s="1744"/>
      <c r="DX223" s="1744"/>
      <c r="DY223" s="1744"/>
      <c r="DZ223" s="1744"/>
      <c r="EA223" s="1744"/>
      <c r="EB223" s="1744"/>
      <c r="EC223" s="1744"/>
      <c r="ED223" s="1744"/>
      <c r="EE223" s="1744"/>
      <c r="EF223" s="1744"/>
      <c r="EG223" s="1744"/>
      <c r="EH223" s="1744"/>
      <c r="EI223" s="1744"/>
      <c r="EJ223" s="1744"/>
      <c r="EK223" s="1744"/>
      <c r="EL223" s="1744"/>
      <c r="EM223" s="1744"/>
      <c r="EN223" s="1744"/>
      <c r="EO223" s="1744"/>
      <c r="EP223" s="1744"/>
      <c r="EQ223" s="1744"/>
      <c r="ER223" s="1744"/>
      <c r="ES223" s="1744"/>
      <c r="ET223" s="1744"/>
      <c r="EU223" s="1744"/>
      <c r="EV223" s="1744"/>
      <c r="EW223" s="1744"/>
      <c r="EX223" s="1744"/>
      <c r="EY223" s="1744"/>
      <c r="EZ223" s="1744"/>
      <c r="FA223" s="1744"/>
      <c r="FB223" s="1744"/>
      <c r="FC223" s="1744"/>
      <c r="FD223" s="1744"/>
      <c r="FE223" s="1744"/>
      <c r="FF223" s="1744"/>
    </row>
    <row r="225" spans="6:162" s="1746" customFormat="1" ht="15.75" customHeight="1">
      <c r="F225" s="1744"/>
      <c r="G225" s="1744"/>
      <c r="H225" s="1744"/>
      <c r="I225" s="1744"/>
      <c r="J225" s="1744"/>
      <c r="K225" s="1744"/>
      <c r="L225" s="1744"/>
      <c r="M225" s="1744"/>
      <c r="N225" s="1744"/>
      <c r="O225" s="1744"/>
      <c r="P225" s="1744"/>
      <c r="Q225" s="1744"/>
      <c r="R225" s="1744"/>
      <c r="S225" s="1744"/>
      <c r="T225" s="1744"/>
      <c r="U225" s="1744"/>
      <c r="V225" s="1744"/>
      <c r="W225" s="1744"/>
      <c r="X225" s="1744"/>
      <c r="Y225" s="1744"/>
      <c r="AA225" s="1744"/>
      <c r="AC225" s="1744"/>
      <c r="AD225" s="1744"/>
      <c r="AE225" s="1744"/>
      <c r="AF225" s="1744"/>
      <c r="AG225" s="1744"/>
      <c r="AH225" s="1745"/>
      <c r="AI225" s="1745"/>
      <c r="AJ225" s="1744"/>
      <c r="AK225" s="1744"/>
      <c r="AL225" s="1744"/>
      <c r="AM225" s="1744"/>
      <c r="AN225" s="1744"/>
      <c r="AO225" s="1744"/>
      <c r="AP225" s="1744"/>
      <c r="AQ225" s="1744"/>
      <c r="AR225" s="1744"/>
      <c r="AS225" s="1744"/>
      <c r="AT225" s="1744"/>
      <c r="AU225" s="1744"/>
      <c r="AV225" s="1744"/>
      <c r="AW225" s="1744"/>
      <c r="AX225" s="1744"/>
      <c r="AY225" s="1744"/>
      <c r="AZ225" s="1744"/>
      <c r="BA225" s="1744"/>
      <c r="BB225" s="1744"/>
      <c r="BC225" s="1744"/>
      <c r="BD225" s="1744"/>
      <c r="BE225" s="1744"/>
      <c r="BF225" s="1744"/>
      <c r="BG225" s="1744"/>
      <c r="BH225" s="1744"/>
      <c r="BI225" s="1744"/>
      <c r="BJ225" s="1744"/>
      <c r="BK225" s="1744"/>
      <c r="BL225" s="1744"/>
      <c r="BM225" s="1744"/>
      <c r="BN225" s="1744"/>
      <c r="BO225" s="1744"/>
      <c r="BP225" s="1744"/>
      <c r="BQ225" s="1744"/>
      <c r="BR225" s="1744"/>
      <c r="BS225" s="1744"/>
      <c r="BT225" s="1744"/>
      <c r="BU225" s="1744"/>
      <c r="BV225" s="1744"/>
      <c r="BW225" s="1744"/>
      <c r="BX225" s="1744"/>
      <c r="BY225" s="1744"/>
      <c r="BZ225" s="1744"/>
      <c r="CA225" s="1744"/>
      <c r="CB225" s="1744"/>
      <c r="CC225" s="1744"/>
      <c r="CD225" s="1744"/>
      <c r="CE225" s="1744"/>
      <c r="CF225" s="1744"/>
      <c r="CG225" s="1744"/>
      <c r="CH225" s="1744"/>
      <c r="CI225" s="1744"/>
      <c r="CJ225" s="1744"/>
      <c r="CK225" s="1744"/>
      <c r="CL225" s="1744"/>
      <c r="CM225" s="1744"/>
      <c r="CN225" s="1744"/>
      <c r="CO225" s="1744"/>
      <c r="CP225" s="1744"/>
      <c r="CQ225" s="1744"/>
      <c r="CR225" s="1744"/>
      <c r="CS225" s="1744"/>
      <c r="CT225" s="1744"/>
      <c r="CU225" s="1744"/>
      <c r="CV225" s="1744"/>
      <c r="CW225" s="1744"/>
      <c r="CX225" s="1744"/>
      <c r="CY225" s="1744"/>
      <c r="CZ225" s="1744"/>
      <c r="DA225" s="1744"/>
      <c r="DB225" s="1744"/>
      <c r="DC225" s="1744"/>
      <c r="DD225" s="1744"/>
      <c r="DE225" s="1744"/>
      <c r="DF225" s="1744"/>
      <c r="DG225" s="1744"/>
      <c r="DH225" s="1744"/>
      <c r="DI225" s="1744"/>
      <c r="DJ225" s="1744"/>
      <c r="DK225" s="1744"/>
      <c r="DL225" s="1744"/>
      <c r="DM225" s="1744"/>
      <c r="DN225" s="1744"/>
      <c r="DO225" s="1744"/>
      <c r="DP225" s="1744"/>
      <c r="DQ225" s="1744"/>
      <c r="DR225" s="1744"/>
      <c r="DS225" s="1744"/>
      <c r="DT225" s="1744"/>
      <c r="DU225" s="1744"/>
      <c r="DV225" s="1744"/>
      <c r="DW225" s="1744"/>
      <c r="DX225" s="1744"/>
      <c r="DY225" s="1744"/>
      <c r="DZ225" s="1744"/>
      <c r="EA225" s="1744"/>
      <c r="EB225" s="1744"/>
      <c r="EC225" s="1744"/>
      <c r="ED225" s="1744"/>
      <c r="EE225" s="1744"/>
      <c r="EF225" s="1744"/>
      <c r="EG225" s="1744"/>
      <c r="EH225" s="1744"/>
      <c r="EI225" s="1744"/>
      <c r="EJ225" s="1744"/>
      <c r="EK225" s="1744"/>
      <c r="EL225" s="1744"/>
      <c r="EM225" s="1744"/>
      <c r="EN225" s="1744"/>
      <c r="EO225" s="1744"/>
      <c r="EP225" s="1744"/>
      <c r="EQ225" s="1744"/>
      <c r="ER225" s="1744"/>
      <c r="ES225" s="1744"/>
      <c r="ET225" s="1744"/>
      <c r="EU225" s="1744"/>
      <c r="EV225" s="1744"/>
      <c r="EW225" s="1744"/>
      <c r="EX225" s="1744"/>
      <c r="EY225" s="1744"/>
      <c r="EZ225" s="1744"/>
      <c r="FA225" s="1744"/>
      <c r="FB225" s="1744"/>
      <c r="FC225" s="1744"/>
      <c r="FD225" s="1744"/>
      <c r="FE225" s="1744"/>
      <c r="FF225" s="1744"/>
    </row>
    <row r="227" spans="6:162" s="1746" customFormat="1" ht="15.75" customHeight="1">
      <c r="F227" s="1744"/>
      <c r="G227" s="1744"/>
      <c r="H227" s="1744"/>
      <c r="I227" s="1744"/>
      <c r="J227" s="1744"/>
      <c r="K227" s="1744"/>
      <c r="L227" s="1744"/>
      <c r="M227" s="1744"/>
      <c r="N227" s="1744"/>
      <c r="O227" s="1744"/>
      <c r="P227" s="1744"/>
      <c r="Q227" s="1744"/>
      <c r="R227" s="1744"/>
      <c r="S227" s="1744"/>
      <c r="T227" s="1744"/>
      <c r="U227" s="1744"/>
      <c r="V227" s="1744"/>
      <c r="W227" s="1744"/>
      <c r="X227" s="1744"/>
      <c r="Y227" s="1744"/>
      <c r="AA227" s="1744"/>
      <c r="AC227" s="1744"/>
      <c r="AD227" s="1744"/>
      <c r="AE227" s="1744"/>
      <c r="AF227" s="1744"/>
      <c r="AG227" s="1744"/>
      <c r="AH227" s="1745"/>
      <c r="AI227" s="1745"/>
      <c r="AJ227" s="1744"/>
      <c r="AK227" s="1744"/>
      <c r="AL227" s="1744"/>
      <c r="AM227" s="1744"/>
      <c r="AN227" s="1744"/>
      <c r="AO227" s="1744"/>
      <c r="AP227" s="1744"/>
      <c r="AQ227" s="1744"/>
      <c r="AR227" s="1744"/>
      <c r="AS227" s="1744"/>
      <c r="AT227" s="1744"/>
      <c r="AU227" s="1744"/>
      <c r="AV227" s="1744"/>
      <c r="AW227" s="1744"/>
      <c r="AX227" s="1744"/>
      <c r="AY227" s="1744"/>
      <c r="AZ227" s="1744"/>
      <c r="BA227" s="1744"/>
      <c r="BB227" s="1744"/>
      <c r="BC227" s="1744"/>
      <c r="BD227" s="1744"/>
      <c r="BE227" s="1744"/>
      <c r="BF227" s="1744"/>
      <c r="BG227" s="1744"/>
      <c r="BH227" s="1744"/>
      <c r="BI227" s="1744"/>
      <c r="BJ227" s="1744"/>
      <c r="BK227" s="1744"/>
      <c r="BL227" s="1744"/>
      <c r="BM227" s="1744"/>
      <c r="BN227" s="1744"/>
      <c r="BO227" s="1744"/>
      <c r="BP227" s="1744"/>
      <c r="BQ227" s="1744"/>
      <c r="BR227" s="1744"/>
      <c r="BS227" s="1744"/>
      <c r="BT227" s="1744"/>
      <c r="BU227" s="1744"/>
      <c r="BV227" s="1744"/>
      <c r="BW227" s="1744"/>
      <c r="BX227" s="1744"/>
      <c r="BY227" s="1744"/>
      <c r="BZ227" s="1744"/>
      <c r="CA227" s="1744"/>
      <c r="CB227" s="1744"/>
      <c r="CC227" s="1744"/>
      <c r="CD227" s="1744"/>
      <c r="CE227" s="1744"/>
      <c r="CF227" s="1744"/>
      <c r="CG227" s="1744"/>
      <c r="CH227" s="1744"/>
      <c r="CI227" s="1744"/>
      <c r="CJ227" s="1744"/>
      <c r="CK227" s="1744"/>
      <c r="CL227" s="1744"/>
      <c r="CM227" s="1744"/>
      <c r="CN227" s="1744"/>
      <c r="CO227" s="1744"/>
      <c r="CP227" s="1744"/>
      <c r="CQ227" s="1744"/>
      <c r="CR227" s="1744"/>
      <c r="CS227" s="1744"/>
      <c r="CT227" s="1744"/>
      <c r="CU227" s="1744"/>
      <c r="CV227" s="1744"/>
      <c r="CW227" s="1744"/>
      <c r="CX227" s="1744"/>
      <c r="CY227" s="1744"/>
      <c r="CZ227" s="1744"/>
      <c r="DA227" s="1744"/>
      <c r="DB227" s="1744"/>
      <c r="DC227" s="1744"/>
      <c r="DD227" s="1744"/>
      <c r="DE227" s="1744"/>
      <c r="DF227" s="1744"/>
      <c r="DG227" s="1744"/>
      <c r="DH227" s="1744"/>
      <c r="DI227" s="1744"/>
      <c r="DJ227" s="1744"/>
      <c r="DK227" s="1744"/>
      <c r="DL227" s="1744"/>
      <c r="DM227" s="1744"/>
      <c r="DN227" s="1744"/>
      <c r="DO227" s="1744"/>
      <c r="DP227" s="1744"/>
      <c r="DQ227" s="1744"/>
      <c r="DR227" s="1744"/>
      <c r="DS227" s="1744"/>
      <c r="DT227" s="1744"/>
      <c r="DU227" s="1744"/>
      <c r="DV227" s="1744"/>
      <c r="DW227" s="1744"/>
      <c r="DX227" s="1744"/>
      <c r="DY227" s="1744"/>
      <c r="DZ227" s="1744"/>
      <c r="EA227" s="1744"/>
      <c r="EB227" s="1744"/>
      <c r="EC227" s="1744"/>
      <c r="ED227" s="1744"/>
      <c r="EE227" s="1744"/>
      <c r="EF227" s="1744"/>
      <c r="EG227" s="1744"/>
      <c r="EH227" s="1744"/>
      <c r="EI227" s="1744"/>
      <c r="EJ227" s="1744"/>
      <c r="EK227" s="1744"/>
      <c r="EL227" s="1744"/>
      <c r="EM227" s="1744"/>
      <c r="EN227" s="1744"/>
      <c r="EO227" s="1744"/>
      <c r="EP227" s="1744"/>
      <c r="EQ227" s="1744"/>
      <c r="ER227" s="1744"/>
      <c r="ES227" s="1744"/>
      <c r="ET227" s="1744"/>
      <c r="EU227" s="1744"/>
      <c r="EV227" s="1744"/>
      <c r="EW227" s="1744"/>
      <c r="EX227" s="1744"/>
      <c r="EY227" s="1744"/>
      <c r="EZ227" s="1744"/>
      <c r="FA227" s="1744"/>
      <c r="FB227" s="1744"/>
      <c r="FC227" s="1744"/>
      <c r="FD227" s="1744"/>
      <c r="FE227" s="1744"/>
      <c r="FF227" s="1744"/>
    </row>
    <row r="229" spans="6:162" s="1746" customFormat="1" ht="15.75" customHeight="1">
      <c r="F229" s="1744"/>
      <c r="G229" s="1744"/>
      <c r="H229" s="1744"/>
      <c r="I229" s="1744"/>
      <c r="J229" s="1744"/>
      <c r="K229" s="1744"/>
      <c r="L229" s="1744"/>
      <c r="M229" s="1744"/>
      <c r="N229" s="1744"/>
      <c r="O229" s="1744"/>
      <c r="P229" s="1744"/>
      <c r="Q229" s="1744"/>
      <c r="R229" s="1744"/>
      <c r="S229" s="1744"/>
      <c r="T229" s="1744"/>
      <c r="U229" s="1744"/>
      <c r="V229" s="1744"/>
      <c r="W229" s="1744"/>
      <c r="X229" s="1744"/>
      <c r="Y229" s="1744"/>
      <c r="AA229" s="1744"/>
      <c r="AC229" s="1744"/>
      <c r="AD229" s="1744"/>
      <c r="AE229" s="1744"/>
      <c r="AF229" s="1744"/>
      <c r="AG229" s="1744"/>
      <c r="AH229" s="1745"/>
      <c r="AI229" s="1745"/>
      <c r="AJ229" s="1744"/>
      <c r="AK229" s="1744"/>
      <c r="AL229" s="1744"/>
      <c r="AM229" s="1744"/>
      <c r="AN229" s="1744"/>
      <c r="AO229" s="1744"/>
      <c r="AP229" s="1744"/>
      <c r="AQ229" s="1744"/>
      <c r="AR229" s="1744"/>
      <c r="AS229" s="1744"/>
      <c r="AT229" s="1744"/>
      <c r="AU229" s="1744"/>
      <c r="AV229" s="1744"/>
      <c r="AW229" s="1744"/>
      <c r="AX229" s="1744"/>
      <c r="AY229" s="1744"/>
      <c r="AZ229" s="1744"/>
      <c r="BA229" s="1744"/>
      <c r="BB229" s="1744"/>
      <c r="BC229" s="1744"/>
      <c r="BD229" s="1744"/>
      <c r="BE229" s="1744"/>
      <c r="BF229" s="1744"/>
      <c r="BG229" s="1744"/>
      <c r="BH229" s="1744"/>
      <c r="BI229" s="1744"/>
      <c r="BJ229" s="1744"/>
      <c r="BK229" s="1744"/>
      <c r="BL229" s="1744"/>
      <c r="BM229" s="1744"/>
      <c r="BN229" s="1744"/>
      <c r="BO229" s="1744"/>
      <c r="BP229" s="1744"/>
      <c r="BQ229" s="1744"/>
      <c r="BR229" s="1744"/>
      <c r="BS229" s="1744"/>
      <c r="BT229" s="1744"/>
      <c r="BU229" s="1744"/>
      <c r="BV229" s="1744"/>
      <c r="BW229" s="1744"/>
      <c r="BX229" s="1744"/>
      <c r="BY229" s="1744"/>
      <c r="BZ229" s="1744"/>
      <c r="CA229" s="1744"/>
      <c r="CB229" s="1744"/>
      <c r="CC229" s="1744"/>
      <c r="CD229" s="1744"/>
      <c r="CE229" s="1744"/>
      <c r="CF229" s="1744"/>
      <c r="CG229" s="1744"/>
      <c r="CH229" s="1744"/>
      <c r="CI229" s="1744"/>
      <c r="CJ229" s="1744"/>
      <c r="CK229" s="1744"/>
      <c r="CL229" s="1744"/>
      <c r="CM229" s="1744"/>
      <c r="CN229" s="1744"/>
      <c r="CO229" s="1744"/>
      <c r="CP229" s="1744"/>
      <c r="CQ229" s="1744"/>
      <c r="CR229" s="1744"/>
      <c r="CS229" s="1744"/>
      <c r="CT229" s="1744"/>
      <c r="CU229" s="1744"/>
      <c r="CV229" s="1744"/>
      <c r="CW229" s="1744"/>
      <c r="CX229" s="1744"/>
      <c r="CY229" s="1744"/>
      <c r="CZ229" s="1744"/>
      <c r="DA229" s="1744"/>
      <c r="DB229" s="1744"/>
      <c r="DC229" s="1744"/>
      <c r="DD229" s="1744"/>
      <c r="DE229" s="1744"/>
      <c r="DF229" s="1744"/>
      <c r="DG229" s="1744"/>
      <c r="DH229" s="1744"/>
      <c r="DI229" s="1744"/>
      <c r="DJ229" s="1744"/>
      <c r="DK229" s="1744"/>
      <c r="DL229" s="1744"/>
      <c r="DM229" s="1744"/>
      <c r="DN229" s="1744"/>
      <c r="DO229" s="1744"/>
      <c r="DP229" s="1744"/>
      <c r="DQ229" s="1744"/>
      <c r="DR229" s="1744"/>
      <c r="DS229" s="1744"/>
      <c r="DT229" s="1744"/>
      <c r="DU229" s="1744"/>
      <c r="DV229" s="1744"/>
      <c r="DW229" s="1744"/>
      <c r="DX229" s="1744"/>
      <c r="DY229" s="1744"/>
      <c r="DZ229" s="1744"/>
      <c r="EA229" s="1744"/>
      <c r="EB229" s="1744"/>
      <c r="EC229" s="1744"/>
      <c r="ED229" s="1744"/>
      <c r="EE229" s="1744"/>
      <c r="EF229" s="1744"/>
      <c r="EG229" s="1744"/>
      <c r="EH229" s="1744"/>
      <c r="EI229" s="1744"/>
      <c r="EJ229" s="1744"/>
      <c r="EK229" s="1744"/>
      <c r="EL229" s="1744"/>
      <c r="EM229" s="1744"/>
      <c r="EN229" s="1744"/>
      <c r="EO229" s="1744"/>
      <c r="EP229" s="1744"/>
      <c r="EQ229" s="1744"/>
      <c r="ER229" s="1744"/>
      <c r="ES229" s="1744"/>
      <c r="ET229" s="1744"/>
      <c r="EU229" s="1744"/>
      <c r="EV229" s="1744"/>
      <c r="EW229" s="1744"/>
      <c r="EX229" s="1744"/>
      <c r="EY229" s="1744"/>
      <c r="EZ229" s="1744"/>
      <c r="FA229" s="1744"/>
      <c r="FB229" s="1744"/>
      <c r="FC229" s="1744"/>
      <c r="FD229" s="1744"/>
      <c r="FE229" s="1744"/>
      <c r="FF229" s="1744"/>
    </row>
    <row r="231" spans="6:162" s="1746" customFormat="1" ht="15.75" customHeight="1">
      <c r="F231" s="1744"/>
      <c r="G231" s="1744"/>
      <c r="H231" s="1744"/>
      <c r="I231" s="1744"/>
      <c r="J231" s="1744"/>
      <c r="K231" s="1744"/>
      <c r="L231" s="1744"/>
      <c r="M231" s="1744"/>
      <c r="N231" s="1744"/>
      <c r="O231" s="1744"/>
      <c r="P231" s="1744"/>
      <c r="Q231" s="1744"/>
      <c r="R231" s="1744"/>
      <c r="S231" s="1744"/>
      <c r="T231" s="1744"/>
      <c r="U231" s="1744"/>
      <c r="V231" s="1744"/>
      <c r="W231" s="1744"/>
      <c r="X231" s="1744"/>
      <c r="Y231" s="1744"/>
      <c r="AA231" s="1744"/>
      <c r="AC231" s="1744"/>
      <c r="AD231" s="1744"/>
      <c r="AE231" s="1744"/>
      <c r="AF231" s="1744"/>
      <c r="AG231" s="1744"/>
      <c r="AH231" s="1745"/>
      <c r="AI231" s="1745"/>
      <c r="AJ231" s="1744"/>
      <c r="AK231" s="1744"/>
      <c r="AL231" s="1744"/>
      <c r="AM231" s="1744"/>
      <c r="AN231" s="1744"/>
      <c r="AO231" s="1744"/>
      <c r="AP231" s="1744"/>
      <c r="AQ231" s="1744"/>
      <c r="AR231" s="1744"/>
      <c r="AS231" s="1744"/>
      <c r="AT231" s="1744"/>
      <c r="AU231" s="1744"/>
      <c r="AV231" s="1744"/>
      <c r="AW231" s="1744"/>
      <c r="AX231" s="1744"/>
      <c r="AY231" s="1744"/>
      <c r="AZ231" s="1744"/>
      <c r="BA231" s="1744"/>
      <c r="BB231" s="1744"/>
      <c r="BC231" s="1744"/>
      <c r="BD231" s="1744"/>
      <c r="BE231" s="1744"/>
      <c r="BF231" s="1744"/>
      <c r="BG231" s="1744"/>
      <c r="BH231" s="1744"/>
      <c r="BI231" s="1744"/>
      <c r="BJ231" s="1744"/>
      <c r="BK231" s="1744"/>
      <c r="BL231" s="1744"/>
      <c r="BM231" s="1744"/>
      <c r="BN231" s="1744"/>
      <c r="BO231" s="1744"/>
      <c r="BP231" s="1744"/>
      <c r="BQ231" s="1744"/>
      <c r="BR231" s="1744"/>
      <c r="BS231" s="1744"/>
      <c r="BT231" s="1744"/>
      <c r="BU231" s="1744"/>
      <c r="BV231" s="1744"/>
      <c r="BW231" s="1744"/>
      <c r="BX231" s="1744"/>
      <c r="BY231" s="1744"/>
      <c r="BZ231" s="1744"/>
      <c r="CA231" s="1744"/>
      <c r="CB231" s="1744"/>
      <c r="CC231" s="1744"/>
      <c r="CD231" s="1744"/>
      <c r="CE231" s="1744"/>
      <c r="CF231" s="1744"/>
      <c r="CG231" s="1744"/>
      <c r="CH231" s="1744"/>
      <c r="CI231" s="1744"/>
      <c r="CJ231" s="1744"/>
      <c r="CK231" s="1744"/>
      <c r="CL231" s="1744"/>
      <c r="CM231" s="1744"/>
      <c r="CN231" s="1744"/>
      <c r="CO231" s="1744"/>
      <c r="CP231" s="1744"/>
      <c r="CQ231" s="1744"/>
      <c r="CR231" s="1744"/>
      <c r="CS231" s="1744"/>
      <c r="CT231" s="1744"/>
      <c r="CU231" s="1744"/>
      <c r="CV231" s="1744"/>
      <c r="CW231" s="1744"/>
      <c r="CX231" s="1744"/>
      <c r="CY231" s="1744"/>
      <c r="CZ231" s="1744"/>
      <c r="DA231" s="1744"/>
      <c r="DB231" s="1744"/>
      <c r="DC231" s="1744"/>
      <c r="DD231" s="1744"/>
      <c r="DE231" s="1744"/>
      <c r="DF231" s="1744"/>
      <c r="DG231" s="1744"/>
      <c r="DH231" s="1744"/>
      <c r="DI231" s="1744"/>
      <c r="DJ231" s="1744"/>
      <c r="DK231" s="1744"/>
      <c r="DL231" s="1744"/>
      <c r="DM231" s="1744"/>
      <c r="DN231" s="1744"/>
      <c r="DO231" s="1744"/>
      <c r="DP231" s="1744"/>
      <c r="DQ231" s="1744"/>
      <c r="DR231" s="1744"/>
      <c r="DS231" s="1744"/>
      <c r="DT231" s="1744"/>
      <c r="DU231" s="1744"/>
      <c r="DV231" s="1744"/>
      <c r="DW231" s="1744"/>
      <c r="DX231" s="1744"/>
      <c r="DY231" s="1744"/>
      <c r="DZ231" s="1744"/>
      <c r="EA231" s="1744"/>
      <c r="EB231" s="1744"/>
      <c r="EC231" s="1744"/>
      <c r="ED231" s="1744"/>
      <c r="EE231" s="1744"/>
      <c r="EF231" s="1744"/>
      <c r="EG231" s="1744"/>
      <c r="EH231" s="1744"/>
      <c r="EI231" s="1744"/>
      <c r="EJ231" s="1744"/>
      <c r="EK231" s="1744"/>
      <c r="EL231" s="1744"/>
      <c r="EM231" s="1744"/>
      <c r="EN231" s="1744"/>
      <c r="EO231" s="1744"/>
      <c r="EP231" s="1744"/>
      <c r="EQ231" s="1744"/>
      <c r="ER231" s="1744"/>
      <c r="ES231" s="1744"/>
      <c r="ET231" s="1744"/>
      <c r="EU231" s="1744"/>
      <c r="EV231" s="1744"/>
      <c r="EW231" s="1744"/>
      <c r="EX231" s="1744"/>
      <c r="EY231" s="1744"/>
      <c r="EZ231" s="1744"/>
      <c r="FA231" s="1744"/>
      <c r="FB231" s="1744"/>
      <c r="FC231" s="1744"/>
      <c r="FD231" s="1744"/>
      <c r="FE231" s="1744"/>
      <c r="FF231" s="1744"/>
    </row>
    <row r="233" spans="6:162" s="1746" customFormat="1" ht="15.75" customHeight="1">
      <c r="F233" s="1744"/>
      <c r="G233" s="1744"/>
      <c r="H233" s="1744"/>
      <c r="I233" s="1744"/>
      <c r="J233" s="1744"/>
      <c r="K233" s="1744"/>
      <c r="L233" s="1744"/>
      <c r="M233" s="1744"/>
      <c r="N233" s="1744"/>
      <c r="O233" s="1744"/>
      <c r="P233" s="1744"/>
      <c r="Q233" s="1744"/>
      <c r="R233" s="1744"/>
      <c r="S233" s="1744"/>
      <c r="T233" s="1744"/>
      <c r="U233" s="1744"/>
      <c r="V233" s="1744"/>
      <c r="W233" s="1744"/>
      <c r="X233" s="1744"/>
      <c r="Y233" s="1744"/>
      <c r="AA233" s="1744"/>
      <c r="AC233" s="1744"/>
      <c r="AD233" s="1744"/>
      <c r="AE233" s="1744"/>
      <c r="AF233" s="1744"/>
      <c r="AG233" s="1744"/>
      <c r="AH233" s="1745"/>
      <c r="AI233" s="1745"/>
      <c r="AJ233" s="1744"/>
      <c r="AK233" s="1744"/>
      <c r="AL233" s="1744"/>
      <c r="AM233" s="1744"/>
      <c r="AN233" s="1744"/>
      <c r="AO233" s="1744"/>
      <c r="AP233" s="1744"/>
      <c r="AQ233" s="1744"/>
      <c r="AR233" s="1744"/>
      <c r="AS233" s="1744"/>
      <c r="AT233" s="1744"/>
      <c r="AU233" s="1744"/>
      <c r="AV233" s="1744"/>
      <c r="AW233" s="1744"/>
      <c r="AX233" s="1744"/>
      <c r="AY233" s="1744"/>
      <c r="AZ233" s="1744"/>
      <c r="BA233" s="1744"/>
      <c r="BB233" s="1744"/>
      <c r="BC233" s="1744"/>
      <c r="BD233" s="1744"/>
      <c r="BE233" s="1744"/>
      <c r="BF233" s="1744"/>
      <c r="BG233" s="1744"/>
      <c r="BH233" s="1744"/>
      <c r="BI233" s="1744"/>
      <c r="BJ233" s="1744"/>
      <c r="BK233" s="1744"/>
      <c r="BL233" s="1744"/>
      <c r="BM233" s="1744"/>
      <c r="BN233" s="1744"/>
      <c r="BO233" s="1744"/>
      <c r="BP233" s="1744"/>
      <c r="BQ233" s="1744"/>
      <c r="BR233" s="1744"/>
      <c r="BS233" s="1744"/>
      <c r="BT233" s="1744"/>
      <c r="BU233" s="1744"/>
      <c r="BV233" s="1744"/>
      <c r="BW233" s="1744"/>
      <c r="BX233" s="1744"/>
      <c r="BY233" s="1744"/>
      <c r="BZ233" s="1744"/>
      <c r="CA233" s="1744"/>
      <c r="CB233" s="1744"/>
      <c r="CC233" s="1744"/>
      <c r="CD233" s="1744"/>
      <c r="CE233" s="1744"/>
      <c r="CF233" s="1744"/>
      <c r="CG233" s="1744"/>
      <c r="CH233" s="1744"/>
      <c r="CI233" s="1744"/>
      <c r="CJ233" s="1744"/>
      <c r="CK233" s="1744"/>
      <c r="CL233" s="1744"/>
      <c r="CM233" s="1744"/>
      <c r="CN233" s="1744"/>
      <c r="CO233" s="1744"/>
      <c r="CP233" s="1744"/>
      <c r="CQ233" s="1744"/>
      <c r="CR233" s="1744"/>
      <c r="CS233" s="1744"/>
      <c r="CT233" s="1744"/>
      <c r="CU233" s="1744"/>
      <c r="CV233" s="1744"/>
      <c r="CW233" s="1744"/>
      <c r="CX233" s="1744"/>
      <c r="CY233" s="1744"/>
      <c r="CZ233" s="1744"/>
      <c r="DA233" s="1744"/>
      <c r="DB233" s="1744"/>
      <c r="DC233" s="1744"/>
      <c r="DD233" s="1744"/>
      <c r="DE233" s="1744"/>
      <c r="DF233" s="1744"/>
      <c r="DG233" s="1744"/>
      <c r="DH233" s="1744"/>
      <c r="DI233" s="1744"/>
      <c r="DJ233" s="1744"/>
      <c r="DK233" s="1744"/>
      <c r="DL233" s="1744"/>
      <c r="DM233" s="1744"/>
      <c r="DN233" s="1744"/>
      <c r="DO233" s="1744"/>
      <c r="DP233" s="1744"/>
      <c r="DQ233" s="1744"/>
      <c r="DR233" s="1744"/>
      <c r="DS233" s="1744"/>
      <c r="DT233" s="1744"/>
      <c r="DU233" s="1744"/>
      <c r="DV233" s="1744"/>
      <c r="DW233" s="1744"/>
      <c r="DX233" s="1744"/>
      <c r="DY233" s="1744"/>
      <c r="DZ233" s="1744"/>
      <c r="EA233" s="1744"/>
      <c r="EB233" s="1744"/>
      <c r="EC233" s="1744"/>
      <c r="ED233" s="1744"/>
      <c r="EE233" s="1744"/>
      <c r="EF233" s="1744"/>
      <c r="EG233" s="1744"/>
      <c r="EH233" s="1744"/>
      <c r="EI233" s="1744"/>
      <c r="EJ233" s="1744"/>
      <c r="EK233" s="1744"/>
      <c r="EL233" s="1744"/>
      <c r="EM233" s="1744"/>
      <c r="EN233" s="1744"/>
      <c r="EO233" s="1744"/>
      <c r="EP233" s="1744"/>
      <c r="EQ233" s="1744"/>
      <c r="ER233" s="1744"/>
      <c r="ES233" s="1744"/>
      <c r="ET233" s="1744"/>
      <c r="EU233" s="1744"/>
      <c r="EV233" s="1744"/>
      <c r="EW233" s="1744"/>
      <c r="EX233" s="1744"/>
      <c r="EY233" s="1744"/>
      <c r="EZ233" s="1744"/>
      <c r="FA233" s="1744"/>
      <c r="FB233" s="1744"/>
      <c r="FC233" s="1744"/>
      <c r="FD233" s="1744"/>
      <c r="FE233" s="1744"/>
      <c r="FF233" s="1744"/>
    </row>
    <row r="235" spans="6:162" s="1746" customFormat="1" ht="15.75" customHeight="1">
      <c r="F235" s="1744"/>
      <c r="G235" s="1744"/>
      <c r="H235" s="1744"/>
      <c r="I235" s="1744"/>
      <c r="J235" s="1744"/>
      <c r="K235" s="1744"/>
      <c r="L235" s="1744"/>
      <c r="M235" s="1744"/>
      <c r="N235" s="1744"/>
      <c r="O235" s="1744"/>
      <c r="P235" s="1744"/>
      <c r="Q235" s="1744"/>
      <c r="R235" s="1744"/>
      <c r="S235" s="1744"/>
      <c r="T235" s="1744"/>
      <c r="U235" s="1744"/>
      <c r="V235" s="1744"/>
      <c r="W235" s="1744"/>
      <c r="X235" s="1744"/>
      <c r="Y235" s="1744"/>
      <c r="AA235" s="1744"/>
      <c r="AC235" s="1744"/>
      <c r="AD235" s="1744"/>
      <c r="AE235" s="1744"/>
      <c r="AF235" s="1744"/>
      <c r="AG235" s="1744"/>
      <c r="AH235" s="1745"/>
      <c r="AI235" s="1745"/>
      <c r="AJ235" s="1744"/>
      <c r="AK235" s="1744"/>
      <c r="AL235" s="1744"/>
      <c r="AM235" s="1744"/>
      <c r="AN235" s="1744"/>
      <c r="AO235" s="1744"/>
      <c r="AP235" s="1744"/>
      <c r="AQ235" s="1744"/>
      <c r="AR235" s="1744"/>
      <c r="AS235" s="1744"/>
      <c r="AT235" s="1744"/>
      <c r="AU235" s="1744"/>
      <c r="AV235" s="1744"/>
      <c r="AW235" s="1744"/>
      <c r="AX235" s="1744"/>
      <c r="AY235" s="1744"/>
      <c r="AZ235" s="1744"/>
      <c r="BA235" s="1744"/>
      <c r="BB235" s="1744"/>
      <c r="BC235" s="1744"/>
      <c r="BD235" s="1744"/>
      <c r="BE235" s="1744"/>
      <c r="BF235" s="1744"/>
      <c r="BG235" s="1744"/>
      <c r="BH235" s="1744"/>
      <c r="BI235" s="1744"/>
      <c r="BJ235" s="1744"/>
      <c r="BK235" s="1744"/>
      <c r="BL235" s="1744"/>
      <c r="BM235" s="1744"/>
      <c r="BN235" s="1744"/>
      <c r="BO235" s="1744"/>
      <c r="BP235" s="1744"/>
      <c r="BQ235" s="1744"/>
      <c r="BR235" s="1744"/>
      <c r="BS235" s="1744"/>
      <c r="BT235" s="1744"/>
      <c r="BU235" s="1744"/>
      <c r="BV235" s="1744"/>
      <c r="BW235" s="1744"/>
      <c r="BX235" s="1744"/>
      <c r="BY235" s="1744"/>
      <c r="BZ235" s="1744"/>
      <c r="CA235" s="1744"/>
      <c r="CB235" s="1744"/>
      <c r="CC235" s="1744"/>
      <c r="CD235" s="1744"/>
      <c r="CE235" s="1744"/>
      <c r="CF235" s="1744"/>
      <c r="CG235" s="1744"/>
      <c r="CH235" s="1744"/>
      <c r="CI235" s="1744"/>
      <c r="CJ235" s="1744"/>
      <c r="CK235" s="1744"/>
      <c r="CL235" s="1744"/>
      <c r="CM235" s="1744"/>
      <c r="CN235" s="1744"/>
      <c r="CO235" s="1744"/>
      <c r="CP235" s="1744"/>
      <c r="CQ235" s="1744"/>
      <c r="CR235" s="1744"/>
      <c r="CS235" s="1744"/>
      <c r="CT235" s="1744"/>
      <c r="CU235" s="1744"/>
      <c r="CV235" s="1744"/>
      <c r="CW235" s="1744"/>
      <c r="CX235" s="1744"/>
      <c r="CY235" s="1744"/>
      <c r="CZ235" s="1744"/>
      <c r="DA235" s="1744"/>
      <c r="DB235" s="1744"/>
      <c r="DC235" s="1744"/>
      <c r="DD235" s="1744"/>
      <c r="DE235" s="1744"/>
      <c r="DF235" s="1744"/>
      <c r="DG235" s="1744"/>
      <c r="DH235" s="1744"/>
      <c r="DI235" s="1744"/>
      <c r="DJ235" s="1744"/>
      <c r="DK235" s="1744"/>
      <c r="DL235" s="1744"/>
      <c r="DM235" s="1744"/>
      <c r="DN235" s="1744"/>
      <c r="DO235" s="1744"/>
      <c r="DP235" s="1744"/>
      <c r="DQ235" s="1744"/>
      <c r="DR235" s="1744"/>
      <c r="DS235" s="1744"/>
      <c r="DT235" s="1744"/>
      <c r="DU235" s="1744"/>
      <c r="DV235" s="1744"/>
      <c r="DW235" s="1744"/>
      <c r="DX235" s="1744"/>
      <c r="DY235" s="1744"/>
      <c r="DZ235" s="1744"/>
      <c r="EA235" s="1744"/>
      <c r="EB235" s="1744"/>
      <c r="EC235" s="1744"/>
      <c r="ED235" s="1744"/>
      <c r="EE235" s="1744"/>
      <c r="EF235" s="1744"/>
      <c r="EG235" s="1744"/>
      <c r="EH235" s="1744"/>
      <c r="EI235" s="1744"/>
      <c r="EJ235" s="1744"/>
      <c r="EK235" s="1744"/>
      <c r="EL235" s="1744"/>
      <c r="EM235" s="1744"/>
      <c r="EN235" s="1744"/>
      <c r="EO235" s="1744"/>
      <c r="EP235" s="1744"/>
      <c r="EQ235" s="1744"/>
      <c r="ER235" s="1744"/>
      <c r="ES235" s="1744"/>
      <c r="ET235" s="1744"/>
      <c r="EU235" s="1744"/>
      <c r="EV235" s="1744"/>
      <c r="EW235" s="1744"/>
      <c r="EX235" s="1744"/>
      <c r="EY235" s="1744"/>
      <c r="EZ235" s="1744"/>
      <c r="FA235" s="1744"/>
      <c r="FB235" s="1744"/>
      <c r="FC235" s="1744"/>
      <c r="FD235" s="1744"/>
      <c r="FE235" s="1744"/>
      <c r="FF235" s="1744"/>
    </row>
    <row r="237" spans="6:162" s="1746" customFormat="1" ht="15.75" customHeight="1">
      <c r="F237" s="1744"/>
      <c r="G237" s="1744"/>
      <c r="H237" s="1744"/>
      <c r="I237" s="1744"/>
      <c r="J237" s="1744"/>
      <c r="K237" s="1744"/>
      <c r="L237" s="1744"/>
      <c r="M237" s="1744"/>
      <c r="N237" s="1744"/>
      <c r="O237" s="1744"/>
      <c r="P237" s="1744"/>
      <c r="Q237" s="1744"/>
      <c r="R237" s="1744"/>
      <c r="S237" s="1744"/>
      <c r="T237" s="1744"/>
      <c r="U237" s="1744"/>
      <c r="V237" s="1744"/>
      <c r="W237" s="1744"/>
      <c r="X237" s="1744"/>
      <c r="Y237" s="1744"/>
      <c r="AA237" s="1744"/>
      <c r="AC237" s="1744"/>
      <c r="AD237" s="1744"/>
      <c r="AE237" s="1744"/>
      <c r="AF237" s="1744"/>
      <c r="AG237" s="1744"/>
      <c r="AH237" s="1745"/>
      <c r="AI237" s="1745"/>
      <c r="AJ237" s="1744"/>
      <c r="AK237" s="1744"/>
      <c r="AL237" s="1744"/>
      <c r="AM237" s="1744"/>
      <c r="AN237" s="1744"/>
      <c r="AO237" s="1744"/>
      <c r="AP237" s="1744"/>
      <c r="AQ237" s="1744"/>
      <c r="AR237" s="1744"/>
      <c r="AS237" s="1744"/>
      <c r="AT237" s="1744"/>
      <c r="AU237" s="1744"/>
      <c r="AV237" s="1744"/>
      <c r="AW237" s="1744"/>
      <c r="AX237" s="1744"/>
      <c r="AY237" s="1744"/>
      <c r="AZ237" s="1744"/>
      <c r="BA237" s="1744"/>
      <c r="BB237" s="1744"/>
      <c r="BC237" s="1744"/>
      <c r="BD237" s="1744"/>
      <c r="BE237" s="1744"/>
      <c r="BF237" s="1744"/>
      <c r="BG237" s="1744"/>
      <c r="BH237" s="1744"/>
      <c r="BI237" s="1744"/>
      <c r="BJ237" s="1744"/>
      <c r="BK237" s="1744"/>
      <c r="BL237" s="1744"/>
      <c r="BM237" s="1744"/>
      <c r="BN237" s="1744"/>
      <c r="BO237" s="1744"/>
      <c r="BP237" s="1744"/>
      <c r="BQ237" s="1744"/>
      <c r="BR237" s="1744"/>
      <c r="BS237" s="1744"/>
      <c r="BT237" s="1744"/>
      <c r="BU237" s="1744"/>
      <c r="BV237" s="1744"/>
      <c r="BW237" s="1744"/>
      <c r="BX237" s="1744"/>
      <c r="BY237" s="1744"/>
      <c r="BZ237" s="1744"/>
      <c r="CA237" s="1744"/>
      <c r="CB237" s="1744"/>
      <c r="CC237" s="1744"/>
      <c r="CD237" s="1744"/>
      <c r="CE237" s="1744"/>
      <c r="CF237" s="1744"/>
      <c r="CG237" s="1744"/>
      <c r="CH237" s="1744"/>
      <c r="CI237" s="1744"/>
      <c r="CJ237" s="1744"/>
      <c r="CK237" s="1744"/>
      <c r="CL237" s="1744"/>
      <c r="CM237" s="1744"/>
      <c r="CN237" s="1744"/>
      <c r="CO237" s="1744"/>
      <c r="CP237" s="1744"/>
      <c r="CQ237" s="1744"/>
      <c r="CR237" s="1744"/>
      <c r="CS237" s="1744"/>
      <c r="CT237" s="1744"/>
      <c r="CU237" s="1744"/>
      <c r="CV237" s="1744"/>
      <c r="CW237" s="1744"/>
      <c r="CX237" s="1744"/>
      <c r="CY237" s="1744"/>
      <c r="CZ237" s="1744"/>
      <c r="DA237" s="1744"/>
      <c r="DB237" s="1744"/>
      <c r="DC237" s="1744"/>
      <c r="DD237" s="1744"/>
      <c r="DE237" s="1744"/>
      <c r="DF237" s="1744"/>
      <c r="DG237" s="1744"/>
      <c r="DH237" s="1744"/>
      <c r="DI237" s="1744"/>
      <c r="DJ237" s="1744"/>
      <c r="DK237" s="1744"/>
      <c r="DL237" s="1744"/>
      <c r="DM237" s="1744"/>
      <c r="DN237" s="1744"/>
      <c r="DO237" s="1744"/>
      <c r="DP237" s="1744"/>
      <c r="DQ237" s="1744"/>
      <c r="DR237" s="1744"/>
      <c r="DS237" s="1744"/>
      <c r="DT237" s="1744"/>
      <c r="DU237" s="1744"/>
      <c r="DV237" s="1744"/>
      <c r="DW237" s="1744"/>
      <c r="DX237" s="1744"/>
      <c r="DY237" s="1744"/>
      <c r="DZ237" s="1744"/>
      <c r="EA237" s="1744"/>
      <c r="EB237" s="1744"/>
      <c r="EC237" s="1744"/>
      <c r="ED237" s="1744"/>
      <c r="EE237" s="1744"/>
      <c r="EF237" s="1744"/>
      <c r="EG237" s="1744"/>
      <c r="EH237" s="1744"/>
      <c r="EI237" s="1744"/>
      <c r="EJ237" s="1744"/>
      <c r="EK237" s="1744"/>
      <c r="EL237" s="1744"/>
      <c r="EM237" s="1744"/>
      <c r="EN237" s="1744"/>
      <c r="EO237" s="1744"/>
      <c r="EP237" s="1744"/>
      <c r="EQ237" s="1744"/>
      <c r="ER237" s="1744"/>
      <c r="ES237" s="1744"/>
      <c r="ET237" s="1744"/>
      <c r="EU237" s="1744"/>
      <c r="EV237" s="1744"/>
      <c r="EW237" s="1744"/>
      <c r="EX237" s="1744"/>
      <c r="EY237" s="1744"/>
      <c r="EZ237" s="1744"/>
      <c r="FA237" s="1744"/>
      <c r="FB237" s="1744"/>
      <c r="FC237" s="1744"/>
      <c r="FD237" s="1744"/>
      <c r="FE237" s="1744"/>
      <c r="FF237" s="1744"/>
    </row>
    <row r="239" spans="6:162" s="1746" customFormat="1" ht="15.75" customHeight="1">
      <c r="F239" s="1744"/>
      <c r="G239" s="1744"/>
      <c r="H239" s="1744"/>
      <c r="I239" s="1744"/>
      <c r="J239" s="1744"/>
      <c r="K239" s="1744"/>
      <c r="L239" s="1744"/>
      <c r="M239" s="1744"/>
      <c r="N239" s="1744"/>
      <c r="O239" s="1744"/>
      <c r="P239" s="1744"/>
      <c r="Q239" s="1744"/>
      <c r="R239" s="1744"/>
      <c r="S239" s="1744"/>
      <c r="T239" s="1744"/>
      <c r="U239" s="1744"/>
      <c r="V239" s="1744"/>
      <c r="W239" s="1744"/>
      <c r="X239" s="1744"/>
      <c r="Y239" s="1744"/>
      <c r="AA239" s="1744"/>
      <c r="AC239" s="1744"/>
      <c r="AD239" s="1744"/>
      <c r="AE239" s="1744"/>
      <c r="AF239" s="1744"/>
      <c r="AG239" s="1744"/>
      <c r="AH239" s="1745"/>
      <c r="AI239" s="1745"/>
      <c r="AJ239" s="1744"/>
      <c r="AK239" s="1744"/>
      <c r="AL239" s="1744"/>
      <c r="AM239" s="1744"/>
      <c r="AN239" s="1744"/>
      <c r="AO239" s="1744"/>
      <c r="AP239" s="1744"/>
      <c r="AQ239" s="1744"/>
      <c r="AR239" s="1744"/>
      <c r="AS239" s="1744"/>
      <c r="AT239" s="1744"/>
      <c r="AU239" s="1744"/>
      <c r="AV239" s="1744"/>
      <c r="AW239" s="1744"/>
      <c r="AX239" s="1744"/>
      <c r="AY239" s="1744"/>
      <c r="AZ239" s="1744"/>
      <c r="BA239" s="1744"/>
      <c r="BB239" s="1744"/>
      <c r="BC239" s="1744"/>
      <c r="BD239" s="1744"/>
      <c r="BE239" s="1744"/>
      <c r="BF239" s="1744"/>
      <c r="BG239" s="1744"/>
      <c r="BH239" s="1744"/>
      <c r="BI239" s="1744"/>
      <c r="BJ239" s="1744"/>
      <c r="BK239" s="1744"/>
      <c r="BL239" s="1744"/>
      <c r="BM239" s="1744"/>
      <c r="BN239" s="1744"/>
      <c r="BO239" s="1744"/>
      <c r="BP239" s="1744"/>
      <c r="BQ239" s="1744"/>
      <c r="BR239" s="1744"/>
      <c r="BS239" s="1744"/>
      <c r="BT239" s="1744"/>
      <c r="BU239" s="1744"/>
      <c r="BV239" s="1744"/>
      <c r="BW239" s="1744"/>
      <c r="BX239" s="1744"/>
      <c r="BY239" s="1744"/>
      <c r="BZ239" s="1744"/>
      <c r="CA239" s="1744"/>
      <c r="CB239" s="1744"/>
      <c r="CC239" s="1744"/>
      <c r="CD239" s="1744"/>
      <c r="CE239" s="1744"/>
      <c r="CF239" s="1744"/>
      <c r="CG239" s="1744"/>
      <c r="CH239" s="1744"/>
      <c r="CI239" s="1744"/>
      <c r="CJ239" s="1744"/>
      <c r="CK239" s="1744"/>
      <c r="CL239" s="1744"/>
      <c r="CM239" s="1744"/>
      <c r="CN239" s="1744"/>
      <c r="CO239" s="1744"/>
      <c r="CP239" s="1744"/>
      <c r="CQ239" s="1744"/>
      <c r="CR239" s="1744"/>
      <c r="CS239" s="1744"/>
      <c r="CT239" s="1744"/>
      <c r="CU239" s="1744"/>
      <c r="CV239" s="1744"/>
      <c r="CW239" s="1744"/>
      <c r="CX239" s="1744"/>
      <c r="CY239" s="1744"/>
      <c r="CZ239" s="1744"/>
      <c r="DA239" s="1744"/>
      <c r="DB239" s="1744"/>
      <c r="DC239" s="1744"/>
      <c r="DD239" s="1744"/>
      <c r="DE239" s="1744"/>
      <c r="DF239" s="1744"/>
      <c r="DG239" s="1744"/>
      <c r="DH239" s="1744"/>
      <c r="DI239" s="1744"/>
      <c r="DJ239" s="1744"/>
      <c r="DK239" s="1744"/>
      <c r="DL239" s="1744"/>
      <c r="DM239" s="1744"/>
      <c r="DN239" s="1744"/>
      <c r="DO239" s="1744"/>
      <c r="DP239" s="1744"/>
      <c r="DQ239" s="1744"/>
      <c r="DR239" s="1744"/>
      <c r="DS239" s="1744"/>
      <c r="DT239" s="1744"/>
      <c r="DU239" s="1744"/>
      <c r="DV239" s="1744"/>
      <c r="DW239" s="1744"/>
      <c r="DX239" s="1744"/>
      <c r="DY239" s="1744"/>
      <c r="DZ239" s="1744"/>
      <c r="EA239" s="1744"/>
      <c r="EB239" s="1744"/>
      <c r="EC239" s="1744"/>
      <c r="ED239" s="1744"/>
      <c r="EE239" s="1744"/>
      <c r="EF239" s="1744"/>
      <c r="EG239" s="1744"/>
      <c r="EH239" s="1744"/>
      <c r="EI239" s="1744"/>
      <c r="EJ239" s="1744"/>
      <c r="EK239" s="1744"/>
      <c r="EL239" s="1744"/>
      <c r="EM239" s="1744"/>
      <c r="EN239" s="1744"/>
      <c r="EO239" s="1744"/>
      <c r="EP239" s="1744"/>
      <c r="EQ239" s="1744"/>
      <c r="ER239" s="1744"/>
      <c r="ES239" s="1744"/>
      <c r="ET239" s="1744"/>
      <c r="EU239" s="1744"/>
      <c r="EV239" s="1744"/>
      <c r="EW239" s="1744"/>
      <c r="EX239" s="1744"/>
      <c r="EY239" s="1744"/>
      <c r="EZ239" s="1744"/>
      <c r="FA239" s="1744"/>
      <c r="FB239" s="1744"/>
      <c r="FC239" s="1744"/>
      <c r="FD239" s="1744"/>
      <c r="FE239" s="1744"/>
      <c r="FF239" s="1744"/>
    </row>
    <row r="241" spans="6:162" s="1746" customFormat="1" ht="15.75" customHeight="1">
      <c r="F241" s="1744"/>
      <c r="G241" s="1744"/>
      <c r="H241" s="1744"/>
      <c r="I241" s="1744"/>
      <c r="J241" s="1744"/>
      <c r="K241" s="1744"/>
      <c r="L241" s="1744"/>
      <c r="M241" s="1744"/>
      <c r="N241" s="1744"/>
      <c r="O241" s="1744"/>
      <c r="P241" s="1744"/>
      <c r="Q241" s="1744"/>
      <c r="R241" s="1744"/>
      <c r="S241" s="1744"/>
      <c r="T241" s="1744"/>
      <c r="U241" s="1744"/>
      <c r="V241" s="1744"/>
      <c r="W241" s="1744"/>
      <c r="X241" s="1744"/>
      <c r="Y241" s="1744"/>
      <c r="AA241" s="1744"/>
      <c r="AC241" s="1744"/>
      <c r="AD241" s="1744"/>
      <c r="AE241" s="1744"/>
      <c r="AF241" s="1744"/>
      <c r="AG241" s="1744"/>
      <c r="AH241" s="1745"/>
      <c r="AI241" s="1745"/>
      <c r="AJ241" s="1744"/>
      <c r="AK241" s="1744"/>
      <c r="AL241" s="1744"/>
      <c r="AM241" s="1744"/>
      <c r="AN241" s="1744"/>
      <c r="AO241" s="1744"/>
      <c r="AP241" s="1744"/>
      <c r="AQ241" s="1744"/>
      <c r="AR241" s="1744"/>
      <c r="AS241" s="1744"/>
      <c r="AT241" s="1744"/>
      <c r="AU241" s="1744"/>
      <c r="AV241" s="1744"/>
      <c r="AW241" s="1744"/>
      <c r="AX241" s="1744"/>
      <c r="AY241" s="1744"/>
      <c r="AZ241" s="1744"/>
      <c r="BA241" s="1744"/>
      <c r="BB241" s="1744"/>
      <c r="BC241" s="1744"/>
      <c r="BD241" s="1744"/>
      <c r="BE241" s="1744"/>
      <c r="BF241" s="1744"/>
      <c r="BG241" s="1744"/>
      <c r="BH241" s="1744"/>
      <c r="BI241" s="1744"/>
      <c r="BJ241" s="1744"/>
      <c r="BK241" s="1744"/>
      <c r="BL241" s="1744"/>
      <c r="BM241" s="1744"/>
      <c r="BN241" s="1744"/>
      <c r="BO241" s="1744"/>
      <c r="BP241" s="1744"/>
      <c r="BQ241" s="1744"/>
      <c r="BR241" s="1744"/>
      <c r="BS241" s="1744"/>
      <c r="BT241" s="1744"/>
      <c r="BU241" s="1744"/>
      <c r="BV241" s="1744"/>
      <c r="BW241" s="1744"/>
      <c r="BX241" s="1744"/>
      <c r="BY241" s="1744"/>
      <c r="BZ241" s="1744"/>
      <c r="CA241" s="1744"/>
      <c r="CB241" s="1744"/>
      <c r="CC241" s="1744"/>
      <c r="CD241" s="1744"/>
      <c r="CE241" s="1744"/>
      <c r="CF241" s="1744"/>
      <c r="CG241" s="1744"/>
      <c r="CH241" s="1744"/>
      <c r="CI241" s="1744"/>
      <c r="CJ241" s="1744"/>
      <c r="CK241" s="1744"/>
      <c r="CL241" s="1744"/>
      <c r="CM241" s="1744"/>
      <c r="CN241" s="1744"/>
      <c r="CO241" s="1744"/>
      <c r="CP241" s="1744"/>
      <c r="CQ241" s="1744"/>
      <c r="CR241" s="1744"/>
      <c r="CS241" s="1744"/>
      <c r="CT241" s="1744"/>
      <c r="CU241" s="1744"/>
      <c r="CV241" s="1744"/>
      <c r="CW241" s="1744"/>
      <c r="CX241" s="1744"/>
      <c r="CY241" s="1744"/>
      <c r="CZ241" s="1744"/>
      <c r="DA241" s="1744"/>
      <c r="DB241" s="1744"/>
      <c r="DC241" s="1744"/>
      <c r="DD241" s="1744"/>
      <c r="DE241" s="1744"/>
      <c r="DF241" s="1744"/>
      <c r="DG241" s="1744"/>
      <c r="DH241" s="1744"/>
      <c r="DI241" s="1744"/>
      <c r="DJ241" s="1744"/>
      <c r="DK241" s="1744"/>
      <c r="DL241" s="1744"/>
      <c r="DM241" s="1744"/>
      <c r="DN241" s="1744"/>
      <c r="DO241" s="1744"/>
      <c r="DP241" s="1744"/>
      <c r="DQ241" s="1744"/>
      <c r="DR241" s="1744"/>
      <c r="DS241" s="1744"/>
      <c r="DT241" s="1744"/>
      <c r="DU241" s="1744"/>
      <c r="DV241" s="1744"/>
      <c r="DW241" s="1744"/>
      <c r="DX241" s="1744"/>
      <c r="DY241" s="1744"/>
      <c r="DZ241" s="1744"/>
      <c r="EA241" s="1744"/>
      <c r="EB241" s="1744"/>
      <c r="EC241" s="1744"/>
      <c r="ED241" s="1744"/>
      <c r="EE241" s="1744"/>
      <c r="EF241" s="1744"/>
      <c r="EG241" s="1744"/>
      <c r="EH241" s="1744"/>
      <c r="EI241" s="1744"/>
      <c r="EJ241" s="1744"/>
      <c r="EK241" s="1744"/>
      <c r="EL241" s="1744"/>
      <c r="EM241" s="1744"/>
      <c r="EN241" s="1744"/>
      <c r="EO241" s="1744"/>
      <c r="EP241" s="1744"/>
      <c r="EQ241" s="1744"/>
      <c r="ER241" s="1744"/>
      <c r="ES241" s="1744"/>
      <c r="ET241" s="1744"/>
      <c r="EU241" s="1744"/>
      <c r="EV241" s="1744"/>
      <c r="EW241" s="1744"/>
      <c r="EX241" s="1744"/>
      <c r="EY241" s="1744"/>
      <c r="EZ241" s="1744"/>
      <c r="FA241" s="1744"/>
      <c r="FB241" s="1744"/>
      <c r="FC241" s="1744"/>
      <c r="FD241" s="1744"/>
      <c r="FE241" s="1744"/>
      <c r="FF241" s="1744"/>
    </row>
    <row r="243" spans="6:162" s="1746" customFormat="1" ht="15.75" customHeight="1">
      <c r="F243" s="1744"/>
      <c r="G243" s="1744"/>
      <c r="H243" s="1744"/>
      <c r="I243" s="1744"/>
      <c r="J243" s="1744"/>
      <c r="K243" s="1744"/>
      <c r="L243" s="1744"/>
      <c r="M243" s="1744"/>
      <c r="N243" s="1744"/>
      <c r="O243" s="1744"/>
      <c r="P243" s="1744"/>
      <c r="Q243" s="1744"/>
      <c r="R243" s="1744"/>
      <c r="S243" s="1744"/>
      <c r="T243" s="1744"/>
      <c r="U243" s="1744"/>
      <c r="V243" s="1744"/>
      <c r="W243" s="1744"/>
      <c r="X243" s="1744"/>
      <c r="Y243" s="1744"/>
      <c r="AA243" s="1744"/>
      <c r="AC243" s="1744"/>
      <c r="AD243" s="1744"/>
      <c r="AE243" s="1744"/>
      <c r="AF243" s="1744"/>
      <c r="AG243" s="1744"/>
      <c r="AH243" s="1745"/>
      <c r="AI243" s="1745"/>
      <c r="AJ243" s="1744"/>
      <c r="AK243" s="1744"/>
      <c r="AL243" s="1744"/>
      <c r="AM243" s="1744"/>
      <c r="AN243" s="1744"/>
      <c r="AO243" s="1744"/>
      <c r="AP243" s="1744"/>
      <c r="AQ243" s="1744"/>
      <c r="AR243" s="1744"/>
      <c r="AS243" s="1744"/>
      <c r="AT243" s="1744"/>
      <c r="AU243" s="1744"/>
      <c r="AV243" s="1744"/>
      <c r="AW243" s="1744"/>
      <c r="AX243" s="1744"/>
      <c r="AY243" s="1744"/>
      <c r="AZ243" s="1744"/>
      <c r="BA243" s="1744"/>
      <c r="BB243" s="1744"/>
      <c r="BC243" s="1744"/>
      <c r="BD243" s="1744"/>
      <c r="BE243" s="1744"/>
      <c r="BF243" s="1744"/>
      <c r="BG243" s="1744"/>
      <c r="BH243" s="1744"/>
      <c r="BI243" s="1744"/>
      <c r="BJ243" s="1744"/>
      <c r="BK243" s="1744"/>
      <c r="BL243" s="1744"/>
      <c r="BM243" s="1744"/>
      <c r="BN243" s="1744"/>
      <c r="BO243" s="1744"/>
      <c r="BP243" s="1744"/>
      <c r="BQ243" s="1744"/>
      <c r="BR243" s="1744"/>
      <c r="BS243" s="1744"/>
      <c r="BT243" s="1744"/>
      <c r="BU243" s="1744"/>
      <c r="BV243" s="1744"/>
      <c r="BW243" s="1744"/>
      <c r="BX243" s="1744"/>
      <c r="BY243" s="1744"/>
      <c r="BZ243" s="1744"/>
      <c r="CA243" s="1744"/>
      <c r="CB243" s="1744"/>
      <c r="CC243" s="1744"/>
      <c r="CD243" s="1744"/>
      <c r="CE243" s="1744"/>
      <c r="CF243" s="1744"/>
      <c r="CG243" s="1744"/>
      <c r="CH243" s="1744"/>
      <c r="CI243" s="1744"/>
      <c r="CJ243" s="1744"/>
      <c r="CK243" s="1744"/>
      <c r="CL243" s="1744"/>
      <c r="CM243" s="1744"/>
      <c r="CN243" s="1744"/>
      <c r="CO243" s="1744"/>
      <c r="CP243" s="1744"/>
      <c r="CQ243" s="1744"/>
      <c r="CR243" s="1744"/>
      <c r="CS243" s="1744"/>
      <c r="CT243" s="1744"/>
      <c r="CU243" s="1744"/>
      <c r="CV243" s="1744"/>
      <c r="CW243" s="1744"/>
      <c r="CX243" s="1744"/>
      <c r="CY243" s="1744"/>
      <c r="CZ243" s="1744"/>
      <c r="DA243" s="1744"/>
      <c r="DB243" s="1744"/>
      <c r="DC243" s="1744"/>
      <c r="DD243" s="1744"/>
      <c r="DE243" s="1744"/>
      <c r="DF243" s="1744"/>
      <c r="DG243" s="1744"/>
      <c r="DH243" s="1744"/>
      <c r="DI243" s="1744"/>
      <c r="DJ243" s="1744"/>
      <c r="DK243" s="1744"/>
      <c r="DL243" s="1744"/>
      <c r="DM243" s="1744"/>
      <c r="DN243" s="1744"/>
      <c r="DO243" s="1744"/>
      <c r="DP243" s="1744"/>
      <c r="DQ243" s="1744"/>
      <c r="DR243" s="1744"/>
      <c r="DS243" s="1744"/>
      <c r="DT243" s="1744"/>
      <c r="DU243" s="1744"/>
      <c r="DV243" s="1744"/>
      <c r="DW243" s="1744"/>
      <c r="DX243" s="1744"/>
      <c r="DY243" s="1744"/>
      <c r="DZ243" s="1744"/>
      <c r="EA243" s="1744"/>
      <c r="EB243" s="1744"/>
      <c r="EC243" s="1744"/>
      <c r="ED243" s="1744"/>
      <c r="EE243" s="1744"/>
      <c r="EF243" s="1744"/>
      <c r="EG243" s="1744"/>
      <c r="EH243" s="1744"/>
      <c r="EI243" s="1744"/>
      <c r="EJ243" s="1744"/>
      <c r="EK243" s="1744"/>
      <c r="EL243" s="1744"/>
      <c r="EM243" s="1744"/>
      <c r="EN243" s="1744"/>
      <c r="EO243" s="1744"/>
      <c r="EP243" s="1744"/>
      <c r="EQ243" s="1744"/>
      <c r="ER243" s="1744"/>
      <c r="ES243" s="1744"/>
      <c r="ET243" s="1744"/>
      <c r="EU243" s="1744"/>
      <c r="EV243" s="1744"/>
      <c r="EW243" s="1744"/>
      <c r="EX243" s="1744"/>
      <c r="EY243" s="1744"/>
      <c r="EZ243" s="1744"/>
      <c r="FA243" s="1744"/>
      <c r="FB243" s="1744"/>
      <c r="FC243" s="1744"/>
      <c r="FD243" s="1744"/>
      <c r="FE243" s="1744"/>
      <c r="FF243" s="1744"/>
    </row>
    <row r="245" spans="6:162" s="1746" customFormat="1" ht="15.75" customHeight="1">
      <c r="F245" s="1744"/>
      <c r="G245" s="1744"/>
      <c r="H245" s="1744"/>
      <c r="I245" s="1744"/>
      <c r="J245" s="1744"/>
      <c r="K245" s="1744"/>
      <c r="L245" s="1744"/>
      <c r="M245" s="1744"/>
      <c r="N245" s="1744"/>
      <c r="O245" s="1744"/>
      <c r="P245" s="1744"/>
      <c r="Q245" s="1744"/>
      <c r="R245" s="1744"/>
      <c r="S245" s="1744"/>
      <c r="T245" s="1744"/>
      <c r="U245" s="1744"/>
      <c r="V245" s="1744"/>
      <c r="W245" s="1744"/>
      <c r="X245" s="1744"/>
      <c r="Y245" s="1744"/>
      <c r="AA245" s="1744"/>
      <c r="AC245" s="1744"/>
      <c r="AD245" s="1744"/>
      <c r="AE245" s="1744"/>
      <c r="AF245" s="1744"/>
      <c r="AG245" s="1744"/>
      <c r="AH245" s="1745"/>
      <c r="AI245" s="1745"/>
      <c r="AJ245" s="1744"/>
      <c r="AK245" s="1744"/>
      <c r="AL245" s="1744"/>
      <c r="AM245" s="1744"/>
      <c r="AN245" s="1744"/>
      <c r="AO245" s="1744"/>
      <c r="AP245" s="1744"/>
      <c r="AQ245" s="1744"/>
      <c r="AR245" s="1744"/>
      <c r="AS245" s="1744"/>
      <c r="AT245" s="1744"/>
      <c r="AU245" s="1744"/>
      <c r="AV245" s="1744"/>
      <c r="AW245" s="1744"/>
      <c r="AX245" s="1744"/>
      <c r="AY245" s="1744"/>
      <c r="AZ245" s="1744"/>
      <c r="BA245" s="1744"/>
      <c r="BB245" s="1744"/>
      <c r="BC245" s="1744"/>
      <c r="BD245" s="1744"/>
      <c r="BE245" s="1744"/>
      <c r="BF245" s="1744"/>
      <c r="BG245" s="1744"/>
      <c r="BH245" s="1744"/>
      <c r="BI245" s="1744"/>
      <c r="BJ245" s="1744"/>
      <c r="BK245" s="1744"/>
      <c r="BL245" s="1744"/>
      <c r="BM245" s="1744"/>
      <c r="BN245" s="1744"/>
      <c r="BO245" s="1744"/>
      <c r="BP245" s="1744"/>
      <c r="BQ245" s="1744"/>
      <c r="BR245" s="1744"/>
      <c r="BS245" s="1744"/>
      <c r="BT245" s="1744"/>
      <c r="BU245" s="1744"/>
      <c r="BV245" s="1744"/>
      <c r="BW245" s="1744"/>
      <c r="BX245" s="1744"/>
      <c r="BY245" s="1744"/>
      <c r="BZ245" s="1744"/>
      <c r="CA245" s="1744"/>
      <c r="CB245" s="1744"/>
      <c r="CC245" s="1744"/>
      <c r="CD245" s="1744"/>
      <c r="CE245" s="1744"/>
      <c r="CF245" s="1744"/>
      <c r="CG245" s="1744"/>
      <c r="CH245" s="1744"/>
      <c r="CI245" s="1744"/>
      <c r="CJ245" s="1744"/>
      <c r="CK245" s="1744"/>
      <c r="CL245" s="1744"/>
      <c r="CM245" s="1744"/>
      <c r="CN245" s="1744"/>
      <c r="CO245" s="1744"/>
      <c r="CP245" s="1744"/>
      <c r="CQ245" s="1744"/>
      <c r="CR245" s="1744"/>
      <c r="CS245" s="1744"/>
      <c r="CT245" s="1744"/>
      <c r="CU245" s="1744"/>
      <c r="CV245" s="1744"/>
      <c r="CW245" s="1744"/>
      <c r="CX245" s="1744"/>
      <c r="CY245" s="1744"/>
      <c r="CZ245" s="1744"/>
      <c r="DA245" s="1744"/>
      <c r="DB245" s="1744"/>
      <c r="DC245" s="1744"/>
      <c r="DD245" s="1744"/>
      <c r="DE245" s="1744"/>
      <c r="DF245" s="1744"/>
      <c r="DG245" s="1744"/>
      <c r="DH245" s="1744"/>
      <c r="DI245" s="1744"/>
      <c r="DJ245" s="1744"/>
      <c r="DK245" s="1744"/>
      <c r="DL245" s="1744"/>
      <c r="DM245" s="1744"/>
      <c r="DN245" s="1744"/>
      <c r="DO245" s="1744"/>
      <c r="DP245" s="1744"/>
      <c r="DQ245" s="1744"/>
      <c r="DR245" s="1744"/>
      <c r="DS245" s="1744"/>
      <c r="DT245" s="1744"/>
      <c r="DU245" s="1744"/>
      <c r="DV245" s="1744"/>
      <c r="DW245" s="1744"/>
      <c r="DX245" s="1744"/>
      <c r="DY245" s="1744"/>
      <c r="DZ245" s="1744"/>
      <c r="EA245" s="1744"/>
      <c r="EB245" s="1744"/>
      <c r="EC245" s="1744"/>
      <c r="ED245" s="1744"/>
      <c r="EE245" s="1744"/>
      <c r="EF245" s="1744"/>
      <c r="EG245" s="1744"/>
      <c r="EH245" s="1744"/>
      <c r="EI245" s="1744"/>
      <c r="EJ245" s="1744"/>
      <c r="EK245" s="1744"/>
      <c r="EL245" s="1744"/>
      <c r="EM245" s="1744"/>
      <c r="EN245" s="1744"/>
      <c r="EO245" s="1744"/>
      <c r="EP245" s="1744"/>
      <c r="EQ245" s="1744"/>
      <c r="ER245" s="1744"/>
      <c r="ES245" s="1744"/>
      <c r="ET245" s="1744"/>
      <c r="EU245" s="1744"/>
      <c r="EV245" s="1744"/>
      <c r="EW245" s="1744"/>
      <c r="EX245" s="1744"/>
      <c r="EY245" s="1744"/>
      <c r="EZ245" s="1744"/>
      <c r="FA245" s="1744"/>
      <c r="FB245" s="1744"/>
      <c r="FC245" s="1744"/>
      <c r="FD245" s="1744"/>
      <c r="FE245" s="1744"/>
      <c r="FF245" s="1744"/>
    </row>
    <row r="247" spans="6:162" s="1746" customFormat="1" ht="15.75" customHeight="1">
      <c r="F247" s="1744"/>
      <c r="G247" s="1744"/>
      <c r="H247" s="1744"/>
      <c r="I247" s="1744"/>
      <c r="J247" s="1744"/>
      <c r="K247" s="1744"/>
      <c r="L247" s="1744"/>
      <c r="M247" s="1744"/>
      <c r="N247" s="1744"/>
      <c r="O247" s="1744"/>
      <c r="P247" s="1744"/>
      <c r="Q247" s="1744"/>
      <c r="R247" s="1744"/>
      <c r="S247" s="1744"/>
      <c r="T247" s="1744"/>
      <c r="U247" s="1744"/>
      <c r="V247" s="1744"/>
      <c r="W247" s="1744"/>
      <c r="X247" s="1744"/>
      <c r="Y247" s="1744"/>
      <c r="AA247" s="1744"/>
      <c r="AC247" s="1744"/>
      <c r="AD247" s="1744"/>
      <c r="AE247" s="1744"/>
      <c r="AF247" s="1744"/>
      <c r="AG247" s="1744"/>
      <c r="AH247" s="1745"/>
      <c r="AI247" s="1745"/>
      <c r="AJ247" s="1744"/>
      <c r="AK247" s="1744"/>
      <c r="AL247" s="1744"/>
      <c r="AM247" s="1744"/>
      <c r="AN247" s="1744"/>
      <c r="AO247" s="1744"/>
      <c r="AP247" s="1744"/>
      <c r="AQ247" s="1744"/>
      <c r="AR247" s="1744"/>
      <c r="AS247" s="1744"/>
      <c r="AT247" s="1744"/>
      <c r="AU247" s="1744"/>
      <c r="AV247" s="1744"/>
      <c r="AW247" s="1744"/>
      <c r="AX247" s="1744"/>
      <c r="AY247" s="1744"/>
      <c r="AZ247" s="1744"/>
      <c r="BA247" s="1744"/>
      <c r="BB247" s="1744"/>
      <c r="BC247" s="1744"/>
      <c r="BD247" s="1744"/>
      <c r="BE247" s="1744"/>
      <c r="BF247" s="1744"/>
      <c r="BG247" s="1744"/>
      <c r="BH247" s="1744"/>
      <c r="BI247" s="1744"/>
      <c r="BJ247" s="1744"/>
      <c r="BK247" s="1744"/>
      <c r="BL247" s="1744"/>
      <c r="BM247" s="1744"/>
      <c r="BN247" s="1744"/>
      <c r="BO247" s="1744"/>
      <c r="BP247" s="1744"/>
      <c r="BQ247" s="1744"/>
      <c r="BR247" s="1744"/>
      <c r="BS247" s="1744"/>
      <c r="BT247" s="1744"/>
      <c r="BU247" s="1744"/>
      <c r="BV247" s="1744"/>
      <c r="BW247" s="1744"/>
      <c r="BX247" s="1744"/>
      <c r="BY247" s="1744"/>
      <c r="BZ247" s="1744"/>
      <c r="CA247" s="1744"/>
      <c r="CB247" s="1744"/>
      <c r="CC247" s="1744"/>
      <c r="CD247" s="1744"/>
      <c r="CE247" s="1744"/>
      <c r="CF247" s="1744"/>
      <c r="CG247" s="1744"/>
      <c r="CH247" s="1744"/>
      <c r="CI247" s="1744"/>
      <c r="CJ247" s="1744"/>
      <c r="CK247" s="1744"/>
      <c r="CL247" s="1744"/>
      <c r="CM247" s="1744"/>
      <c r="CN247" s="1744"/>
      <c r="CO247" s="1744"/>
      <c r="CP247" s="1744"/>
      <c r="CQ247" s="1744"/>
      <c r="CR247" s="1744"/>
      <c r="CS247" s="1744"/>
      <c r="CT247" s="1744"/>
      <c r="CU247" s="1744"/>
      <c r="CV247" s="1744"/>
      <c r="CW247" s="1744"/>
      <c r="CX247" s="1744"/>
      <c r="CY247" s="1744"/>
      <c r="CZ247" s="1744"/>
      <c r="DA247" s="1744"/>
      <c r="DB247" s="1744"/>
      <c r="DC247" s="1744"/>
      <c r="DD247" s="1744"/>
      <c r="DE247" s="1744"/>
      <c r="DF247" s="1744"/>
      <c r="DG247" s="1744"/>
      <c r="DH247" s="1744"/>
      <c r="DI247" s="1744"/>
      <c r="DJ247" s="1744"/>
      <c r="DK247" s="1744"/>
      <c r="DL247" s="1744"/>
      <c r="DM247" s="1744"/>
      <c r="DN247" s="1744"/>
      <c r="DO247" s="1744"/>
      <c r="DP247" s="1744"/>
      <c r="DQ247" s="1744"/>
      <c r="DR247" s="1744"/>
      <c r="DS247" s="1744"/>
      <c r="DT247" s="1744"/>
      <c r="DU247" s="1744"/>
      <c r="DV247" s="1744"/>
      <c r="DW247" s="1744"/>
      <c r="DX247" s="1744"/>
      <c r="DY247" s="1744"/>
      <c r="DZ247" s="1744"/>
      <c r="EA247" s="1744"/>
      <c r="EB247" s="1744"/>
      <c r="EC247" s="1744"/>
      <c r="ED247" s="1744"/>
      <c r="EE247" s="1744"/>
      <c r="EF247" s="1744"/>
      <c r="EG247" s="1744"/>
      <c r="EH247" s="1744"/>
      <c r="EI247" s="1744"/>
      <c r="EJ247" s="1744"/>
      <c r="EK247" s="1744"/>
      <c r="EL247" s="1744"/>
      <c r="EM247" s="1744"/>
      <c r="EN247" s="1744"/>
      <c r="EO247" s="1744"/>
      <c r="EP247" s="1744"/>
      <c r="EQ247" s="1744"/>
      <c r="ER247" s="1744"/>
      <c r="ES247" s="1744"/>
      <c r="ET247" s="1744"/>
      <c r="EU247" s="1744"/>
      <c r="EV247" s="1744"/>
      <c r="EW247" s="1744"/>
      <c r="EX247" s="1744"/>
      <c r="EY247" s="1744"/>
      <c r="EZ247" s="1744"/>
      <c r="FA247" s="1744"/>
      <c r="FB247" s="1744"/>
      <c r="FC247" s="1744"/>
      <c r="FD247" s="1744"/>
      <c r="FE247" s="1744"/>
      <c r="FF247" s="1744"/>
    </row>
    <row r="249" spans="6:162" s="1746" customFormat="1" ht="15.75" customHeight="1">
      <c r="F249" s="1744"/>
      <c r="G249" s="1744"/>
      <c r="H249" s="1744"/>
      <c r="I249" s="1744"/>
      <c r="J249" s="1744"/>
      <c r="K249" s="1744"/>
      <c r="L249" s="1744"/>
      <c r="M249" s="1744"/>
      <c r="N249" s="1744"/>
      <c r="O249" s="1744"/>
      <c r="P249" s="1744"/>
      <c r="Q249" s="1744"/>
      <c r="R249" s="1744"/>
      <c r="S249" s="1744"/>
      <c r="T249" s="1744"/>
      <c r="U249" s="1744"/>
      <c r="V249" s="1744"/>
      <c r="W249" s="1744"/>
      <c r="X249" s="1744"/>
      <c r="Y249" s="1744"/>
      <c r="AA249" s="1744"/>
      <c r="AC249" s="1744"/>
      <c r="AD249" s="1744"/>
      <c r="AE249" s="1744"/>
      <c r="AF249" s="1744"/>
      <c r="AG249" s="1744"/>
      <c r="AH249" s="1745"/>
      <c r="AI249" s="1745"/>
      <c r="AJ249" s="1744"/>
      <c r="AK249" s="1744"/>
      <c r="AL249" s="1744"/>
      <c r="AM249" s="1744"/>
      <c r="AN249" s="1744"/>
      <c r="AO249" s="1744"/>
      <c r="AP249" s="1744"/>
      <c r="AQ249" s="1744"/>
      <c r="AR249" s="1744"/>
      <c r="AS249" s="1744"/>
      <c r="AT249" s="1744"/>
      <c r="AU249" s="1744"/>
      <c r="AV249" s="1744"/>
      <c r="AW249" s="1744"/>
      <c r="AX249" s="1744"/>
      <c r="AY249" s="1744"/>
      <c r="AZ249" s="1744"/>
      <c r="BA249" s="1744"/>
      <c r="BB249" s="1744"/>
      <c r="BC249" s="1744"/>
      <c r="BD249" s="1744"/>
      <c r="BE249" s="1744"/>
      <c r="BF249" s="1744"/>
      <c r="BG249" s="1744"/>
      <c r="BH249" s="1744"/>
      <c r="BI249" s="1744"/>
      <c r="BJ249" s="1744"/>
      <c r="BK249" s="1744"/>
      <c r="BL249" s="1744"/>
      <c r="BM249" s="1744"/>
      <c r="BN249" s="1744"/>
      <c r="BO249" s="1744"/>
      <c r="BP249" s="1744"/>
      <c r="BQ249" s="1744"/>
      <c r="BR249" s="1744"/>
      <c r="BS249" s="1744"/>
      <c r="BT249" s="1744"/>
      <c r="BU249" s="1744"/>
      <c r="BV249" s="1744"/>
      <c r="BW249" s="1744"/>
      <c r="BX249" s="1744"/>
      <c r="BY249" s="1744"/>
      <c r="BZ249" s="1744"/>
      <c r="CA249" s="1744"/>
      <c r="CB249" s="1744"/>
      <c r="CC249" s="1744"/>
      <c r="CD249" s="1744"/>
      <c r="CE249" s="1744"/>
      <c r="CF249" s="1744"/>
      <c r="CG249" s="1744"/>
      <c r="CH249" s="1744"/>
      <c r="CI249" s="1744"/>
      <c r="CJ249" s="1744"/>
      <c r="CK249" s="1744"/>
      <c r="CL249" s="1744"/>
      <c r="CM249" s="1744"/>
      <c r="CN249" s="1744"/>
      <c r="CO249" s="1744"/>
      <c r="CP249" s="1744"/>
      <c r="CQ249" s="1744"/>
      <c r="CR249" s="1744"/>
      <c r="CS249" s="1744"/>
      <c r="CT249" s="1744"/>
      <c r="CU249" s="1744"/>
      <c r="CV249" s="1744"/>
      <c r="CW249" s="1744"/>
      <c r="CX249" s="1744"/>
      <c r="CY249" s="1744"/>
      <c r="CZ249" s="1744"/>
      <c r="DA249" s="1744"/>
      <c r="DB249" s="1744"/>
      <c r="DC249" s="1744"/>
      <c r="DD249" s="1744"/>
      <c r="DE249" s="1744"/>
      <c r="DF249" s="1744"/>
      <c r="DG249" s="1744"/>
      <c r="DH249" s="1744"/>
      <c r="DI249" s="1744"/>
      <c r="DJ249" s="1744"/>
      <c r="DK249" s="1744"/>
      <c r="DL249" s="1744"/>
      <c r="DM249" s="1744"/>
      <c r="DN249" s="1744"/>
      <c r="DO249" s="1744"/>
      <c r="DP249" s="1744"/>
      <c r="DQ249" s="1744"/>
      <c r="DR249" s="1744"/>
      <c r="DS249" s="1744"/>
      <c r="DT249" s="1744"/>
      <c r="DU249" s="1744"/>
      <c r="DV249" s="1744"/>
      <c r="DW249" s="1744"/>
      <c r="DX249" s="1744"/>
      <c r="DY249" s="1744"/>
      <c r="DZ249" s="1744"/>
      <c r="EA249" s="1744"/>
      <c r="EB249" s="1744"/>
      <c r="EC249" s="1744"/>
      <c r="ED249" s="1744"/>
      <c r="EE249" s="1744"/>
      <c r="EF249" s="1744"/>
      <c r="EG249" s="1744"/>
      <c r="EH249" s="1744"/>
      <c r="EI249" s="1744"/>
      <c r="EJ249" s="1744"/>
      <c r="EK249" s="1744"/>
      <c r="EL249" s="1744"/>
      <c r="EM249" s="1744"/>
      <c r="EN249" s="1744"/>
      <c r="EO249" s="1744"/>
      <c r="EP249" s="1744"/>
      <c r="EQ249" s="1744"/>
      <c r="ER249" s="1744"/>
      <c r="ES249" s="1744"/>
      <c r="ET249" s="1744"/>
      <c r="EU249" s="1744"/>
      <c r="EV249" s="1744"/>
      <c r="EW249" s="1744"/>
      <c r="EX249" s="1744"/>
      <c r="EY249" s="1744"/>
      <c r="EZ249" s="1744"/>
      <c r="FA249" s="1744"/>
      <c r="FB249" s="1744"/>
      <c r="FC249" s="1744"/>
      <c r="FD249" s="1744"/>
      <c r="FE249" s="1744"/>
      <c r="FF249" s="1744"/>
    </row>
    <row r="251" spans="6:162" s="1746" customFormat="1" ht="15.75" customHeight="1">
      <c r="F251" s="1744"/>
      <c r="G251" s="1744"/>
      <c r="H251" s="1744"/>
      <c r="I251" s="1744"/>
      <c r="J251" s="1744"/>
      <c r="K251" s="1744"/>
      <c r="L251" s="1744"/>
      <c r="M251" s="1744"/>
      <c r="N251" s="1744"/>
      <c r="O251" s="1744"/>
      <c r="P251" s="1744"/>
      <c r="Q251" s="1744"/>
      <c r="R251" s="1744"/>
      <c r="S251" s="1744"/>
      <c r="T251" s="1744"/>
      <c r="U251" s="1744"/>
      <c r="V251" s="1744"/>
      <c r="W251" s="1744"/>
      <c r="X251" s="1744"/>
      <c r="Y251" s="1744"/>
      <c r="AA251" s="1744"/>
      <c r="AC251" s="1744"/>
      <c r="AD251" s="1744"/>
      <c r="AE251" s="1744"/>
      <c r="AF251" s="1744"/>
      <c r="AG251" s="1744"/>
      <c r="AH251" s="1745"/>
      <c r="AI251" s="1745"/>
      <c r="AJ251" s="1744"/>
      <c r="AK251" s="1744"/>
      <c r="AL251" s="1744"/>
      <c r="AM251" s="1744"/>
      <c r="AN251" s="1744"/>
      <c r="AO251" s="1744"/>
      <c r="AP251" s="1744"/>
      <c r="AQ251" s="1744"/>
      <c r="AR251" s="1744"/>
      <c r="AS251" s="1744"/>
      <c r="AT251" s="1744"/>
      <c r="AU251" s="1744"/>
      <c r="AV251" s="1744"/>
      <c r="AW251" s="1744"/>
      <c r="AX251" s="1744"/>
      <c r="AY251" s="1744"/>
      <c r="AZ251" s="1744"/>
      <c r="BA251" s="1744"/>
      <c r="BB251" s="1744"/>
      <c r="BC251" s="1744"/>
      <c r="BD251" s="1744"/>
      <c r="BE251" s="1744"/>
      <c r="BF251" s="1744"/>
      <c r="BG251" s="1744"/>
      <c r="BH251" s="1744"/>
      <c r="BI251" s="1744"/>
      <c r="BJ251" s="1744"/>
      <c r="BK251" s="1744"/>
      <c r="BL251" s="1744"/>
      <c r="BM251" s="1744"/>
      <c r="BN251" s="1744"/>
      <c r="BO251" s="1744"/>
      <c r="BP251" s="1744"/>
      <c r="BQ251" s="1744"/>
      <c r="BR251" s="1744"/>
      <c r="BS251" s="1744"/>
      <c r="BT251" s="1744"/>
      <c r="BU251" s="1744"/>
      <c r="BV251" s="1744"/>
      <c r="BW251" s="1744"/>
      <c r="BX251" s="1744"/>
      <c r="BY251" s="1744"/>
      <c r="BZ251" s="1744"/>
      <c r="CA251" s="1744"/>
      <c r="CB251" s="1744"/>
      <c r="CC251" s="1744"/>
      <c r="CD251" s="1744"/>
      <c r="CE251" s="1744"/>
      <c r="CF251" s="1744"/>
      <c r="CG251" s="1744"/>
      <c r="CH251" s="1744"/>
      <c r="CI251" s="1744"/>
      <c r="CJ251" s="1744"/>
      <c r="CK251" s="1744"/>
      <c r="CL251" s="1744"/>
      <c r="CM251" s="1744"/>
      <c r="CN251" s="1744"/>
      <c r="CO251" s="1744"/>
      <c r="CP251" s="1744"/>
      <c r="CQ251" s="1744"/>
      <c r="CR251" s="1744"/>
      <c r="CS251" s="1744"/>
      <c r="CT251" s="1744"/>
      <c r="CU251" s="1744"/>
      <c r="CV251" s="1744"/>
      <c r="CW251" s="1744"/>
      <c r="CX251" s="1744"/>
      <c r="CY251" s="1744"/>
      <c r="CZ251" s="1744"/>
      <c r="DA251" s="1744"/>
      <c r="DB251" s="1744"/>
      <c r="DC251" s="1744"/>
      <c r="DD251" s="1744"/>
      <c r="DE251" s="1744"/>
      <c r="DF251" s="1744"/>
      <c r="DG251" s="1744"/>
      <c r="DH251" s="1744"/>
      <c r="DI251" s="1744"/>
      <c r="DJ251" s="1744"/>
      <c r="DK251" s="1744"/>
      <c r="DL251" s="1744"/>
      <c r="DM251" s="1744"/>
      <c r="DN251" s="1744"/>
      <c r="DO251" s="1744"/>
      <c r="DP251" s="1744"/>
      <c r="DQ251" s="1744"/>
      <c r="DR251" s="1744"/>
      <c r="DS251" s="1744"/>
      <c r="DT251" s="1744"/>
      <c r="DU251" s="1744"/>
      <c r="DV251" s="1744"/>
      <c r="DW251" s="1744"/>
      <c r="DX251" s="1744"/>
      <c r="DY251" s="1744"/>
      <c r="DZ251" s="1744"/>
      <c r="EA251" s="1744"/>
      <c r="EB251" s="1744"/>
      <c r="EC251" s="1744"/>
      <c r="ED251" s="1744"/>
      <c r="EE251" s="1744"/>
      <c r="EF251" s="1744"/>
      <c r="EG251" s="1744"/>
      <c r="EH251" s="1744"/>
      <c r="EI251" s="1744"/>
      <c r="EJ251" s="1744"/>
      <c r="EK251" s="1744"/>
      <c r="EL251" s="1744"/>
      <c r="EM251" s="1744"/>
      <c r="EN251" s="1744"/>
      <c r="EO251" s="1744"/>
      <c r="EP251" s="1744"/>
      <c r="EQ251" s="1744"/>
      <c r="ER251" s="1744"/>
      <c r="ES251" s="1744"/>
      <c r="ET251" s="1744"/>
      <c r="EU251" s="1744"/>
      <c r="EV251" s="1744"/>
      <c r="EW251" s="1744"/>
      <c r="EX251" s="1744"/>
      <c r="EY251" s="1744"/>
      <c r="EZ251" s="1744"/>
      <c r="FA251" s="1744"/>
      <c r="FB251" s="1744"/>
      <c r="FC251" s="1744"/>
      <c r="FD251" s="1744"/>
      <c r="FE251" s="1744"/>
      <c r="FF251" s="1744"/>
    </row>
    <row r="253" spans="6:162" s="1746" customFormat="1" ht="15.75" customHeight="1">
      <c r="F253" s="1744"/>
      <c r="G253" s="1744"/>
      <c r="H253" s="1744"/>
      <c r="I253" s="1744"/>
      <c r="J253" s="1744"/>
      <c r="K253" s="1744"/>
      <c r="L253" s="1744"/>
      <c r="M253" s="1744"/>
      <c r="N253" s="1744"/>
      <c r="O253" s="1744"/>
      <c r="P253" s="1744"/>
      <c r="Q253" s="1744"/>
      <c r="R253" s="1744"/>
      <c r="S253" s="1744"/>
      <c r="T253" s="1744"/>
      <c r="U253" s="1744"/>
      <c r="V253" s="1744"/>
      <c r="W253" s="1744"/>
      <c r="X253" s="1744"/>
      <c r="Y253" s="1744"/>
      <c r="AA253" s="1744"/>
      <c r="AC253" s="1744"/>
      <c r="AD253" s="1744"/>
      <c r="AE253" s="1744"/>
      <c r="AF253" s="1744"/>
      <c r="AG253" s="1744"/>
      <c r="AH253" s="1745"/>
      <c r="AI253" s="1745"/>
      <c r="AJ253" s="1744"/>
      <c r="AK253" s="1744"/>
      <c r="AL253" s="1744"/>
      <c r="AM253" s="1744"/>
      <c r="AN253" s="1744"/>
      <c r="AO253" s="1744"/>
      <c r="AP253" s="1744"/>
      <c r="AQ253" s="1744"/>
      <c r="AR253" s="1744"/>
      <c r="AS253" s="1744"/>
      <c r="AT253" s="1744"/>
      <c r="AU253" s="1744"/>
      <c r="AV253" s="1744"/>
      <c r="AW253" s="1744"/>
      <c r="AX253" s="1744"/>
      <c r="AY253" s="1744"/>
      <c r="AZ253" s="1744"/>
      <c r="BA253" s="1744"/>
      <c r="BB253" s="1744"/>
      <c r="BC253" s="1744"/>
      <c r="BD253" s="1744"/>
      <c r="BE253" s="1744"/>
      <c r="BF253" s="1744"/>
      <c r="BG253" s="1744"/>
      <c r="BH253" s="1744"/>
      <c r="BI253" s="1744"/>
      <c r="BJ253" s="1744"/>
      <c r="BK253" s="1744"/>
      <c r="BL253" s="1744"/>
      <c r="BM253" s="1744"/>
      <c r="BN253" s="1744"/>
      <c r="BO253" s="1744"/>
      <c r="BP253" s="1744"/>
      <c r="BQ253" s="1744"/>
      <c r="BR253" s="1744"/>
      <c r="BS253" s="1744"/>
      <c r="BT253" s="1744"/>
      <c r="BU253" s="1744"/>
      <c r="BV253" s="1744"/>
      <c r="BW253" s="1744"/>
      <c r="BX253" s="1744"/>
      <c r="BY253" s="1744"/>
      <c r="BZ253" s="1744"/>
      <c r="CA253" s="1744"/>
      <c r="CB253" s="1744"/>
      <c r="CC253" s="1744"/>
      <c r="CD253" s="1744"/>
      <c r="CE253" s="1744"/>
      <c r="CF253" s="1744"/>
      <c r="CG253" s="1744"/>
      <c r="CH253" s="1744"/>
      <c r="CI253" s="1744"/>
      <c r="CJ253" s="1744"/>
      <c r="CK253" s="1744"/>
      <c r="CL253" s="1744"/>
      <c r="CM253" s="1744"/>
      <c r="CN253" s="1744"/>
      <c r="CO253" s="1744"/>
      <c r="CP253" s="1744"/>
      <c r="CQ253" s="1744"/>
      <c r="CR253" s="1744"/>
      <c r="CS253" s="1744"/>
      <c r="CT253" s="1744"/>
      <c r="CU253" s="1744"/>
      <c r="CV253" s="1744"/>
      <c r="CW253" s="1744"/>
      <c r="CX253" s="1744"/>
      <c r="CY253" s="1744"/>
      <c r="CZ253" s="1744"/>
      <c r="DA253" s="1744"/>
      <c r="DB253" s="1744"/>
      <c r="DC253" s="1744"/>
      <c r="DD253" s="1744"/>
      <c r="DE253" s="1744"/>
      <c r="DF253" s="1744"/>
      <c r="DG253" s="1744"/>
      <c r="DH253" s="1744"/>
      <c r="DI253" s="1744"/>
      <c r="DJ253" s="1744"/>
      <c r="DK253" s="1744"/>
      <c r="DL253" s="1744"/>
      <c r="DM253" s="1744"/>
      <c r="DN253" s="1744"/>
      <c r="DO253" s="1744"/>
      <c r="DP253" s="1744"/>
      <c r="DQ253" s="1744"/>
      <c r="DR253" s="1744"/>
      <c r="DS253" s="1744"/>
      <c r="DT253" s="1744"/>
      <c r="DU253" s="1744"/>
      <c r="DV253" s="1744"/>
      <c r="DW253" s="1744"/>
      <c r="DX253" s="1744"/>
      <c r="DY253" s="1744"/>
      <c r="DZ253" s="1744"/>
      <c r="EA253" s="1744"/>
      <c r="EB253" s="1744"/>
      <c r="EC253" s="1744"/>
      <c r="ED253" s="1744"/>
      <c r="EE253" s="1744"/>
      <c r="EF253" s="1744"/>
      <c r="EG253" s="1744"/>
      <c r="EH253" s="1744"/>
      <c r="EI253" s="1744"/>
      <c r="EJ253" s="1744"/>
      <c r="EK253" s="1744"/>
      <c r="EL253" s="1744"/>
      <c r="EM253" s="1744"/>
      <c r="EN253" s="1744"/>
      <c r="EO253" s="1744"/>
      <c r="EP253" s="1744"/>
      <c r="EQ253" s="1744"/>
      <c r="ER253" s="1744"/>
      <c r="ES253" s="1744"/>
      <c r="ET253" s="1744"/>
      <c r="EU253" s="1744"/>
      <c r="EV253" s="1744"/>
      <c r="EW253" s="1744"/>
      <c r="EX253" s="1744"/>
      <c r="EY253" s="1744"/>
      <c r="EZ253" s="1744"/>
      <c r="FA253" s="1744"/>
      <c r="FB253" s="1744"/>
      <c r="FC253" s="1744"/>
      <c r="FD253" s="1744"/>
      <c r="FE253" s="1744"/>
      <c r="FF253" s="1744"/>
    </row>
    <row r="255" spans="6:162" s="1746" customFormat="1" ht="15.75" customHeight="1">
      <c r="F255" s="1744"/>
      <c r="G255" s="1744"/>
      <c r="H255" s="1744"/>
      <c r="I255" s="1744"/>
      <c r="J255" s="1744"/>
      <c r="K255" s="1744"/>
      <c r="L255" s="1744"/>
      <c r="M255" s="1744"/>
      <c r="N255" s="1744"/>
      <c r="O255" s="1744"/>
      <c r="P255" s="1744"/>
      <c r="Q255" s="1744"/>
      <c r="R255" s="1744"/>
      <c r="S255" s="1744"/>
      <c r="T255" s="1744"/>
      <c r="U255" s="1744"/>
      <c r="V255" s="1744"/>
      <c r="W255" s="1744"/>
      <c r="X255" s="1744"/>
      <c r="Y255" s="1744"/>
      <c r="AA255" s="1744"/>
      <c r="AC255" s="1744"/>
      <c r="AD255" s="1744"/>
      <c r="AE255" s="1744"/>
      <c r="AF255" s="1744"/>
      <c r="AG255" s="1744"/>
      <c r="AH255" s="1745"/>
      <c r="AI255" s="1745"/>
      <c r="AJ255" s="1744"/>
      <c r="AK255" s="1744"/>
      <c r="AL255" s="1744"/>
      <c r="AM255" s="1744"/>
      <c r="AN255" s="1744"/>
      <c r="AO255" s="1744"/>
      <c r="AP255" s="1744"/>
      <c r="AQ255" s="1744"/>
      <c r="AR255" s="1744"/>
      <c r="AS255" s="1744"/>
      <c r="AT255" s="1744"/>
      <c r="AU255" s="1744"/>
      <c r="AV255" s="1744"/>
      <c r="AW255" s="1744"/>
      <c r="AX255" s="1744"/>
      <c r="AY255" s="1744"/>
      <c r="AZ255" s="1744"/>
      <c r="BA255" s="1744"/>
      <c r="BB255" s="1744"/>
      <c r="BC255" s="1744"/>
      <c r="BD255" s="1744"/>
      <c r="BE255" s="1744"/>
      <c r="BF255" s="1744"/>
      <c r="BG255" s="1744"/>
      <c r="BH255" s="1744"/>
      <c r="BI255" s="1744"/>
      <c r="BJ255" s="1744"/>
      <c r="BK255" s="1744"/>
      <c r="BL255" s="1744"/>
      <c r="BM255" s="1744"/>
      <c r="BN255" s="1744"/>
      <c r="BO255" s="1744"/>
      <c r="BP255" s="1744"/>
      <c r="BQ255" s="1744"/>
      <c r="BR255" s="1744"/>
      <c r="BS255" s="1744"/>
      <c r="BT255" s="1744"/>
      <c r="BU255" s="1744"/>
      <c r="BV255" s="1744"/>
      <c r="BW255" s="1744"/>
      <c r="BX255" s="1744"/>
      <c r="BY255" s="1744"/>
      <c r="BZ255" s="1744"/>
      <c r="CA255" s="1744"/>
      <c r="CB255" s="1744"/>
      <c r="CC255" s="1744"/>
      <c r="CD255" s="1744"/>
      <c r="CE255" s="1744"/>
      <c r="CF255" s="1744"/>
      <c r="CG255" s="1744"/>
      <c r="CH255" s="1744"/>
      <c r="CI255" s="1744"/>
      <c r="CJ255" s="1744"/>
      <c r="CK255" s="1744"/>
      <c r="CL255" s="1744"/>
      <c r="CM255" s="1744"/>
      <c r="CN255" s="1744"/>
      <c r="CO255" s="1744"/>
      <c r="CP255" s="1744"/>
      <c r="CQ255" s="1744"/>
      <c r="CR255" s="1744"/>
      <c r="CS255" s="1744"/>
      <c r="CT255" s="1744"/>
      <c r="CU255" s="1744"/>
      <c r="CV255" s="1744"/>
      <c r="CW255" s="1744"/>
      <c r="CX255" s="1744"/>
      <c r="CY255" s="1744"/>
      <c r="CZ255" s="1744"/>
      <c r="DA255" s="1744"/>
      <c r="DB255" s="1744"/>
      <c r="DC255" s="1744"/>
      <c r="DD255" s="1744"/>
      <c r="DE255" s="1744"/>
      <c r="DF255" s="1744"/>
      <c r="DG255" s="1744"/>
      <c r="DH255" s="1744"/>
      <c r="DI255" s="1744"/>
      <c r="DJ255" s="1744"/>
      <c r="DK255" s="1744"/>
      <c r="DL255" s="1744"/>
      <c r="DM255" s="1744"/>
      <c r="DN255" s="1744"/>
      <c r="DO255" s="1744"/>
      <c r="DP255" s="1744"/>
      <c r="DQ255" s="1744"/>
      <c r="DR255" s="1744"/>
      <c r="DS255" s="1744"/>
      <c r="DT255" s="1744"/>
      <c r="DU255" s="1744"/>
      <c r="DV255" s="1744"/>
      <c r="DW255" s="1744"/>
      <c r="DX255" s="1744"/>
      <c r="DY255" s="1744"/>
      <c r="DZ255" s="1744"/>
      <c r="EA255" s="1744"/>
      <c r="EB255" s="1744"/>
      <c r="EC255" s="1744"/>
      <c r="ED255" s="1744"/>
      <c r="EE255" s="1744"/>
      <c r="EF255" s="1744"/>
      <c r="EG255" s="1744"/>
      <c r="EH255" s="1744"/>
      <c r="EI255" s="1744"/>
      <c r="EJ255" s="1744"/>
      <c r="EK255" s="1744"/>
      <c r="EL255" s="1744"/>
      <c r="EM255" s="1744"/>
      <c r="EN255" s="1744"/>
      <c r="EO255" s="1744"/>
      <c r="EP255" s="1744"/>
      <c r="EQ255" s="1744"/>
      <c r="ER255" s="1744"/>
      <c r="ES255" s="1744"/>
      <c r="ET255" s="1744"/>
      <c r="EU255" s="1744"/>
      <c r="EV255" s="1744"/>
      <c r="EW255" s="1744"/>
      <c r="EX255" s="1744"/>
      <c r="EY255" s="1744"/>
      <c r="EZ255" s="1744"/>
      <c r="FA255" s="1744"/>
      <c r="FB255" s="1744"/>
      <c r="FC255" s="1744"/>
      <c r="FD255" s="1744"/>
      <c r="FE255" s="1744"/>
      <c r="FF255" s="1744"/>
    </row>
    <row r="257" spans="6:162" s="1746" customFormat="1" ht="15.75" customHeight="1">
      <c r="F257" s="1744"/>
      <c r="G257" s="1744"/>
      <c r="H257" s="1744"/>
      <c r="I257" s="1744"/>
      <c r="J257" s="1744"/>
      <c r="K257" s="1744"/>
      <c r="L257" s="1744"/>
      <c r="M257" s="1744"/>
      <c r="N257" s="1744"/>
      <c r="O257" s="1744"/>
      <c r="P257" s="1744"/>
      <c r="Q257" s="1744"/>
      <c r="R257" s="1744"/>
      <c r="S257" s="1744"/>
      <c r="T257" s="1744"/>
      <c r="U257" s="1744"/>
      <c r="V257" s="1744"/>
      <c r="W257" s="1744"/>
      <c r="X257" s="1744"/>
      <c r="Y257" s="1744"/>
      <c r="AA257" s="1744"/>
      <c r="AC257" s="1744"/>
      <c r="AD257" s="1744"/>
      <c r="AE257" s="1744"/>
      <c r="AF257" s="1744"/>
      <c r="AG257" s="1744"/>
      <c r="AH257" s="1745"/>
      <c r="AI257" s="1745"/>
      <c r="AJ257" s="1744"/>
      <c r="AK257" s="1744"/>
      <c r="AL257" s="1744"/>
      <c r="AM257" s="1744"/>
      <c r="AN257" s="1744"/>
      <c r="AO257" s="1744"/>
      <c r="AP257" s="1744"/>
      <c r="AQ257" s="1744"/>
      <c r="AR257" s="1744"/>
      <c r="AS257" s="1744"/>
      <c r="AT257" s="1744"/>
      <c r="AU257" s="1744"/>
      <c r="AV257" s="1744"/>
      <c r="AW257" s="1744"/>
      <c r="AX257" s="1744"/>
      <c r="AY257" s="1744"/>
      <c r="AZ257" s="1744"/>
      <c r="BA257" s="1744"/>
      <c r="BB257" s="1744"/>
      <c r="BC257" s="1744"/>
      <c r="BD257" s="1744"/>
      <c r="BE257" s="1744"/>
      <c r="BF257" s="1744"/>
      <c r="BG257" s="1744"/>
      <c r="BH257" s="1744"/>
      <c r="BI257" s="1744"/>
      <c r="BJ257" s="1744"/>
      <c r="BK257" s="1744"/>
      <c r="BL257" s="1744"/>
      <c r="BM257" s="1744"/>
      <c r="BN257" s="1744"/>
      <c r="BO257" s="1744"/>
      <c r="BP257" s="1744"/>
      <c r="BQ257" s="1744"/>
      <c r="BR257" s="1744"/>
      <c r="BS257" s="1744"/>
      <c r="BT257" s="1744"/>
      <c r="BU257" s="1744"/>
      <c r="BV257" s="1744"/>
      <c r="BW257" s="1744"/>
      <c r="BX257" s="1744"/>
      <c r="BY257" s="1744"/>
      <c r="BZ257" s="1744"/>
      <c r="CA257" s="1744"/>
      <c r="CB257" s="1744"/>
      <c r="CC257" s="1744"/>
      <c r="CD257" s="1744"/>
      <c r="CE257" s="1744"/>
      <c r="CF257" s="1744"/>
      <c r="CG257" s="1744"/>
      <c r="CH257" s="1744"/>
      <c r="CI257" s="1744"/>
      <c r="CJ257" s="1744"/>
      <c r="CK257" s="1744"/>
      <c r="CL257" s="1744"/>
      <c r="CM257" s="1744"/>
      <c r="CN257" s="1744"/>
      <c r="CO257" s="1744"/>
      <c r="CP257" s="1744"/>
      <c r="CQ257" s="1744"/>
      <c r="CR257" s="1744"/>
      <c r="CS257" s="1744"/>
      <c r="CT257" s="1744"/>
      <c r="CU257" s="1744"/>
      <c r="CV257" s="1744"/>
      <c r="CW257" s="1744"/>
      <c r="CX257" s="1744"/>
      <c r="CY257" s="1744"/>
      <c r="CZ257" s="1744"/>
      <c r="DA257" s="1744"/>
      <c r="DB257" s="1744"/>
      <c r="DC257" s="1744"/>
      <c r="DD257" s="1744"/>
      <c r="DE257" s="1744"/>
      <c r="DF257" s="1744"/>
      <c r="DG257" s="1744"/>
      <c r="DH257" s="1744"/>
      <c r="DI257" s="1744"/>
      <c r="DJ257" s="1744"/>
      <c r="DK257" s="1744"/>
      <c r="DL257" s="1744"/>
      <c r="DM257" s="1744"/>
      <c r="DN257" s="1744"/>
      <c r="DO257" s="1744"/>
      <c r="DP257" s="1744"/>
      <c r="DQ257" s="1744"/>
      <c r="DR257" s="1744"/>
      <c r="DS257" s="1744"/>
      <c r="DT257" s="1744"/>
      <c r="DU257" s="1744"/>
      <c r="DV257" s="1744"/>
      <c r="DW257" s="1744"/>
      <c r="DX257" s="1744"/>
      <c r="DY257" s="1744"/>
      <c r="DZ257" s="1744"/>
      <c r="EA257" s="1744"/>
      <c r="EB257" s="1744"/>
      <c r="EC257" s="1744"/>
      <c r="ED257" s="1744"/>
      <c r="EE257" s="1744"/>
      <c r="EF257" s="1744"/>
      <c r="EG257" s="1744"/>
      <c r="EH257" s="1744"/>
      <c r="EI257" s="1744"/>
      <c r="EJ257" s="1744"/>
      <c r="EK257" s="1744"/>
      <c r="EL257" s="1744"/>
      <c r="EM257" s="1744"/>
      <c r="EN257" s="1744"/>
      <c r="EO257" s="1744"/>
      <c r="EP257" s="1744"/>
      <c r="EQ257" s="1744"/>
      <c r="ER257" s="1744"/>
      <c r="ES257" s="1744"/>
      <c r="ET257" s="1744"/>
      <c r="EU257" s="1744"/>
      <c r="EV257" s="1744"/>
      <c r="EW257" s="1744"/>
      <c r="EX257" s="1744"/>
      <c r="EY257" s="1744"/>
      <c r="EZ257" s="1744"/>
      <c r="FA257" s="1744"/>
      <c r="FB257" s="1744"/>
      <c r="FC257" s="1744"/>
      <c r="FD257" s="1744"/>
      <c r="FE257" s="1744"/>
      <c r="FF257" s="1744"/>
    </row>
    <row r="259" spans="6:162" s="1746" customFormat="1" ht="15.75" customHeight="1">
      <c r="F259" s="1744"/>
      <c r="G259" s="1744"/>
      <c r="H259" s="1744"/>
      <c r="I259" s="1744"/>
      <c r="J259" s="1744"/>
      <c r="K259" s="1744"/>
      <c r="L259" s="1744"/>
      <c r="M259" s="1744"/>
      <c r="N259" s="1744"/>
      <c r="O259" s="1744"/>
      <c r="P259" s="1744"/>
      <c r="Q259" s="1744"/>
      <c r="R259" s="1744"/>
      <c r="S259" s="1744"/>
      <c r="T259" s="1744"/>
      <c r="U259" s="1744"/>
      <c r="V259" s="1744"/>
      <c r="W259" s="1744"/>
      <c r="X259" s="1744"/>
      <c r="Y259" s="1744"/>
      <c r="AA259" s="1744"/>
      <c r="AC259" s="1744"/>
      <c r="AD259" s="1744"/>
      <c r="AE259" s="1744"/>
      <c r="AF259" s="1744"/>
      <c r="AG259" s="1744"/>
      <c r="AH259" s="1745"/>
      <c r="AI259" s="1745"/>
      <c r="AJ259" s="1744"/>
      <c r="AK259" s="1744"/>
      <c r="AL259" s="1744"/>
      <c r="AM259" s="1744"/>
      <c r="AN259" s="1744"/>
      <c r="AO259" s="1744"/>
      <c r="AP259" s="1744"/>
      <c r="AQ259" s="1744"/>
      <c r="AR259" s="1744"/>
      <c r="AS259" s="1744"/>
      <c r="AT259" s="1744"/>
      <c r="AU259" s="1744"/>
      <c r="AV259" s="1744"/>
      <c r="AW259" s="1744"/>
      <c r="AX259" s="1744"/>
      <c r="AY259" s="1744"/>
      <c r="AZ259" s="1744"/>
      <c r="BA259" s="1744"/>
      <c r="BB259" s="1744"/>
      <c r="BC259" s="1744"/>
      <c r="BD259" s="1744"/>
      <c r="BE259" s="1744"/>
      <c r="BF259" s="1744"/>
      <c r="BG259" s="1744"/>
      <c r="BH259" s="1744"/>
      <c r="BI259" s="1744"/>
      <c r="BJ259" s="1744"/>
      <c r="BK259" s="1744"/>
      <c r="BL259" s="1744"/>
      <c r="BM259" s="1744"/>
      <c r="BN259" s="1744"/>
      <c r="BO259" s="1744"/>
      <c r="BP259" s="1744"/>
      <c r="BQ259" s="1744"/>
      <c r="BR259" s="1744"/>
      <c r="BS259" s="1744"/>
      <c r="BT259" s="1744"/>
      <c r="BU259" s="1744"/>
      <c r="BV259" s="1744"/>
      <c r="BW259" s="1744"/>
      <c r="BX259" s="1744"/>
      <c r="BY259" s="1744"/>
      <c r="BZ259" s="1744"/>
      <c r="CA259" s="1744"/>
      <c r="CB259" s="1744"/>
      <c r="CC259" s="1744"/>
      <c r="CD259" s="1744"/>
      <c r="CE259" s="1744"/>
      <c r="CF259" s="1744"/>
      <c r="CG259" s="1744"/>
      <c r="CH259" s="1744"/>
      <c r="CI259" s="1744"/>
      <c r="CJ259" s="1744"/>
      <c r="CK259" s="1744"/>
      <c r="CL259" s="1744"/>
      <c r="CM259" s="1744"/>
      <c r="CN259" s="1744"/>
      <c r="CO259" s="1744"/>
      <c r="CP259" s="1744"/>
      <c r="CQ259" s="1744"/>
      <c r="CR259" s="1744"/>
      <c r="CS259" s="1744"/>
      <c r="CT259" s="1744"/>
      <c r="CU259" s="1744"/>
      <c r="CV259" s="1744"/>
      <c r="CW259" s="1744"/>
      <c r="CX259" s="1744"/>
      <c r="CY259" s="1744"/>
      <c r="CZ259" s="1744"/>
      <c r="DA259" s="1744"/>
      <c r="DB259" s="1744"/>
      <c r="DC259" s="1744"/>
      <c r="DD259" s="1744"/>
      <c r="DE259" s="1744"/>
      <c r="DF259" s="1744"/>
      <c r="DG259" s="1744"/>
      <c r="DH259" s="1744"/>
      <c r="DI259" s="1744"/>
      <c r="DJ259" s="1744"/>
      <c r="DK259" s="1744"/>
      <c r="DL259" s="1744"/>
      <c r="DM259" s="1744"/>
      <c r="DN259" s="1744"/>
      <c r="DO259" s="1744"/>
      <c r="DP259" s="1744"/>
      <c r="DQ259" s="1744"/>
      <c r="DR259" s="1744"/>
      <c r="DS259" s="1744"/>
      <c r="DT259" s="1744"/>
      <c r="DU259" s="1744"/>
      <c r="DV259" s="1744"/>
      <c r="DW259" s="1744"/>
      <c r="DX259" s="1744"/>
      <c r="DY259" s="1744"/>
      <c r="DZ259" s="1744"/>
      <c r="EA259" s="1744"/>
      <c r="EB259" s="1744"/>
      <c r="EC259" s="1744"/>
      <c r="ED259" s="1744"/>
      <c r="EE259" s="1744"/>
      <c r="EF259" s="1744"/>
      <c r="EG259" s="1744"/>
      <c r="EH259" s="1744"/>
      <c r="EI259" s="1744"/>
      <c r="EJ259" s="1744"/>
      <c r="EK259" s="1744"/>
      <c r="EL259" s="1744"/>
      <c r="EM259" s="1744"/>
      <c r="EN259" s="1744"/>
      <c r="EO259" s="1744"/>
      <c r="EP259" s="1744"/>
      <c r="EQ259" s="1744"/>
      <c r="ER259" s="1744"/>
      <c r="ES259" s="1744"/>
      <c r="ET259" s="1744"/>
      <c r="EU259" s="1744"/>
      <c r="EV259" s="1744"/>
      <c r="EW259" s="1744"/>
      <c r="EX259" s="1744"/>
      <c r="EY259" s="1744"/>
      <c r="EZ259" s="1744"/>
      <c r="FA259" s="1744"/>
      <c r="FB259" s="1744"/>
      <c r="FC259" s="1744"/>
      <c r="FD259" s="1744"/>
      <c r="FE259" s="1744"/>
      <c r="FF259" s="1744"/>
    </row>
    <row r="261" spans="6:162" s="1746" customFormat="1" ht="15.75" customHeight="1">
      <c r="F261" s="1744"/>
      <c r="G261" s="1744"/>
      <c r="H261" s="1744"/>
      <c r="I261" s="1744"/>
      <c r="J261" s="1744"/>
      <c r="K261" s="1744"/>
      <c r="L261" s="1744"/>
      <c r="M261" s="1744"/>
      <c r="N261" s="1744"/>
      <c r="O261" s="1744"/>
      <c r="P261" s="1744"/>
      <c r="Q261" s="1744"/>
      <c r="R261" s="1744"/>
      <c r="S261" s="1744"/>
      <c r="T261" s="1744"/>
      <c r="U261" s="1744"/>
      <c r="V261" s="1744"/>
      <c r="W261" s="1744"/>
      <c r="X261" s="1744"/>
      <c r="Y261" s="1744"/>
      <c r="AA261" s="1744"/>
      <c r="AC261" s="1744"/>
      <c r="AD261" s="1744"/>
      <c r="AE261" s="1744"/>
      <c r="AF261" s="1744"/>
      <c r="AG261" s="1744"/>
      <c r="AH261" s="1745"/>
      <c r="AI261" s="1745"/>
      <c r="AJ261" s="1744"/>
      <c r="AK261" s="1744"/>
      <c r="AL261" s="1744"/>
      <c r="AM261" s="1744"/>
      <c r="AN261" s="1744"/>
      <c r="AO261" s="1744"/>
      <c r="AP261" s="1744"/>
      <c r="AQ261" s="1744"/>
      <c r="AR261" s="1744"/>
      <c r="AS261" s="1744"/>
      <c r="AT261" s="1744"/>
      <c r="AU261" s="1744"/>
      <c r="AV261" s="1744"/>
      <c r="AW261" s="1744"/>
      <c r="AX261" s="1744"/>
      <c r="AY261" s="1744"/>
      <c r="AZ261" s="1744"/>
      <c r="BA261" s="1744"/>
      <c r="BB261" s="1744"/>
      <c r="BC261" s="1744"/>
      <c r="BD261" s="1744"/>
      <c r="BE261" s="1744"/>
      <c r="BF261" s="1744"/>
      <c r="BG261" s="1744"/>
      <c r="BH261" s="1744"/>
      <c r="BI261" s="1744"/>
      <c r="BJ261" s="1744"/>
      <c r="BK261" s="1744"/>
      <c r="BL261" s="1744"/>
      <c r="BM261" s="1744"/>
      <c r="BN261" s="1744"/>
      <c r="BO261" s="1744"/>
      <c r="BP261" s="1744"/>
      <c r="BQ261" s="1744"/>
      <c r="BR261" s="1744"/>
      <c r="BS261" s="1744"/>
      <c r="BT261" s="1744"/>
      <c r="BU261" s="1744"/>
      <c r="BV261" s="1744"/>
      <c r="BW261" s="1744"/>
      <c r="BX261" s="1744"/>
      <c r="BY261" s="1744"/>
      <c r="BZ261" s="1744"/>
      <c r="CA261" s="1744"/>
      <c r="CB261" s="1744"/>
      <c r="CC261" s="1744"/>
      <c r="CD261" s="1744"/>
      <c r="CE261" s="1744"/>
      <c r="CF261" s="1744"/>
      <c r="CG261" s="1744"/>
      <c r="CH261" s="1744"/>
      <c r="CI261" s="1744"/>
      <c r="CJ261" s="1744"/>
      <c r="CK261" s="1744"/>
      <c r="CL261" s="1744"/>
      <c r="CM261" s="1744"/>
      <c r="CN261" s="1744"/>
      <c r="CO261" s="1744"/>
      <c r="CP261" s="1744"/>
      <c r="CQ261" s="1744"/>
      <c r="CR261" s="1744"/>
      <c r="CS261" s="1744"/>
      <c r="CT261" s="1744"/>
      <c r="CU261" s="1744"/>
      <c r="CV261" s="1744"/>
      <c r="CW261" s="1744"/>
      <c r="CX261" s="1744"/>
      <c r="CY261" s="1744"/>
      <c r="CZ261" s="1744"/>
      <c r="DA261" s="1744"/>
      <c r="DB261" s="1744"/>
      <c r="DC261" s="1744"/>
      <c r="DD261" s="1744"/>
      <c r="DE261" s="1744"/>
      <c r="DF261" s="1744"/>
      <c r="DG261" s="1744"/>
      <c r="DH261" s="1744"/>
      <c r="DI261" s="1744"/>
      <c r="DJ261" s="1744"/>
      <c r="DK261" s="1744"/>
      <c r="DL261" s="1744"/>
      <c r="DM261" s="1744"/>
      <c r="DN261" s="1744"/>
      <c r="DO261" s="1744"/>
      <c r="DP261" s="1744"/>
      <c r="DQ261" s="1744"/>
      <c r="DR261" s="1744"/>
      <c r="DS261" s="1744"/>
      <c r="DT261" s="1744"/>
      <c r="DU261" s="1744"/>
      <c r="DV261" s="1744"/>
      <c r="DW261" s="1744"/>
      <c r="DX261" s="1744"/>
      <c r="DY261" s="1744"/>
      <c r="DZ261" s="1744"/>
      <c r="EA261" s="1744"/>
      <c r="EB261" s="1744"/>
      <c r="EC261" s="1744"/>
      <c r="ED261" s="1744"/>
      <c r="EE261" s="1744"/>
      <c r="EF261" s="1744"/>
      <c r="EG261" s="1744"/>
      <c r="EH261" s="1744"/>
      <c r="EI261" s="1744"/>
      <c r="EJ261" s="1744"/>
      <c r="EK261" s="1744"/>
      <c r="EL261" s="1744"/>
      <c r="EM261" s="1744"/>
      <c r="EN261" s="1744"/>
      <c r="EO261" s="1744"/>
      <c r="EP261" s="1744"/>
      <c r="EQ261" s="1744"/>
      <c r="ER261" s="1744"/>
      <c r="ES261" s="1744"/>
      <c r="ET261" s="1744"/>
      <c r="EU261" s="1744"/>
      <c r="EV261" s="1744"/>
      <c r="EW261" s="1744"/>
      <c r="EX261" s="1744"/>
      <c r="EY261" s="1744"/>
      <c r="EZ261" s="1744"/>
      <c r="FA261" s="1744"/>
      <c r="FB261" s="1744"/>
      <c r="FC261" s="1744"/>
      <c r="FD261" s="1744"/>
      <c r="FE261" s="1744"/>
      <c r="FF261" s="1744"/>
    </row>
    <row r="263" spans="6:162" s="1746" customFormat="1" ht="15.75" customHeight="1">
      <c r="F263" s="1744"/>
      <c r="G263" s="1744"/>
      <c r="H263" s="1744"/>
      <c r="I263" s="1744"/>
      <c r="J263" s="1744"/>
      <c r="K263" s="1744"/>
      <c r="L263" s="1744"/>
      <c r="M263" s="1744"/>
      <c r="N263" s="1744"/>
      <c r="O263" s="1744"/>
      <c r="P263" s="1744"/>
      <c r="Q263" s="1744"/>
      <c r="R263" s="1744"/>
      <c r="S263" s="1744"/>
      <c r="T263" s="1744"/>
      <c r="U263" s="1744"/>
      <c r="V263" s="1744"/>
      <c r="W263" s="1744"/>
      <c r="X263" s="1744"/>
      <c r="Y263" s="1744"/>
      <c r="AA263" s="1744"/>
      <c r="AC263" s="1744"/>
      <c r="AD263" s="1744"/>
      <c r="AE263" s="1744"/>
      <c r="AF263" s="1744"/>
      <c r="AG263" s="1744"/>
      <c r="AH263" s="1745"/>
      <c r="AI263" s="1745"/>
      <c r="AJ263" s="1744"/>
      <c r="AK263" s="1744"/>
      <c r="AL263" s="1744"/>
      <c r="AM263" s="1744"/>
      <c r="AN263" s="1744"/>
      <c r="AO263" s="1744"/>
      <c r="AP263" s="1744"/>
      <c r="AQ263" s="1744"/>
      <c r="AR263" s="1744"/>
      <c r="AS263" s="1744"/>
      <c r="AT263" s="1744"/>
      <c r="AU263" s="1744"/>
      <c r="AV263" s="1744"/>
      <c r="AW263" s="1744"/>
      <c r="AX263" s="1744"/>
      <c r="AY263" s="1744"/>
      <c r="AZ263" s="1744"/>
      <c r="BA263" s="1744"/>
      <c r="BB263" s="1744"/>
      <c r="BC263" s="1744"/>
      <c r="BD263" s="1744"/>
      <c r="BE263" s="1744"/>
      <c r="BF263" s="1744"/>
      <c r="BG263" s="1744"/>
      <c r="BH263" s="1744"/>
      <c r="BI263" s="1744"/>
      <c r="BJ263" s="1744"/>
      <c r="BK263" s="1744"/>
      <c r="BL263" s="1744"/>
      <c r="BM263" s="1744"/>
      <c r="BN263" s="1744"/>
      <c r="BO263" s="1744"/>
      <c r="BP263" s="1744"/>
      <c r="BQ263" s="1744"/>
      <c r="BR263" s="1744"/>
      <c r="BS263" s="1744"/>
      <c r="BT263" s="1744"/>
      <c r="BU263" s="1744"/>
      <c r="BV263" s="1744"/>
      <c r="BW263" s="1744"/>
      <c r="BX263" s="1744"/>
      <c r="BY263" s="1744"/>
      <c r="BZ263" s="1744"/>
      <c r="CA263" s="1744"/>
      <c r="CB263" s="1744"/>
      <c r="CC263" s="1744"/>
      <c r="CD263" s="1744"/>
      <c r="CE263" s="1744"/>
      <c r="CF263" s="1744"/>
      <c r="CG263" s="1744"/>
      <c r="CH263" s="1744"/>
      <c r="CI263" s="1744"/>
      <c r="CJ263" s="1744"/>
      <c r="CK263" s="1744"/>
      <c r="CL263" s="1744"/>
      <c r="CM263" s="1744"/>
      <c r="CN263" s="1744"/>
      <c r="CO263" s="1744"/>
      <c r="CP263" s="1744"/>
      <c r="CQ263" s="1744"/>
      <c r="CR263" s="1744"/>
      <c r="CS263" s="1744"/>
      <c r="CT263" s="1744"/>
      <c r="CU263" s="1744"/>
      <c r="CV263" s="1744"/>
      <c r="CW263" s="1744"/>
      <c r="CX263" s="1744"/>
      <c r="CY263" s="1744"/>
      <c r="CZ263" s="1744"/>
      <c r="DA263" s="1744"/>
      <c r="DB263" s="1744"/>
      <c r="DC263" s="1744"/>
      <c r="DD263" s="1744"/>
      <c r="DE263" s="1744"/>
      <c r="DF263" s="1744"/>
      <c r="DG263" s="1744"/>
      <c r="DH263" s="1744"/>
      <c r="DI263" s="1744"/>
      <c r="DJ263" s="1744"/>
      <c r="DK263" s="1744"/>
      <c r="DL263" s="1744"/>
      <c r="DM263" s="1744"/>
      <c r="DN263" s="1744"/>
      <c r="DO263" s="1744"/>
      <c r="DP263" s="1744"/>
      <c r="DQ263" s="1744"/>
      <c r="DR263" s="1744"/>
      <c r="DS263" s="1744"/>
      <c r="DT263" s="1744"/>
      <c r="DU263" s="1744"/>
      <c r="DV263" s="1744"/>
      <c r="DW263" s="1744"/>
      <c r="DX263" s="1744"/>
      <c r="DY263" s="1744"/>
      <c r="DZ263" s="1744"/>
      <c r="EA263" s="1744"/>
      <c r="EB263" s="1744"/>
      <c r="EC263" s="1744"/>
      <c r="ED263" s="1744"/>
      <c r="EE263" s="1744"/>
      <c r="EF263" s="1744"/>
      <c r="EG263" s="1744"/>
      <c r="EH263" s="1744"/>
      <c r="EI263" s="1744"/>
      <c r="EJ263" s="1744"/>
      <c r="EK263" s="1744"/>
      <c r="EL263" s="1744"/>
      <c r="EM263" s="1744"/>
      <c r="EN263" s="1744"/>
      <c r="EO263" s="1744"/>
      <c r="EP263" s="1744"/>
      <c r="EQ263" s="1744"/>
      <c r="ER263" s="1744"/>
      <c r="ES263" s="1744"/>
      <c r="ET263" s="1744"/>
      <c r="EU263" s="1744"/>
      <c r="EV263" s="1744"/>
      <c r="EW263" s="1744"/>
      <c r="EX263" s="1744"/>
      <c r="EY263" s="1744"/>
      <c r="EZ263" s="1744"/>
      <c r="FA263" s="1744"/>
      <c r="FB263" s="1744"/>
      <c r="FC263" s="1744"/>
      <c r="FD263" s="1744"/>
      <c r="FE263" s="1744"/>
      <c r="FF263" s="1744"/>
    </row>
    <row r="265" spans="6:162" s="1746" customFormat="1" ht="15.75" customHeight="1">
      <c r="F265" s="1744"/>
      <c r="G265" s="1744"/>
      <c r="H265" s="1744"/>
      <c r="I265" s="1744"/>
      <c r="J265" s="1744"/>
      <c r="K265" s="1744"/>
      <c r="L265" s="1744"/>
      <c r="M265" s="1744"/>
      <c r="N265" s="1744"/>
      <c r="O265" s="1744"/>
      <c r="P265" s="1744"/>
      <c r="Q265" s="1744"/>
      <c r="R265" s="1744"/>
      <c r="S265" s="1744"/>
      <c r="T265" s="1744"/>
      <c r="U265" s="1744"/>
      <c r="V265" s="1744"/>
      <c r="W265" s="1744"/>
      <c r="X265" s="1744"/>
      <c r="Y265" s="1744"/>
      <c r="AA265" s="1744"/>
      <c r="AC265" s="1744"/>
      <c r="AD265" s="1744"/>
      <c r="AE265" s="1744"/>
      <c r="AF265" s="1744"/>
      <c r="AG265" s="1744"/>
      <c r="AH265" s="1745"/>
      <c r="AI265" s="1745"/>
      <c r="AJ265" s="1744"/>
      <c r="AK265" s="1744"/>
      <c r="AL265" s="1744"/>
      <c r="AM265" s="1744"/>
      <c r="AN265" s="1744"/>
      <c r="AO265" s="1744"/>
      <c r="AP265" s="1744"/>
      <c r="AQ265" s="1744"/>
      <c r="AR265" s="1744"/>
      <c r="AS265" s="1744"/>
      <c r="AT265" s="1744"/>
      <c r="AU265" s="1744"/>
      <c r="AV265" s="1744"/>
      <c r="AW265" s="1744"/>
      <c r="AX265" s="1744"/>
      <c r="AY265" s="1744"/>
      <c r="AZ265" s="1744"/>
      <c r="BA265" s="1744"/>
      <c r="BB265" s="1744"/>
      <c r="BC265" s="1744"/>
      <c r="BD265" s="1744"/>
      <c r="BE265" s="1744"/>
      <c r="BF265" s="1744"/>
      <c r="BG265" s="1744"/>
      <c r="BH265" s="1744"/>
      <c r="BI265" s="1744"/>
      <c r="BJ265" s="1744"/>
      <c r="BK265" s="1744"/>
      <c r="BL265" s="1744"/>
      <c r="BM265" s="1744"/>
      <c r="BN265" s="1744"/>
      <c r="BO265" s="1744"/>
      <c r="BP265" s="1744"/>
      <c r="BQ265" s="1744"/>
      <c r="BR265" s="1744"/>
      <c r="BS265" s="1744"/>
      <c r="BT265" s="1744"/>
      <c r="BU265" s="1744"/>
      <c r="BV265" s="1744"/>
      <c r="BW265" s="1744"/>
      <c r="BX265" s="1744"/>
      <c r="BY265" s="1744"/>
      <c r="BZ265" s="1744"/>
      <c r="CA265" s="1744"/>
      <c r="CB265" s="1744"/>
      <c r="CC265" s="1744"/>
      <c r="CD265" s="1744"/>
      <c r="CE265" s="1744"/>
      <c r="CF265" s="1744"/>
      <c r="CG265" s="1744"/>
      <c r="CH265" s="1744"/>
      <c r="CI265" s="1744"/>
      <c r="CJ265" s="1744"/>
      <c r="CK265" s="1744"/>
      <c r="CL265" s="1744"/>
      <c r="CM265" s="1744"/>
      <c r="CN265" s="1744"/>
      <c r="CO265" s="1744"/>
      <c r="CP265" s="1744"/>
      <c r="CQ265" s="1744"/>
      <c r="CR265" s="1744"/>
      <c r="CS265" s="1744"/>
      <c r="CT265" s="1744"/>
      <c r="CU265" s="1744"/>
      <c r="CV265" s="1744"/>
      <c r="CW265" s="1744"/>
      <c r="CX265" s="1744"/>
      <c r="CY265" s="1744"/>
      <c r="CZ265" s="1744"/>
      <c r="DA265" s="1744"/>
      <c r="DB265" s="1744"/>
      <c r="DC265" s="1744"/>
      <c r="DD265" s="1744"/>
      <c r="DE265" s="1744"/>
      <c r="DF265" s="1744"/>
      <c r="DG265" s="1744"/>
      <c r="DH265" s="1744"/>
      <c r="DI265" s="1744"/>
      <c r="DJ265" s="1744"/>
      <c r="DK265" s="1744"/>
      <c r="DL265" s="1744"/>
      <c r="DM265" s="1744"/>
      <c r="DN265" s="1744"/>
      <c r="DO265" s="1744"/>
      <c r="DP265" s="1744"/>
      <c r="DQ265" s="1744"/>
      <c r="DR265" s="1744"/>
      <c r="DS265" s="1744"/>
      <c r="DT265" s="1744"/>
      <c r="DU265" s="1744"/>
      <c r="DV265" s="1744"/>
      <c r="DW265" s="1744"/>
      <c r="DX265" s="1744"/>
      <c r="DY265" s="1744"/>
      <c r="DZ265" s="1744"/>
      <c r="EA265" s="1744"/>
      <c r="EB265" s="1744"/>
      <c r="EC265" s="1744"/>
      <c r="ED265" s="1744"/>
      <c r="EE265" s="1744"/>
      <c r="EF265" s="1744"/>
      <c r="EG265" s="1744"/>
      <c r="EH265" s="1744"/>
      <c r="EI265" s="1744"/>
      <c r="EJ265" s="1744"/>
      <c r="EK265" s="1744"/>
      <c r="EL265" s="1744"/>
      <c r="EM265" s="1744"/>
      <c r="EN265" s="1744"/>
      <c r="EO265" s="1744"/>
      <c r="EP265" s="1744"/>
      <c r="EQ265" s="1744"/>
      <c r="ER265" s="1744"/>
      <c r="ES265" s="1744"/>
      <c r="ET265" s="1744"/>
      <c r="EU265" s="1744"/>
      <c r="EV265" s="1744"/>
      <c r="EW265" s="1744"/>
      <c r="EX265" s="1744"/>
      <c r="EY265" s="1744"/>
      <c r="EZ265" s="1744"/>
      <c r="FA265" s="1744"/>
      <c r="FB265" s="1744"/>
      <c r="FC265" s="1744"/>
      <c r="FD265" s="1744"/>
      <c r="FE265" s="1744"/>
      <c r="FF265" s="1744"/>
    </row>
    <row r="267" spans="6:162" s="1746" customFormat="1" ht="15.75" customHeight="1">
      <c r="F267" s="1744"/>
      <c r="G267" s="1744"/>
      <c r="H267" s="1744"/>
      <c r="I267" s="1744"/>
      <c r="J267" s="1744"/>
      <c r="K267" s="1744"/>
      <c r="L267" s="1744"/>
      <c r="M267" s="1744"/>
      <c r="N267" s="1744"/>
      <c r="O267" s="1744"/>
      <c r="P267" s="1744"/>
      <c r="Q267" s="1744"/>
      <c r="R267" s="1744"/>
      <c r="S267" s="1744"/>
      <c r="T267" s="1744"/>
      <c r="U267" s="1744"/>
      <c r="V267" s="1744"/>
      <c r="W267" s="1744"/>
      <c r="X267" s="1744"/>
      <c r="Y267" s="1744"/>
      <c r="AA267" s="1744"/>
      <c r="AC267" s="1744"/>
      <c r="AD267" s="1744"/>
      <c r="AE267" s="1744"/>
      <c r="AF267" s="1744"/>
      <c r="AG267" s="1744"/>
      <c r="AH267" s="1745"/>
      <c r="AI267" s="1745"/>
      <c r="AJ267" s="1744"/>
      <c r="AK267" s="1744"/>
      <c r="AL267" s="1744"/>
      <c r="AM267" s="1744"/>
      <c r="AN267" s="1744"/>
      <c r="AO267" s="1744"/>
      <c r="AP267" s="1744"/>
      <c r="AQ267" s="1744"/>
      <c r="AR267" s="1744"/>
      <c r="AS267" s="1744"/>
      <c r="AT267" s="1744"/>
      <c r="AU267" s="1744"/>
      <c r="AV267" s="1744"/>
      <c r="AW267" s="1744"/>
      <c r="AX267" s="1744"/>
      <c r="AY267" s="1744"/>
      <c r="AZ267" s="1744"/>
      <c r="BA267" s="1744"/>
      <c r="BB267" s="1744"/>
      <c r="BC267" s="1744"/>
      <c r="BD267" s="1744"/>
      <c r="BE267" s="1744"/>
      <c r="BF267" s="1744"/>
      <c r="BG267" s="1744"/>
      <c r="BH267" s="1744"/>
      <c r="BI267" s="1744"/>
      <c r="BJ267" s="1744"/>
      <c r="BK267" s="1744"/>
      <c r="BL267" s="1744"/>
      <c r="BM267" s="1744"/>
      <c r="BN267" s="1744"/>
      <c r="BO267" s="1744"/>
      <c r="BP267" s="1744"/>
      <c r="BQ267" s="1744"/>
      <c r="BR267" s="1744"/>
      <c r="BS267" s="1744"/>
      <c r="BT267" s="1744"/>
      <c r="BU267" s="1744"/>
      <c r="BV267" s="1744"/>
      <c r="BW267" s="1744"/>
      <c r="BX267" s="1744"/>
      <c r="BY267" s="1744"/>
      <c r="BZ267" s="1744"/>
      <c r="CA267" s="1744"/>
      <c r="CB267" s="1744"/>
      <c r="CC267" s="1744"/>
      <c r="CD267" s="1744"/>
      <c r="CE267" s="1744"/>
      <c r="CF267" s="1744"/>
      <c r="CG267" s="1744"/>
      <c r="CH267" s="1744"/>
      <c r="CI267" s="1744"/>
      <c r="CJ267" s="1744"/>
      <c r="CK267" s="1744"/>
      <c r="CL267" s="1744"/>
      <c r="CM267" s="1744"/>
      <c r="CN267" s="1744"/>
      <c r="CO267" s="1744"/>
      <c r="CP267" s="1744"/>
      <c r="CQ267" s="1744"/>
      <c r="CR267" s="1744"/>
      <c r="CS267" s="1744"/>
      <c r="CT267" s="1744"/>
      <c r="CU267" s="1744"/>
      <c r="CV267" s="1744"/>
      <c r="CW267" s="1744"/>
      <c r="CX267" s="1744"/>
      <c r="CY267" s="1744"/>
      <c r="CZ267" s="1744"/>
      <c r="DA267" s="1744"/>
      <c r="DB267" s="1744"/>
      <c r="DC267" s="1744"/>
      <c r="DD267" s="1744"/>
      <c r="DE267" s="1744"/>
      <c r="DF267" s="1744"/>
      <c r="DG267" s="1744"/>
      <c r="DH267" s="1744"/>
      <c r="DI267" s="1744"/>
      <c r="DJ267" s="1744"/>
      <c r="DK267" s="1744"/>
      <c r="DL267" s="1744"/>
      <c r="DM267" s="1744"/>
      <c r="DN267" s="1744"/>
      <c r="DO267" s="1744"/>
      <c r="DP267" s="1744"/>
      <c r="DQ267" s="1744"/>
      <c r="DR267" s="1744"/>
      <c r="DS267" s="1744"/>
      <c r="DT267" s="1744"/>
      <c r="DU267" s="1744"/>
      <c r="DV267" s="1744"/>
      <c r="DW267" s="1744"/>
      <c r="DX267" s="1744"/>
      <c r="DY267" s="1744"/>
      <c r="DZ267" s="1744"/>
      <c r="EA267" s="1744"/>
      <c r="EB267" s="1744"/>
      <c r="EC267" s="1744"/>
      <c r="ED267" s="1744"/>
      <c r="EE267" s="1744"/>
      <c r="EF267" s="1744"/>
      <c r="EG267" s="1744"/>
      <c r="EH267" s="1744"/>
      <c r="EI267" s="1744"/>
      <c r="EJ267" s="1744"/>
      <c r="EK267" s="1744"/>
      <c r="EL267" s="1744"/>
      <c r="EM267" s="1744"/>
      <c r="EN267" s="1744"/>
      <c r="EO267" s="1744"/>
      <c r="EP267" s="1744"/>
      <c r="EQ267" s="1744"/>
      <c r="ER267" s="1744"/>
      <c r="ES267" s="1744"/>
      <c r="ET267" s="1744"/>
      <c r="EU267" s="1744"/>
      <c r="EV267" s="1744"/>
      <c r="EW267" s="1744"/>
      <c r="EX267" s="1744"/>
      <c r="EY267" s="1744"/>
      <c r="EZ267" s="1744"/>
      <c r="FA267" s="1744"/>
      <c r="FB267" s="1744"/>
      <c r="FC267" s="1744"/>
      <c r="FD267" s="1744"/>
      <c r="FE267" s="1744"/>
      <c r="FF267" s="1744"/>
    </row>
    <row r="269" spans="6:162" s="1746" customFormat="1" ht="15.75" customHeight="1">
      <c r="F269" s="1744"/>
      <c r="G269" s="1744"/>
      <c r="H269" s="1744"/>
      <c r="I269" s="1744"/>
      <c r="J269" s="1744"/>
      <c r="K269" s="1744"/>
      <c r="L269" s="1744"/>
      <c r="M269" s="1744"/>
      <c r="N269" s="1744"/>
      <c r="O269" s="1744"/>
      <c r="P269" s="1744"/>
      <c r="Q269" s="1744"/>
      <c r="R269" s="1744"/>
      <c r="S269" s="1744"/>
      <c r="T269" s="1744"/>
      <c r="U269" s="1744"/>
      <c r="V269" s="1744"/>
      <c r="W269" s="1744"/>
      <c r="X269" s="1744"/>
      <c r="Y269" s="1744"/>
      <c r="AA269" s="1744"/>
      <c r="AC269" s="1744"/>
      <c r="AD269" s="1744"/>
      <c r="AE269" s="1744"/>
      <c r="AF269" s="1744"/>
      <c r="AG269" s="1744"/>
      <c r="AH269" s="1745"/>
      <c r="AI269" s="1745"/>
      <c r="AJ269" s="1744"/>
      <c r="AK269" s="1744"/>
      <c r="AL269" s="1744"/>
      <c r="AM269" s="1744"/>
      <c r="AN269" s="1744"/>
      <c r="AO269" s="1744"/>
      <c r="AP269" s="1744"/>
      <c r="AQ269" s="1744"/>
      <c r="AR269" s="1744"/>
      <c r="AS269" s="1744"/>
      <c r="AT269" s="1744"/>
      <c r="AU269" s="1744"/>
      <c r="AV269" s="1744"/>
      <c r="AW269" s="1744"/>
      <c r="AX269" s="1744"/>
      <c r="AY269" s="1744"/>
      <c r="AZ269" s="1744"/>
      <c r="BA269" s="1744"/>
      <c r="BB269" s="1744"/>
      <c r="BC269" s="1744"/>
      <c r="BD269" s="1744"/>
      <c r="BE269" s="1744"/>
      <c r="BF269" s="1744"/>
      <c r="BG269" s="1744"/>
      <c r="BH269" s="1744"/>
      <c r="BI269" s="1744"/>
      <c r="BJ269" s="1744"/>
      <c r="BK269" s="1744"/>
      <c r="BL269" s="1744"/>
      <c r="BM269" s="1744"/>
      <c r="BN269" s="1744"/>
      <c r="BO269" s="1744"/>
      <c r="BP269" s="1744"/>
      <c r="BQ269" s="1744"/>
      <c r="BR269" s="1744"/>
      <c r="BS269" s="1744"/>
      <c r="BT269" s="1744"/>
      <c r="BU269" s="1744"/>
      <c r="BV269" s="1744"/>
      <c r="BW269" s="1744"/>
      <c r="BX269" s="1744"/>
      <c r="BY269" s="1744"/>
      <c r="BZ269" s="1744"/>
      <c r="CA269" s="1744"/>
      <c r="CB269" s="1744"/>
      <c r="CC269" s="1744"/>
      <c r="CD269" s="1744"/>
      <c r="CE269" s="1744"/>
      <c r="CF269" s="1744"/>
      <c r="CG269" s="1744"/>
      <c r="CH269" s="1744"/>
      <c r="CI269" s="1744"/>
      <c r="CJ269" s="1744"/>
      <c r="CK269" s="1744"/>
      <c r="CL269" s="1744"/>
      <c r="CM269" s="1744"/>
      <c r="CN269" s="1744"/>
      <c r="CO269" s="1744"/>
      <c r="CP269" s="1744"/>
      <c r="CQ269" s="1744"/>
      <c r="CR269" s="1744"/>
      <c r="CS269" s="1744"/>
      <c r="CT269" s="1744"/>
      <c r="CU269" s="1744"/>
      <c r="CV269" s="1744"/>
      <c r="CW269" s="1744"/>
      <c r="CX269" s="1744"/>
      <c r="CY269" s="1744"/>
      <c r="CZ269" s="1744"/>
      <c r="DA269" s="1744"/>
      <c r="DB269" s="1744"/>
      <c r="DC269" s="1744"/>
      <c r="DD269" s="1744"/>
      <c r="DE269" s="1744"/>
      <c r="DF269" s="1744"/>
      <c r="DG269" s="1744"/>
      <c r="DH269" s="1744"/>
      <c r="DI269" s="1744"/>
      <c r="DJ269" s="1744"/>
      <c r="DK269" s="1744"/>
      <c r="DL269" s="1744"/>
      <c r="DM269" s="1744"/>
      <c r="DN269" s="1744"/>
      <c r="DO269" s="1744"/>
      <c r="DP269" s="1744"/>
      <c r="DQ269" s="1744"/>
      <c r="DR269" s="1744"/>
      <c r="DS269" s="1744"/>
      <c r="DT269" s="1744"/>
      <c r="DU269" s="1744"/>
      <c r="DV269" s="1744"/>
      <c r="DW269" s="1744"/>
      <c r="DX269" s="1744"/>
      <c r="DY269" s="1744"/>
      <c r="DZ269" s="1744"/>
      <c r="EA269" s="1744"/>
      <c r="EB269" s="1744"/>
      <c r="EC269" s="1744"/>
      <c r="ED269" s="1744"/>
      <c r="EE269" s="1744"/>
      <c r="EF269" s="1744"/>
      <c r="EG269" s="1744"/>
      <c r="EH269" s="1744"/>
      <c r="EI269" s="1744"/>
      <c r="EJ269" s="1744"/>
      <c r="EK269" s="1744"/>
      <c r="EL269" s="1744"/>
      <c r="EM269" s="1744"/>
      <c r="EN269" s="1744"/>
      <c r="EO269" s="1744"/>
      <c r="EP269" s="1744"/>
      <c r="EQ269" s="1744"/>
      <c r="ER269" s="1744"/>
      <c r="ES269" s="1744"/>
      <c r="ET269" s="1744"/>
      <c r="EU269" s="1744"/>
      <c r="EV269" s="1744"/>
      <c r="EW269" s="1744"/>
      <c r="EX269" s="1744"/>
      <c r="EY269" s="1744"/>
      <c r="EZ269" s="1744"/>
      <c r="FA269" s="1744"/>
      <c r="FB269" s="1744"/>
      <c r="FC269" s="1744"/>
      <c r="FD269" s="1744"/>
      <c r="FE269" s="1744"/>
      <c r="FF269" s="1744"/>
    </row>
    <row r="271" spans="6:162" s="1746" customFormat="1" ht="15.75" customHeight="1">
      <c r="F271" s="1744"/>
      <c r="G271" s="1744"/>
      <c r="H271" s="1744"/>
      <c r="I271" s="1744"/>
      <c r="J271" s="1744"/>
      <c r="K271" s="1744"/>
      <c r="L271" s="1744"/>
      <c r="M271" s="1744"/>
      <c r="N271" s="1744"/>
      <c r="O271" s="1744"/>
      <c r="P271" s="1744"/>
      <c r="Q271" s="1744"/>
      <c r="R271" s="1744"/>
      <c r="S271" s="1744"/>
      <c r="T271" s="1744"/>
      <c r="U271" s="1744"/>
      <c r="V271" s="1744"/>
      <c r="W271" s="1744"/>
      <c r="X271" s="1744"/>
      <c r="Y271" s="1744"/>
      <c r="AA271" s="1744"/>
      <c r="AC271" s="1744"/>
      <c r="AD271" s="1744"/>
      <c r="AE271" s="1744"/>
      <c r="AF271" s="1744"/>
      <c r="AG271" s="1744"/>
      <c r="AH271" s="1745"/>
      <c r="AI271" s="1745"/>
      <c r="AJ271" s="1744"/>
      <c r="AK271" s="1744"/>
      <c r="AL271" s="1744"/>
      <c r="AM271" s="1744"/>
      <c r="AN271" s="1744"/>
      <c r="AO271" s="1744"/>
      <c r="AP271" s="1744"/>
      <c r="AQ271" s="1744"/>
      <c r="AR271" s="1744"/>
      <c r="AS271" s="1744"/>
      <c r="AT271" s="1744"/>
      <c r="AU271" s="1744"/>
      <c r="AV271" s="1744"/>
      <c r="AW271" s="1744"/>
      <c r="AX271" s="1744"/>
      <c r="AY271" s="1744"/>
      <c r="AZ271" s="1744"/>
      <c r="BA271" s="1744"/>
      <c r="BB271" s="1744"/>
      <c r="BC271" s="1744"/>
      <c r="BD271" s="1744"/>
      <c r="BE271" s="1744"/>
      <c r="BF271" s="1744"/>
      <c r="BG271" s="1744"/>
      <c r="BH271" s="1744"/>
      <c r="BI271" s="1744"/>
      <c r="BJ271" s="1744"/>
      <c r="BK271" s="1744"/>
      <c r="BL271" s="1744"/>
      <c r="BM271" s="1744"/>
      <c r="BN271" s="1744"/>
      <c r="BO271" s="1744"/>
      <c r="BP271" s="1744"/>
      <c r="BQ271" s="1744"/>
      <c r="BR271" s="1744"/>
      <c r="BS271" s="1744"/>
      <c r="BT271" s="1744"/>
      <c r="BU271" s="1744"/>
      <c r="BV271" s="1744"/>
      <c r="BW271" s="1744"/>
      <c r="BX271" s="1744"/>
      <c r="BY271" s="1744"/>
      <c r="BZ271" s="1744"/>
      <c r="CA271" s="1744"/>
      <c r="CB271" s="1744"/>
      <c r="CC271" s="1744"/>
      <c r="CD271" s="1744"/>
      <c r="CE271" s="1744"/>
      <c r="CF271" s="1744"/>
      <c r="CG271" s="1744"/>
      <c r="CH271" s="1744"/>
      <c r="CI271" s="1744"/>
      <c r="CJ271" s="1744"/>
      <c r="CK271" s="1744"/>
      <c r="CL271" s="1744"/>
      <c r="CM271" s="1744"/>
      <c r="CN271" s="1744"/>
      <c r="CO271" s="1744"/>
      <c r="CP271" s="1744"/>
      <c r="CQ271" s="1744"/>
      <c r="CR271" s="1744"/>
      <c r="CS271" s="1744"/>
      <c r="CT271" s="1744"/>
      <c r="CU271" s="1744"/>
      <c r="CV271" s="1744"/>
      <c r="CW271" s="1744"/>
      <c r="CX271" s="1744"/>
      <c r="CY271" s="1744"/>
      <c r="CZ271" s="1744"/>
      <c r="DA271" s="1744"/>
      <c r="DB271" s="1744"/>
      <c r="DC271" s="1744"/>
      <c r="DD271" s="1744"/>
      <c r="DE271" s="1744"/>
      <c r="DF271" s="1744"/>
      <c r="DG271" s="1744"/>
      <c r="DH271" s="1744"/>
      <c r="DI271" s="1744"/>
      <c r="DJ271" s="1744"/>
      <c r="DK271" s="1744"/>
      <c r="DL271" s="1744"/>
      <c r="DM271" s="1744"/>
      <c r="DN271" s="1744"/>
      <c r="DO271" s="1744"/>
      <c r="DP271" s="1744"/>
      <c r="DQ271" s="1744"/>
      <c r="DR271" s="1744"/>
      <c r="DS271" s="1744"/>
      <c r="DT271" s="1744"/>
      <c r="DU271" s="1744"/>
      <c r="DV271" s="1744"/>
      <c r="DW271" s="1744"/>
      <c r="DX271" s="1744"/>
      <c r="DY271" s="1744"/>
      <c r="DZ271" s="1744"/>
      <c r="EA271" s="1744"/>
      <c r="EB271" s="1744"/>
      <c r="EC271" s="1744"/>
      <c r="ED271" s="1744"/>
      <c r="EE271" s="1744"/>
      <c r="EF271" s="1744"/>
      <c r="EG271" s="1744"/>
      <c r="EH271" s="1744"/>
      <c r="EI271" s="1744"/>
      <c r="EJ271" s="1744"/>
      <c r="EK271" s="1744"/>
      <c r="EL271" s="1744"/>
      <c r="EM271" s="1744"/>
      <c r="EN271" s="1744"/>
      <c r="EO271" s="1744"/>
      <c r="EP271" s="1744"/>
      <c r="EQ271" s="1744"/>
      <c r="ER271" s="1744"/>
      <c r="ES271" s="1744"/>
      <c r="ET271" s="1744"/>
      <c r="EU271" s="1744"/>
      <c r="EV271" s="1744"/>
      <c r="EW271" s="1744"/>
      <c r="EX271" s="1744"/>
      <c r="EY271" s="1744"/>
      <c r="EZ271" s="1744"/>
      <c r="FA271" s="1744"/>
      <c r="FB271" s="1744"/>
      <c r="FC271" s="1744"/>
      <c r="FD271" s="1744"/>
      <c r="FE271" s="1744"/>
      <c r="FF271" s="1744"/>
    </row>
    <row r="273" spans="6:162" s="1746" customFormat="1" ht="15.75" customHeight="1">
      <c r="F273" s="1744"/>
      <c r="G273" s="1744"/>
      <c r="H273" s="1744"/>
      <c r="I273" s="1744"/>
      <c r="J273" s="1744"/>
      <c r="K273" s="1744"/>
      <c r="L273" s="1744"/>
      <c r="M273" s="1744"/>
      <c r="N273" s="1744"/>
      <c r="O273" s="1744"/>
      <c r="P273" s="1744"/>
      <c r="Q273" s="1744"/>
      <c r="R273" s="1744"/>
      <c r="S273" s="1744"/>
      <c r="T273" s="1744"/>
      <c r="U273" s="1744"/>
      <c r="V273" s="1744"/>
      <c r="W273" s="1744"/>
      <c r="X273" s="1744"/>
      <c r="Y273" s="1744"/>
      <c r="AA273" s="1744"/>
      <c r="AC273" s="1744"/>
      <c r="AD273" s="1744"/>
      <c r="AE273" s="1744"/>
      <c r="AF273" s="1744"/>
      <c r="AG273" s="1744"/>
      <c r="AH273" s="1745"/>
      <c r="AI273" s="1745"/>
      <c r="AJ273" s="1744"/>
      <c r="AK273" s="1744"/>
      <c r="AL273" s="1744"/>
      <c r="AM273" s="1744"/>
      <c r="AN273" s="1744"/>
      <c r="AO273" s="1744"/>
      <c r="AP273" s="1744"/>
      <c r="AQ273" s="1744"/>
      <c r="AR273" s="1744"/>
      <c r="AS273" s="1744"/>
      <c r="AT273" s="1744"/>
      <c r="AU273" s="1744"/>
      <c r="AV273" s="1744"/>
      <c r="AW273" s="1744"/>
      <c r="AX273" s="1744"/>
      <c r="AY273" s="1744"/>
      <c r="AZ273" s="1744"/>
      <c r="BA273" s="1744"/>
      <c r="BB273" s="1744"/>
      <c r="BC273" s="1744"/>
      <c r="BD273" s="1744"/>
      <c r="BE273" s="1744"/>
      <c r="BF273" s="1744"/>
      <c r="BG273" s="1744"/>
      <c r="BH273" s="1744"/>
      <c r="BI273" s="1744"/>
      <c r="BJ273" s="1744"/>
      <c r="BK273" s="1744"/>
      <c r="BL273" s="1744"/>
      <c r="BM273" s="1744"/>
      <c r="BN273" s="1744"/>
      <c r="BO273" s="1744"/>
      <c r="BP273" s="1744"/>
      <c r="BQ273" s="1744"/>
      <c r="BR273" s="1744"/>
      <c r="BS273" s="1744"/>
      <c r="BT273" s="1744"/>
      <c r="BU273" s="1744"/>
      <c r="BV273" s="1744"/>
      <c r="BW273" s="1744"/>
      <c r="BX273" s="1744"/>
      <c r="BY273" s="1744"/>
      <c r="BZ273" s="1744"/>
      <c r="CA273" s="1744"/>
      <c r="CB273" s="1744"/>
      <c r="CC273" s="1744"/>
      <c r="CD273" s="1744"/>
      <c r="CE273" s="1744"/>
      <c r="CF273" s="1744"/>
      <c r="CG273" s="1744"/>
      <c r="CH273" s="1744"/>
      <c r="CI273" s="1744"/>
      <c r="CJ273" s="1744"/>
      <c r="CK273" s="1744"/>
      <c r="CL273" s="1744"/>
      <c r="CM273" s="1744"/>
      <c r="CN273" s="1744"/>
      <c r="CO273" s="1744"/>
      <c r="CP273" s="1744"/>
      <c r="CQ273" s="1744"/>
      <c r="CR273" s="1744"/>
      <c r="CS273" s="1744"/>
      <c r="CT273" s="1744"/>
      <c r="CU273" s="1744"/>
      <c r="CV273" s="1744"/>
      <c r="CW273" s="1744"/>
      <c r="CX273" s="1744"/>
      <c r="CY273" s="1744"/>
      <c r="CZ273" s="1744"/>
      <c r="DA273" s="1744"/>
      <c r="DB273" s="1744"/>
      <c r="DC273" s="1744"/>
      <c r="DD273" s="1744"/>
      <c r="DE273" s="1744"/>
      <c r="DF273" s="1744"/>
      <c r="DG273" s="1744"/>
      <c r="DH273" s="1744"/>
      <c r="DI273" s="1744"/>
      <c r="DJ273" s="1744"/>
      <c r="DK273" s="1744"/>
      <c r="DL273" s="1744"/>
      <c r="DM273" s="1744"/>
      <c r="DN273" s="1744"/>
      <c r="DO273" s="1744"/>
      <c r="DP273" s="1744"/>
      <c r="DQ273" s="1744"/>
      <c r="DR273" s="1744"/>
      <c r="DS273" s="1744"/>
      <c r="DT273" s="1744"/>
      <c r="DU273" s="1744"/>
      <c r="DV273" s="1744"/>
      <c r="DW273" s="1744"/>
      <c r="DX273" s="1744"/>
      <c r="DY273" s="1744"/>
      <c r="DZ273" s="1744"/>
      <c r="EA273" s="1744"/>
      <c r="EB273" s="1744"/>
      <c r="EC273" s="1744"/>
      <c r="ED273" s="1744"/>
      <c r="EE273" s="1744"/>
      <c r="EF273" s="1744"/>
      <c r="EG273" s="1744"/>
      <c r="EH273" s="1744"/>
      <c r="EI273" s="1744"/>
      <c r="EJ273" s="1744"/>
      <c r="EK273" s="1744"/>
      <c r="EL273" s="1744"/>
      <c r="EM273" s="1744"/>
      <c r="EN273" s="1744"/>
      <c r="EO273" s="1744"/>
      <c r="EP273" s="1744"/>
      <c r="EQ273" s="1744"/>
      <c r="ER273" s="1744"/>
      <c r="ES273" s="1744"/>
      <c r="ET273" s="1744"/>
      <c r="EU273" s="1744"/>
      <c r="EV273" s="1744"/>
      <c r="EW273" s="1744"/>
      <c r="EX273" s="1744"/>
      <c r="EY273" s="1744"/>
      <c r="EZ273" s="1744"/>
      <c r="FA273" s="1744"/>
      <c r="FB273" s="1744"/>
      <c r="FC273" s="1744"/>
      <c r="FD273" s="1744"/>
      <c r="FE273" s="1744"/>
      <c r="FF273" s="1744"/>
    </row>
    <row r="275" spans="6:162" s="1746" customFormat="1" ht="15.75" customHeight="1">
      <c r="F275" s="1744"/>
      <c r="G275" s="1744"/>
      <c r="H275" s="1744"/>
      <c r="I275" s="1744"/>
      <c r="J275" s="1744"/>
      <c r="K275" s="1744"/>
      <c r="L275" s="1744"/>
      <c r="M275" s="1744"/>
      <c r="N275" s="1744"/>
      <c r="O275" s="1744"/>
      <c r="P275" s="1744"/>
      <c r="Q275" s="1744"/>
      <c r="R275" s="1744"/>
      <c r="S275" s="1744"/>
      <c r="T275" s="1744"/>
      <c r="U275" s="1744"/>
      <c r="V275" s="1744"/>
      <c r="W275" s="1744"/>
      <c r="X275" s="1744"/>
      <c r="Y275" s="1744"/>
      <c r="AA275" s="1744"/>
      <c r="AC275" s="1744"/>
      <c r="AD275" s="1744"/>
      <c r="AE275" s="1744"/>
      <c r="AF275" s="1744"/>
      <c r="AG275" s="1744"/>
      <c r="AH275" s="1745"/>
      <c r="AI275" s="1745"/>
      <c r="AJ275" s="1744"/>
      <c r="AK275" s="1744"/>
      <c r="AL275" s="1744"/>
      <c r="AM275" s="1744"/>
      <c r="AN275" s="1744"/>
      <c r="AO275" s="1744"/>
      <c r="AP275" s="1744"/>
      <c r="AQ275" s="1744"/>
      <c r="AR275" s="1744"/>
      <c r="AS275" s="1744"/>
      <c r="AT275" s="1744"/>
      <c r="AU275" s="1744"/>
      <c r="AV275" s="1744"/>
      <c r="AW275" s="1744"/>
      <c r="AX275" s="1744"/>
      <c r="AY275" s="1744"/>
      <c r="AZ275" s="1744"/>
      <c r="BA275" s="1744"/>
      <c r="BB275" s="1744"/>
      <c r="BC275" s="1744"/>
      <c r="BD275" s="1744"/>
      <c r="BE275" s="1744"/>
      <c r="BF275" s="1744"/>
      <c r="BG275" s="1744"/>
      <c r="BH275" s="1744"/>
      <c r="BI275" s="1744"/>
      <c r="BJ275" s="1744"/>
      <c r="BK275" s="1744"/>
      <c r="BL275" s="1744"/>
      <c r="BM275" s="1744"/>
      <c r="BN275" s="1744"/>
      <c r="BO275" s="1744"/>
      <c r="BP275" s="1744"/>
      <c r="BQ275" s="1744"/>
      <c r="BR275" s="1744"/>
      <c r="BS275" s="1744"/>
      <c r="BT275" s="1744"/>
      <c r="BU275" s="1744"/>
      <c r="BV275" s="1744"/>
      <c r="BW275" s="1744"/>
      <c r="BX275" s="1744"/>
      <c r="BY275" s="1744"/>
      <c r="BZ275" s="1744"/>
      <c r="CA275" s="1744"/>
      <c r="CB275" s="1744"/>
      <c r="CC275" s="1744"/>
      <c r="CD275" s="1744"/>
      <c r="CE275" s="1744"/>
      <c r="CF275" s="1744"/>
      <c r="CG275" s="1744"/>
      <c r="CH275" s="1744"/>
      <c r="CI275" s="1744"/>
      <c r="CJ275" s="1744"/>
      <c r="CK275" s="1744"/>
      <c r="CL275" s="1744"/>
      <c r="CM275" s="1744"/>
      <c r="CN275" s="1744"/>
      <c r="CO275" s="1744"/>
      <c r="CP275" s="1744"/>
      <c r="CQ275" s="1744"/>
      <c r="CR275" s="1744"/>
      <c r="CS275" s="1744"/>
      <c r="CT275" s="1744"/>
      <c r="CU275" s="1744"/>
      <c r="CV275" s="1744"/>
      <c r="CW275" s="1744"/>
      <c r="CX275" s="1744"/>
      <c r="CY275" s="1744"/>
      <c r="CZ275" s="1744"/>
      <c r="DA275" s="1744"/>
      <c r="DB275" s="1744"/>
      <c r="DC275" s="1744"/>
      <c r="DD275" s="1744"/>
      <c r="DE275" s="1744"/>
      <c r="DF275" s="1744"/>
      <c r="DG275" s="1744"/>
      <c r="DH275" s="1744"/>
      <c r="DI275" s="1744"/>
      <c r="DJ275" s="1744"/>
      <c r="DK275" s="1744"/>
      <c r="DL275" s="1744"/>
      <c r="DM275" s="1744"/>
      <c r="DN275" s="1744"/>
      <c r="DO275" s="1744"/>
      <c r="DP275" s="1744"/>
      <c r="DQ275" s="1744"/>
      <c r="DR275" s="1744"/>
      <c r="DS275" s="1744"/>
      <c r="DT275" s="1744"/>
      <c r="DU275" s="1744"/>
      <c r="DV275" s="1744"/>
      <c r="DW275" s="1744"/>
      <c r="DX275" s="1744"/>
      <c r="DY275" s="1744"/>
      <c r="DZ275" s="1744"/>
      <c r="EA275" s="1744"/>
      <c r="EB275" s="1744"/>
      <c r="EC275" s="1744"/>
      <c r="ED275" s="1744"/>
      <c r="EE275" s="1744"/>
      <c r="EF275" s="1744"/>
      <c r="EG275" s="1744"/>
      <c r="EH275" s="1744"/>
      <c r="EI275" s="1744"/>
      <c r="EJ275" s="1744"/>
      <c r="EK275" s="1744"/>
      <c r="EL275" s="1744"/>
      <c r="EM275" s="1744"/>
      <c r="EN275" s="1744"/>
      <c r="EO275" s="1744"/>
      <c r="EP275" s="1744"/>
      <c r="EQ275" s="1744"/>
      <c r="ER275" s="1744"/>
      <c r="ES275" s="1744"/>
      <c r="ET275" s="1744"/>
      <c r="EU275" s="1744"/>
      <c r="EV275" s="1744"/>
      <c r="EW275" s="1744"/>
      <c r="EX275" s="1744"/>
      <c r="EY275" s="1744"/>
      <c r="EZ275" s="1744"/>
      <c r="FA275" s="1744"/>
      <c r="FB275" s="1744"/>
      <c r="FC275" s="1744"/>
      <c r="FD275" s="1744"/>
      <c r="FE275" s="1744"/>
      <c r="FF275" s="1744"/>
    </row>
    <row r="277" spans="6:162" s="1746" customFormat="1" ht="15.75" customHeight="1">
      <c r="F277" s="1744"/>
      <c r="G277" s="1744"/>
      <c r="H277" s="1744"/>
      <c r="I277" s="1744"/>
      <c r="J277" s="1744"/>
      <c r="K277" s="1744"/>
      <c r="L277" s="1744"/>
      <c r="M277" s="1744"/>
      <c r="N277" s="1744"/>
      <c r="O277" s="1744"/>
      <c r="P277" s="1744"/>
      <c r="Q277" s="1744"/>
      <c r="R277" s="1744"/>
      <c r="S277" s="1744"/>
      <c r="T277" s="1744"/>
      <c r="U277" s="1744"/>
      <c r="V277" s="1744"/>
      <c r="W277" s="1744"/>
      <c r="X277" s="1744"/>
      <c r="Y277" s="1744"/>
      <c r="AA277" s="1744"/>
      <c r="AC277" s="1744"/>
      <c r="AD277" s="1744"/>
      <c r="AE277" s="1744"/>
      <c r="AF277" s="1744"/>
      <c r="AG277" s="1744"/>
      <c r="AH277" s="1745"/>
      <c r="AI277" s="1745"/>
      <c r="AJ277" s="1744"/>
      <c r="AK277" s="1744"/>
      <c r="AL277" s="1744"/>
      <c r="AM277" s="1744"/>
      <c r="AN277" s="1744"/>
      <c r="AO277" s="1744"/>
      <c r="AP277" s="1744"/>
      <c r="AQ277" s="1744"/>
      <c r="AR277" s="1744"/>
      <c r="AS277" s="1744"/>
      <c r="AT277" s="1744"/>
      <c r="AU277" s="1744"/>
      <c r="AV277" s="1744"/>
      <c r="AW277" s="1744"/>
      <c r="AX277" s="1744"/>
      <c r="AY277" s="1744"/>
      <c r="AZ277" s="1744"/>
      <c r="BA277" s="1744"/>
      <c r="BB277" s="1744"/>
      <c r="BC277" s="1744"/>
      <c r="BD277" s="1744"/>
      <c r="BE277" s="1744"/>
      <c r="BF277" s="1744"/>
      <c r="BG277" s="1744"/>
      <c r="BH277" s="1744"/>
      <c r="BI277" s="1744"/>
      <c r="BJ277" s="1744"/>
      <c r="BK277" s="1744"/>
      <c r="BL277" s="1744"/>
      <c r="BM277" s="1744"/>
      <c r="BN277" s="1744"/>
      <c r="BO277" s="1744"/>
      <c r="BP277" s="1744"/>
      <c r="BQ277" s="1744"/>
      <c r="BR277" s="1744"/>
      <c r="BS277" s="1744"/>
      <c r="BT277" s="1744"/>
      <c r="BU277" s="1744"/>
      <c r="BV277" s="1744"/>
      <c r="BW277" s="1744"/>
      <c r="BX277" s="1744"/>
      <c r="BY277" s="1744"/>
      <c r="BZ277" s="1744"/>
      <c r="CA277" s="1744"/>
      <c r="CB277" s="1744"/>
      <c r="CC277" s="1744"/>
      <c r="CD277" s="1744"/>
      <c r="CE277" s="1744"/>
      <c r="CF277" s="1744"/>
      <c r="CG277" s="1744"/>
      <c r="CH277" s="1744"/>
      <c r="CI277" s="1744"/>
      <c r="CJ277" s="1744"/>
      <c r="CK277" s="1744"/>
      <c r="CL277" s="1744"/>
      <c r="CM277" s="1744"/>
      <c r="CN277" s="1744"/>
      <c r="CO277" s="1744"/>
      <c r="CP277" s="1744"/>
      <c r="CQ277" s="1744"/>
      <c r="CR277" s="1744"/>
      <c r="CS277" s="1744"/>
      <c r="CT277" s="1744"/>
      <c r="CU277" s="1744"/>
      <c r="CV277" s="1744"/>
      <c r="CW277" s="1744"/>
      <c r="CX277" s="1744"/>
      <c r="CY277" s="1744"/>
      <c r="CZ277" s="1744"/>
      <c r="DA277" s="1744"/>
      <c r="DB277" s="1744"/>
      <c r="DC277" s="1744"/>
      <c r="DD277" s="1744"/>
      <c r="DE277" s="1744"/>
      <c r="DF277" s="1744"/>
      <c r="DG277" s="1744"/>
      <c r="DH277" s="1744"/>
      <c r="DI277" s="1744"/>
      <c r="DJ277" s="1744"/>
      <c r="DK277" s="1744"/>
      <c r="DL277" s="1744"/>
      <c r="DM277" s="1744"/>
      <c r="DN277" s="1744"/>
      <c r="DO277" s="1744"/>
      <c r="DP277" s="1744"/>
      <c r="DQ277" s="1744"/>
      <c r="DR277" s="1744"/>
      <c r="DS277" s="1744"/>
      <c r="DT277" s="1744"/>
      <c r="DU277" s="1744"/>
      <c r="DV277" s="1744"/>
      <c r="DW277" s="1744"/>
      <c r="DX277" s="1744"/>
      <c r="DY277" s="1744"/>
      <c r="DZ277" s="1744"/>
      <c r="EA277" s="1744"/>
      <c r="EB277" s="1744"/>
      <c r="EC277" s="1744"/>
      <c r="ED277" s="1744"/>
      <c r="EE277" s="1744"/>
      <c r="EF277" s="1744"/>
      <c r="EG277" s="1744"/>
      <c r="EH277" s="1744"/>
      <c r="EI277" s="1744"/>
      <c r="EJ277" s="1744"/>
      <c r="EK277" s="1744"/>
      <c r="EL277" s="1744"/>
      <c r="EM277" s="1744"/>
      <c r="EN277" s="1744"/>
      <c r="EO277" s="1744"/>
      <c r="EP277" s="1744"/>
      <c r="EQ277" s="1744"/>
      <c r="ER277" s="1744"/>
      <c r="ES277" s="1744"/>
      <c r="ET277" s="1744"/>
      <c r="EU277" s="1744"/>
      <c r="EV277" s="1744"/>
      <c r="EW277" s="1744"/>
      <c r="EX277" s="1744"/>
      <c r="EY277" s="1744"/>
      <c r="EZ277" s="1744"/>
      <c r="FA277" s="1744"/>
      <c r="FB277" s="1744"/>
      <c r="FC277" s="1744"/>
      <c r="FD277" s="1744"/>
      <c r="FE277" s="1744"/>
      <c r="FF277" s="1744"/>
    </row>
    <row r="279" spans="6:162" s="1746" customFormat="1" ht="15.75" customHeight="1">
      <c r="F279" s="1744"/>
      <c r="G279" s="1744"/>
      <c r="H279" s="1744"/>
      <c r="I279" s="1744"/>
      <c r="J279" s="1744"/>
      <c r="K279" s="1744"/>
      <c r="L279" s="1744"/>
      <c r="M279" s="1744"/>
      <c r="N279" s="1744"/>
      <c r="O279" s="1744"/>
      <c r="P279" s="1744"/>
      <c r="Q279" s="1744"/>
      <c r="R279" s="1744"/>
      <c r="S279" s="1744"/>
      <c r="T279" s="1744"/>
      <c r="U279" s="1744"/>
      <c r="V279" s="1744"/>
      <c r="W279" s="1744"/>
      <c r="X279" s="1744"/>
      <c r="Y279" s="1744"/>
      <c r="AA279" s="1744"/>
      <c r="AC279" s="1744"/>
      <c r="AD279" s="1744"/>
      <c r="AE279" s="1744"/>
      <c r="AF279" s="1744"/>
      <c r="AG279" s="1744"/>
      <c r="AH279" s="1745"/>
      <c r="AI279" s="1745"/>
      <c r="AJ279" s="1744"/>
      <c r="AK279" s="1744"/>
      <c r="AL279" s="1744"/>
      <c r="AM279" s="1744"/>
      <c r="AN279" s="1744"/>
      <c r="AO279" s="1744"/>
      <c r="AP279" s="1744"/>
      <c r="AQ279" s="1744"/>
      <c r="AR279" s="1744"/>
      <c r="AS279" s="1744"/>
      <c r="AT279" s="1744"/>
      <c r="AU279" s="1744"/>
      <c r="AV279" s="1744"/>
      <c r="AW279" s="1744"/>
      <c r="AX279" s="1744"/>
      <c r="AY279" s="1744"/>
      <c r="AZ279" s="1744"/>
      <c r="BA279" s="1744"/>
      <c r="BB279" s="1744"/>
      <c r="BC279" s="1744"/>
      <c r="BD279" s="1744"/>
      <c r="BE279" s="1744"/>
      <c r="BF279" s="1744"/>
      <c r="BG279" s="1744"/>
      <c r="BH279" s="1744"/>
      <c r="BI279" s="1744"/>
      <c r="BJ279" s="1744"/>
      <c r="BK279" s="1744"/>
      <c r="BL279" s="1744"/>
      <c r="BM279" s="1744"/>
      <c r="BN279" s="1744"/>
      <c r="BO279" s="1744"/>
      <c r="BP279" s="1744"/>
      <c r="BQ279" s="1744"/>
      <c r="BR279" s="1744"/>
      <c r="BS279" s="1744"/>
      <c r="BT279" s="1744"/>
      <c r="BU279" s="1744"/>
      <c r="BV279" s="1744"/>
      <c r="BW279" s="1744"/>
      <c r="BX279" s="1744"/>
      <c r="BY279" s="1744"/>
      <c r="BZ279" s="1744"/>
      <c r="CA279" s="1744"/>
      <c r="CB279" s="1744"/>
      <c r="CC279" s="1744"/>
      <c r="CD279" s="1744"/>
      <c r="CE279" s="1744"/>
      <c r="CF279" s="1744"/>
      <c r="CG279" s="1744"/>
      <c r="CH279" s="1744"/>
      <c r="CI279" s="1744"/>
      <c r="CJ279" s="1744"/>
      <c r="CK279" s="1744"/>
      <c r="CL279" s="1744"/>
      <c r="CM279" s="1744"/>
      <c r="CN279" s="1744"/>
      <c r="CO279" s="1744"/>
      <c r="CP279" s="1744"/>
      <c r="CQ279" s="1744"/>
      <c r="CR279" s="1744"/>
      <c r="CS279" s="1744"/>
      <c r="CT279" s="1744"/>
      <c r="CU279" s="1744"/>
      <c r="CV279" s="1744"/>
      <c r="CW279" s="1744"/>
      <c r="CX279" s="1744"/>
      <c r="CY279" s="1744"/>
      <c r="CZ279" s="1744"/>
      <c r="DA279" s="1744"/>
      <c r="DB279" s="1744"/>
      <c r="DC279" s="1744"/>
      <c r="DD279" s="1744"/>
      <c r="DE279" s="1744"/>
      <c r="DF279" s="1744"/>
      <c r="DG279" s="1744"/>
      <c r="DH279" s="1744"/>
      <c r="DI279" s="1744"/>
      <c r="DJ279" s="1744"/>
      <c r="DK279" s="1744"/>
      <c r="DL279" s="1744"/>
      <c r="DM279" s="1744"/>
      <c r="DN279" s="1744"/>
      <c r="DO279" s="1744"/>
      <c r="DP279" s="1744"/>
      <c r="DQ279" s="1744"/>
      <c r="DR279" s="1744"/>
      <c r="DS279" s="1744"/>
      <c r="DT279" s="1744"/>
      <c r="DU279" s="1744"/>
      <c r="DV279" s="1744"/>
      <c r="DW279" s="1744"/>
      <c r="DX279" s="1744"/>
      <c r="DY279" s="1744"/>
      <c r="DZ279" s="1744"/>
      <c r="EA279" s="1744"/>
      <c r="EB279" s="1744"/>
      <c r="EC279" s="1744"/>
      <c r="ED279" s="1744"/>
      <c r="EE279" s="1744"/>
      <c r="EF279" s="1744"/>
      <c r="EG279" s="1744"/>
      <c r="EH279" s="1744"/>
      <c r="EI279" s="1744"/>
      <c r="EJ279" s="1744"/>
      <c r="EK279" s="1744"/>
      <c r="EL279" s="1744"/>
      <c r="EM279" s="1744"/>
      <c r="EN279" s="1744"/>
      <c r="EO279" s="1744"/>
      <c r="EP279" s="1744"/>
      <c r="EQ279" s="1744"/>
      <c r="ER279" s="1744"/>
      <c r="ES279" s="1744"/>
      <c r="ET279" s="1744"/>
      <c r="EU279" s="1744"/>
      <c r="EV279" s="1744"/>
      <c r="EW279" s="1744"/>
      <c r="EX279" s="1744"/>
      <c r="EY279" s="1744"/>
      <c r="EZ279" s="1744"/>
      <c r="FA279" s="1744"/>
      <c r="FB279" s="1744"/>
      <c r="FC279" s="1744"/>
      <c r="FD279" s="1744"/>
      <c r="FE279" s="1744"/>
      <c r="FF279" s="1744"/>
    </row>
    <row r="281" spans="6:162" s="1746" customFormat="1" ht="15.75" customHeight="1">
      <c r="F281" s="1744"/>
      <c r="G281" s="1744"/>
      <c r="H281" s="1744"/>
      <c r="I281" s="1744"/>
      <c r="J281" s="1744"/>
      <c r="K281" s="1744"/>
      <c r="L281" s="1744"/>
      <c r="M281" s="1744"/>
      <c r="N281" s="1744"/>
      <c r="O281" s="1744"/>
      <c r="P281" s="1744"/>
      <c r="Q281" s="1744"/>
      <c r="R281" s="1744"/>
      <c r="S281" s="1744"/>
      <c r="T281" s="1744"/>
      <c r="U281" s="1744"/>
      <c r="V281" s="1744"/>
      <c r="W281" s="1744"/>
      <c r="X281" s="1744"/>
      <c r="Y281" s="1744"/>
      <c r="AA281" s="1744"/>
      <c r="AC281" s="1744"/>
      <c r="AD281" s="1744"/>
      <c r="AE281" s="1744"/>
      <c r="AF281" s="1744"/>
      <c r="AG281" s="1744"/>
      <c r="AH281" s="1745"/>
      <c r="AI281" s="1745"/>
      <c r="AJ281" s="1744"/>
      <c r="AK281" s="1744"/>
      <c r="AL281" s="1744"/>
      <c r="AM281" s="1744"/>
      <c r="AN281" s="1744"/>
      <c r="AO281" s="1744"/>
      <c r="AP281" s="1744"/>
      <c r="AQ281" s="1744"/>
      <c r="AR281" s="1744"/>
      <c r="AS281" s="1744"/>
      <c r="AT281" s="1744"/>
      <c r="AU281" s="1744"/>
      <c r="AV281" s="1744"/>
      <c r="AW281" s="1744"/>
      <c r="AX281" s="1744"/>
      <c r="AY281" s="1744"/>
      <c r="AZ281" s="1744"/>
      <c r="BA281" s="1744"/>
      <c r="BB281" s="1744"/>
      <c r="BC281" s="1744"/>
      <c r="BD281" s="1744"/>
      <c r="BE281" s="1744"/>
      <c r="BF281" s="1744"/>
      <c r="BG281" s="1744"/>
      <c r="BH281" s="1744"/>
      <c r="BI281" s="1744"/>
      <c r="BJ281" s="1744"/>
      <c r="BK281" s="1744"/>
      <c r="BL281" s="1744"/>
      <c r="BM281" s="1744"/>
      <c r="BN281" s="1744"/>
      <c r="BO281" s="1744"/>
      <c r="BP281" s="1744"/>
      <c r="BQ281" s="1744"/>
      <c r="BR281" s="1744"/>
      <c r="BS281" s="1744"/>
      <c r="BT281" s="1744"/>
      <c r="BU281" s="1744"/>
      <c r="BV281" s="1744"/>
      <c r="BW281" s="1744"/>
      <c r="BX281" s="1744"/>
      <c r="BY281" s="1744"/>
      <c r="BZ281" s="1744"/>
      <c r="CA281" s="1744"/>
      <c r="CB281" s="1744"/>
      <c r="CC281" s="1744"/>
      <c r="CD281" s="1744"/>
      <c r="CE281" s="1744"/>
      <c r="CF281" s="1744"/>
      <c r="CG281" s="1744"/>
      <c r="CH281" s="1744"/>
      <c r="CI281" s="1744"/>
      <c r="CJ281" s="1744"/>
      <c r="CK281" s="1744"/>
      <c r="CL281" s="1744"/>
      <c r="CM281" s="1744"/>
      <c r="CN281" s="1744"/>
      <c r="CO281" s="1744"/>
      <c r="CP281" s="1744"/>
      <c r="CQ281" s="1744"/>
      <c r="CR281" s="1744"/>
      <c r="CS281" s="1744"/>
      <c r="CT281" s="1744"/>
      <c r="CU281" s="1744"/>
      <c r="CV281" s="1744"/>
      <c r="CW281" s="1744"/>
      <c r="CX281" s="1744"/>
      <c r="CY281" s="1744"/>
      <c r="CZ281" s="1744"/>
      <c r="DA281" s="1744"/>
      <c r="DB281" s="1744"/>
      <c r="DC281" s="1744"/>
      <c r="DD281" s="1744"/>
      <c r="DE281" s="1744"/>
      <c r="DF281" s="1744"/>
      <c r="DG281" s="1744"/>
      <c r="DH281" s="1744"/>
      <c r="DI281" s="1744"/>
      <c r="DJ281" s="1744"/>
      <c r="DK281" s="1744"/>
      <c r="DL281" s="1744"/>
      <c r="DM281" s="1744"/>
      <c r="DN281" s="1744"/>
      <c r="DO281" s="1744"/>
      <c r="DP281" s="1744"/>
      <c r="DQ281" s="1744"/>
      <c r="DR281" s="1744"/>
      <c r="DS281" s="1744"/>
      <c r="DT281" s="1744"/>
      <c r="DU281" s="1744"/>
      <c r="DV281" s="1744"/>
      <c r="DW281" s="1744"/>
      <c r="DX281" s="1744"/>
      <c r="DY281" s="1744"/>
      <c r="DZ281" s="1744"/>
      <c r="EA281" s="1744"/>
      <c r="EB281" s="1744"/>
      <c r="EC281" s="1744"/>
      <c r="ED281" s="1744"/>
      <c r="EE281" s="1744"/>
      <c r="EF281" s="1744"/>
      <c r="EG281" s="1744"/>
      <c r="EH281" s="1744"/>
      <c r="EI281" s="1744"/>
      <c r="EJ281" s="1744"/>
      <c r="EK281" s="1744"/>
      <c r="EL281" s="1744"/>
      <c r="EM281" s="1744"/>
      <c r="EN281" s="1744"/>
      <c r="EO281" s="1744"/>
      <c r="EP281" s="1744"/>
      <c r="EQ281" s="1744"/>
      <c r="ER281" s="1744"/>
      <c r="ES281" s="1744"/>
      <c r="ET281" s="1744"/>
      <c r="EU281" s="1744"/>
      <c r="EV281" s="1744"/>
      <c r="EW281" s="1744"/>
      <c r="EX281" s="1744"/>
      <c r="EY281" s="1744"/>
      <c r="EZ281" s="1744"/>
      <c r="FA281" s="1744"/>
      <c r="FB281" s="1744"/>
      <c r="FC281" s="1744"/>
      <c r="FD281" s="1744"/>
      <c r="FE281" s="1744"/>
      <c r="FF281" s="1744"/>
    </row>
    <row r="283" spans="6:162" s="1746" customFormat="1" ht="15.75" customHeight="1">
      <c r="F283" s="1744"/>
      <c r="G283" s="1744"/>
      <c r="H283" s="1744"/>
      <c r="I283" s="1744"/>
      <c r="J283" s="1744"/>
      <c r="K283" s="1744"/>
      <c r="L283" s="1744"/>
      <c r="M283" s="1744"/>
      <c r="N283" s="1744"/>
      <c r="O283" s="1744"/>
      <c r="P283" s="1744"/>
      <c r="Q283" s="1744"/>
      <c r="R283" s="1744"/>
      <c r="S283" s="1744"/>
      <c r="T283" s="1744"/>
      <c r="U283" s="1744"/>
      <c r="V283" s="1744"/>
      <c r="W283" s="1744"/>
      <c r="X283" s="1744"/>
      <c r="Y283" s="1744"/>
      <c r="AA283" s="1744"/>
      <c r="AC283" s="1744"/>
      <c r="AD283" s="1744"/>
      <c r="AE283" s="1744"/>
      <c r="AF283" s="1744"/>
      <c r="AG283" s="1744"/>
      <c r="AH283" s="1745"/>
      <c r="AI283" s="1745"/>
      <c r="AJ283" s="1744"/>
      <c r="AK283" s="1744"/>
      <c r="AL283" s="1744"/>
      <c r="AM283" s="1744"/>
      <c r="AN283" s="1744"/>
      <c r="AO283" s="1744"/>
      <c r="AP283" s="1744"/>
      <c r="AQ283" s="1744"/>
      <c r="AR283" s="1744"/>
      <c r="AS283" s="1744"/>
      <c r="AT283" s="1744"/>
      <c r="AU283" s="1744"/>
      <c r="AV283" s="1744"/>
      <c r="AW283" s="1744"/>
      <c r="AX283" s="1744"/>
      <c r="AY283" s="1744"/>
      <c r="AZ283" s="1744"/>
      <c r="BA283" s="1744"/>
      <c r="BB283" s="1744"/>
      <c r="BC283" s="1744"/>
      <c r="BD283" s="1744"/>
      <c r="BE283" s="1744"/>
      <c r="BF283" s="1744"/>
      <c r="BG283" s="1744"/>
      <c r="BH283" s="1744"/>
      <c r="BI283" s="1744"/>
      <c r="BJ283" s="1744"/>
      <c r="BK283" s="1744"/>
      <c r="BL283" s="1744"/>
      <c r="BM283" s="1744"/>
      <c r="BN283" s="1744"/>
      <c r="BO283" s="1744"/>
      <c r="BP283" s="1744"/>
      <c r="BQ283" s="1744"/>
      <c r="BR283" s="1744"/>
      <c r="BS283" s="1744"/>
      <c r="BT283" s="1744"/>
      <c r="BU283" s="1744"/>
      <c r="BV283" s="1744"/>
      <c r="BW283" s="1744"/>
      <c r="BX283" s="1744"/>
      <c r="BY283" s="1744"/>
      <c r="BZ283" s="1744"/>
      <c r="CA283" s="1744"/>
      <c r="CB283" s="1744"/>
      <c r="CC283" s="1744"/>
      <c r="CD283" s="1744"/>
      <c r="CE283" s="1744"/>
      <c r="CF283" s="1744"/>
      <c r="CG283" s="1744"/>
      <c r="CH283" s="1744"/>
      <c r="CI283" s="1744"/>
      <c r="CJ283" s="1744"/>
      <c r="CK283" s="1744"/>
      <c r="CL283" s="1744"/>
      <c r="CM283" s="1744"/>
      <c r="CN283" s="1744"/>
      <c r="CO283" s="1744"/>
      <c r="CP283" s="1744"/>
      <c r="CQ283" s="1744"/>
      <c r="CR283" s="1744"/>
      <c r="CS283" s="1744"/>
      <c r="CT283" s="1744"/>
      <c r="CU283" s="1744"/>
      <c r="CV283" s="1744"/>
      <c r="CW283" s="1744"/>
      <c r="CX283" s="1744"/>
      <c r="CY283" s="1744"/>
      <c r="CZ283" s="1744"/>
      <c r="DA283" s="1744"/>
      <c r="DB283" s="1744"/>
      <c r="DC283" s="1744"/>
      <c r="DD283" s="1744"/>
      <c r="DE283" s="1744"/>
      <c r="DF283" s="1744"/>
      <c r="DG283" s="1744"/>
      <c r="DH283" s="1744"/>
      <c r="DI283" s="1744"/>
      <c r="DJ283" s="1744"/>
      <c r="DK283" s="1744"/>
      <c r="DL283" s="1744"/>
      <c r="DM283" s="1744"/>
      <c r="DN283" s="1744"/>
      <c r="DO283" s="1744"/>
      <c r="DP283" s="1744"/>
      <c r="DQ283" s="1744"/>
      <c r="DR283" s="1744"/>
      <c r="DS283" s="1744"/>
      <c r="DT283" s="1744"/>
      <c r="DU283" s="1744"/>
      <c r="DV283" s="1744"/>
      <c r="DW283" s="1744"/>
      <c r="DX283" s="1744"/>
      <c r="DY283" s="1744"/>
      <c r="DZ283" s="1744"/>
      <c r="EA283" s="1744"/>
      <c r="EB283" s="1744"/>
      <c r="EC283" s="1744"/>
      <c r="ED283" s="1744"/>
      <c r="EE283" s="1744"/>
      <c r="EF283" s="1744"/>
      <c r="EG283" s="1744"/>
      <c r="EH283" s="1744"/>
      <c r="EI283" s="1744"/>
      <c r="EJ283" s="1744"/>
      <c r="EK283" s="1744"/>
      <c r="EL283" s="1744"/>
      <c r="EM283" s="1744"/>
      <c r="EN283" s="1744"/>
      <c r="EO283" s="1744"/>
      <c r="EP283" s="1744"/>
      <c r="EQ283" s="1744"/>
      <c r="ER283" s="1744"/>
      <c r="ES283" s="1744"/>
      <c r="ET283" s="1744"/>
      <c r="EU283" s="1744"/>
      <c r="EV283" s="1744"/>
      <c r="EW283" s="1744"/>
      <c r="EX283" s="1744"/>
      <c r="EY283" s="1744"/>
      <c r="EZ283" s="1744"/>
      <c r="FA283" s="1744"/>
      <c r="FB283" s="1744"/>
      <c r="FC283" s="1744"/>
      <c r="FD283" s="1744"/>
      <c r="FE283" s="1744"/>
      <c r="FF283" s="1744"/>
    </row>
    <row r="285" spans="6:162" s="1746" customFormat="1" ht="15.75" customHeight="1">
      <c r="F285" s="1744"/>
      <c r="G285" s="1744"/>
      <c r="H285" s="1744"/>
      <c r="I285" s="1744"/>
      <c r="J285" s="1744"/>
      <c r="K285" s="1744"/>
      <c r="L285" s="1744"/>
      <c r="M285" s="1744"/>
      <c r="N285" s="1744"/>
      <c r="O285" s="1744"/>
      <c r="P285" s="1744"/>
      <c r="Q285" s="1744"/>
      <c r="R285" s="1744"/>
      <c r="S285" s="1744"/>
      <c r="T285" s="1744"/>
      <c r="U285" s="1744"/>
      <c r="V285" s="1744"/>
      <c r="W285" s="1744"/>
      <c r="X285" s="1744"/>
      <c r="Y285" s="1744"/>
      <c r="AA285" s="1744"/>
      <c r="AC285" s="1744"/>
      <c r="AD285" s="1744"/>
      <c r="AE285" s="1744"/>
      <c r="AF285" s="1744"/>
      <c r="AG285" s="1744"/>
      <c r="AH285" s="1745"/>
      <c r="AI285" s="1745"/>
      <c r="AJ285" s="1744"/>
      <c r="AK285" s="1744"/>
      <c r="AL285" s="1744"/>
      <c r="AM285" s="1744"/>
      <c r="AN285" s="1744"/>
      <c r="AO285" s="1744"/>
      <c r="AP285" s="1744"/>
      <c r="AQ285" s="1744"/>
      <c r="AR285" s="1744"/>
      <c r="AS285" s="1744"/>
      <c r="AT285" s="1744"/>
      <c r="AU285" s="1744"/>
      <c r="AV285" s="1744"/>
      <c r="AW285" s="1744"/>
      <c r="AX285" s="1744"/>
      <c r="AY285" s="1744"/>
      <c r="AZ285" s="1744"/>
      <c r="BA285" s="1744"/>
      <c r="BB285" s="1744"/>
      <c r="BC285" s="1744"/>
      <c r="BD285" s="1744"/>
      <c r="BE285" s="1744"/>
      <c r="BF285" s="1744"/>
      <c r="BG285" s="1744"/>
      <c r="BH285" s="1744"/>
      <c r="BI285" s="1744"/>
      <c r="BJ285" s="1744"/>
      <c r="BK285" s="1744"/>
      <c r="BL285" s="1744"/>
      <c r="BM285" s="1744"/>
      <c r="BN285" s="1744"/>
      <c r="BO285" s="1744"/>
      <c r="BP285" s="1744"/>
      <c r="BQ285" s="1744"/>
      <c r="BR285" s="1744"/>
      <c r="BS285" s="1744"/>
      <c r="BT285" s="1744"/>
      <c r="BU285" s="1744"/>
      <c r="BV285" s="1744"/>
      <c r="BW285" s="1744"/>
      <c r="BX285" s="1744"/>
      <c r="BY285" s="1744"/>
      <c r="BZ285" s="1744"/>
      <c r="CA285" s="1744"/>
      <c r="CB285" s="1744"/>
      <c r="CC285" s="1744"/>
      <c r="CD285" s="1744"/>
      <c r="CE285" s="1744"/>
      <c r="CF285" s="1744"/>
      <c r="CG285" s="1744"/>
      <c r="CH285" s="1744"/>
      <c r="CI285" s="1744"/>
      <c r="CJ285" s="1744"/>
      <c r="CK285" s="1744"/>
      <c r="CL285" s="1744"/>
      <c r="CM285" s="1744"/>
      <c r="CN285" s="1744"/>
      <c r="CO285" s="1744"/>
      <c r="CP285" s="1744"/>
      <c r="CQ285" s="1744"/>
      <c r="CR285" s="1744"/>
      <c r="CS285" s="1744"/>
      <c r="CT285" s="1744"/>
      <c r="CU285" s="1744"/>
      <c r="CV285" s="1744"/>
      <c r="CW285" s="1744"/>
      <c r="CX285" s="1744"/>
      <c r="CY285" s="1744"/>
      <c r="CZ285" s="1744"/>
      <c r="DA285" s="1744"/>
      <c r="DB285" s="1744"/>
      <c r="DC285" s="1744"/>
      <c r="DD285" s="1744"/>
      <c r="DE285" s="1744"/>
      <c r="DF285" s="1744"/>
      <c r="DG285" s="1744"/>
      <c r="DH285" s="1744"/>
      <c r="DI285" s="1744"/>
      <c r="DJ285" s="1744"/>
      <c r="DK285" s="1744"/>
      <c r="DL285" s="1744"/>
      <c r="DM285" s="1744"/>
      <c r="DN285" s="1744"/>
      <c r="DO285" s="1744"/>
      <c r="DP285" s="1744"/>
      <c r="DQ285" s="1744"/>
      <c r="DR285" s="1744"/>
      <c r="DS285" s="1744"/>
      <c r="DT285" s="1744"/>
      <c r="DU285" s="1744"/>
      <c r="DV285" s="1744"/>
      <c r="DW285" s="1744"/>
      <c r="DX285" s="1744"/>
      <c r="DY285" s="1744"/>
      <c r="DZ285" s="1744"/>
      <c r="EA285" s="1744"/>
      <c r="EB285" s="1744"/>
      <c r="EC285" s="1744"/>
      <c r="ED285" s="1744"/>
      <c r="EE285" s="1744"/>
      <c r="EF285" s="1744"/>
      <c r="EG285" s="1744"/>
      <c r="EH285" s="1744"/>
      <c r="EI285" s="1744"/>
      <c r="EJ285" s="1744"/>
      <c r="EK285" s="1744"/>
      <c r="EL285" s="1744"/>
      <c r="EM285" s="1744"/>
      <c r="EN285" s="1744"/>
      <c r="EO285" s="1744"/>
      <c r="EP285" s="1744"/>
      <c r="EQ285" s="1744"/>
      <c r="ER285" s="1744"/>
      <c r="ES285" s="1744"/>
      <c r="ET285" s="1744"/>
      <c r="EU285" s="1744"/>
      <c r="EV285" s="1744"/>
      <c r="EW285" s="1744"/>
      <c r="EX285" s="1744"/>
      <c r="EY285" s="1744"/>
      <c r="EZ285" s="1744"/>
      <c r="FA285" s="1744"/>
      <c r="FB285" s="1744"/>
      <c r="FC285" s="1744"/>
      <c r="FD285" s="1744"/>
      <c r="FE285" s="1744"/>
      <c r="FF285" s="1744"/>
    </row>
    <row r="287" spans="6:162" s="1746" customFormat="1" ht="15.75" customHeight="1">
      <c r="F287" s="1744"/>
      <c r="G287" s="1744"/>
      <c r="H287" s="1744"/>
      <c r="I287" s="1744"/>
      <c r="J287" s="1744"/>
      <c r="K287" s="1744"/>
      <c r="L287" s="1744"/>
      <c r="M287" s="1744"/>
      <c r="N287" s="1744"/>
      <c r="O287" s="1744"/>
      <c r="P287" s="1744"/>
      <c r="Q287" s="1744"/>
      <c r="R287" s="1744"/>
      <c r="S287" s="1744"/>
      <c r="T287" s="1744"/>
      <c r="U287" s="1744"/>
      <c r="V287" s="1744"/>
      <c r="W287" s="1744"/>
      <c r="X287" s="1744"/>
      <c r="Y287" s="1744"/>
      <c r="AA287" s="1744"/>
      <c r="AC287" s="1744"/>
      <c r="AD287" s="1744"/>
      <c r="AE287" s="1744"/>
      <c r="AF287" s="1744"/>
      <c r="AG287" s="1744"/>
      <c r="AH287" s="1745"/>
      <c r="AI287" s="1745"/>
      <c r="AJ287" s="1744"/>
      <c r="AK287" s="1744"/>
      <c r="AL287" s="1744"/>
      <c r="AM287" s="1744"/>
      <c r="AN287" s="1744"/>
      <c r="AO287" s="1744"/>
      <c r="AP287" s="1744"/>
      <c r="AQ287" s="1744"/>
      <c r="AR287" s="1744"/>
      <c r="AS287" s="1744"/>
      <c r="AT287" s="1744"/>
      <c r="AU287" s="1744"/>
      <c r="AV287" s="1744"/>
      <c r="AW287" s="1744"/>
      <c r="AX287" s="1744"/>
      <c r="AY287" s="1744"/>
      <c r="AZ287" s="1744"/>
      <c r="BA287" s="1744"/>
      <c r="BB287" s="1744"/>
      <c r="BC287" s="1744"/>
      <c r="BD287" s="1744"/>
      <c r="BE287" s="1744"/>
      <c r="BF287" s="1744"/>
      <c r="BG287" s="1744"/>
      <c r="BH287" s="1744"/>
      <c r="BI287" s="1744"/>
      <c r="BJ287" s="1744"/>
      <c r="BK287" s="1744"/>
      <c r="BL287" s="1744"/>
      <c r="BM287" s="1744"/>
      <c r="BN287" s="1744"/>
      <c r="BO287" s="1744"/>
      <c r="BP287" s="1744"/>
      <c r="BQ287" s="1744"/>
      <c r="BR287" s="1744"/>
      <c r="BS287" s="1744"/>
      <c r="BT287" s="1744"/>
      <c r="BU287" s="1744"/>
      <c r="BV287" s="1744"/>
      <c r="BW287" s="1744"/>
      <c r="BX287" s="1744"/>
      <c r="BY287" s="1744"/>
      <c r="BZ287" s="1744"/>
      <c r="CA287" s="1744"/>
      <c r="CB287" s="1744"/>
      <c r="CC287" s="1744"/>
      <c r="CD287" s="1744"/>
      <c r="CE287" s="1744"/>
      <c r="CF287" s="1744"/>
      <c r="CG287" s="1744"/>
      <c r="CH287" s="1744"/>
      <c r="CI287" s="1744"/>
      <c r="CJ287" s="1744"/>
      <c r="CK287" s="1744"/>
      <c r="CL287" s="1744"/>
      <c r="CM287" s="1744"/>
      <c r="CN287" s="1744"/>
      <c r="CO287" s="1744"/>
      <c r="CP287" s="1744"/>
      <c r="CQ287" s="1744"/>
      <c r="CR287" s="1744"/>
      <c r="CS287" s="1744"/>
      <c r="CT287" s="1744"/>
      <c r="CU287" s="1744"/>
      <c r="CV287" s="1744"/>
      <c r="CW287" s="1744"/>
      <c r="CX287" s="1744"/>
      <c r="CY287" s="1744"/>
      <c r="CZ287" s="1744"/>
      <c r="DA287" s="1744"/>
      <c r="DB287" s="1744"/>
      <c r="DC287" s="1744"/>
      <c r="DD287" s="1744"/>
      <c r="DE287" s="1744"/>
      <c r="DF287" s="1744"/>
      <c r="DG287" s="1744"/>
      <c r="DH287" s="1744"/>
      <c r="DI287" s="1744"/>
      <c r="DJ287" s="1744"/>
      <c r="DK287" s="1744"/>
      <c r="DL287" s="1744"/>
      <c r="DM287" s="1744"/>
      <c r="DN287" s="1744"/>
      <c r="DO287" s="1744"/>
      <c r="DP287" s="1744"/>
      <c r="DQ287" s="1744"/>
      <c r="DR287" s="1744"/>
      <c r="DS287" s="1744"/>
      <c r="DT287" s="1744"/>
      <c r="DU287" s="1744"/>
      <c r="DV287" s="1744"/>
      <c r="DW287" s="1744"/>
      <c r="DX287" s="1744"/>
      <c r="DY287" s="1744"/>
      <c r="DZ287" s="1744"/>
      <c r="EA287" s="1744"/>
      <c r="EB287" s="1744"/>
      <c r="EC287" s="1744"/>
      <c r="ED287" s="1744"/>
      <c r="EE287" s="1744"/>
      <c r="EF287" s="1744"/>
      <c r="EG287" s="1744"/>
      <c r="EH287" s="1744"/>
      <c r="EI287" s="1744"/>
      <c r="EJ287" s="1744"/>
      <c r="EK287" s="1744"/>
      <c r="EL287" s="1744"/>
      <c r="EM287" s="1744"/>
      <c r="EN287" s="1744"/>
      <c r="EO287" s="1744"/>
      <c r="EP287" s="1744"/>
      <c r="EQ287" s="1744"/>
      <c r="ER287" s="1744"/>
      <c r="ES287" s="1744"/>
      <c r="ET287" s="1744"/>
      <c r="EU287" s="1744"/>
      <c r="EV287" s="1744"/>
      <c r="EW287" s="1744"/>
      <c r="EX287" s="1744"/>
      <c r="EY287" s="1744"/>
      <c r="EZ287" s="1744"/>
      <c r="FA287" s="1744"/>
      <c r="FB287" s="1744"/>
      <c r="FC287" s="1744"/>
      <c r="FD287" s="1744"/>
      <c r="FE287" s="1744"/>
      <c r="FF287" s="1744"/>
    </row>
    <row r="289" spans="6:162" s="1746" customFormat="1" ht="15.75" customHeight="1">
      <c r="F289" s="1744"/>
      <c r="G289" s="1744"/>
      <c r="H289" s="1744"/>
      <c r="I289" s="1744"/>
      <c r="J289" s="1744"/>
      <c r="K289" s="1744"/>
      <c r="L289" s="1744"/>
      <c r="M289" s="1744"/>
      <c r="N289" s="1744"/>
      <c r="O289" s="1744"/>
      <c r="P289" s="1744"/>
      <c r="Q289" s="1744"/>
      <c r="R289" s="1744"/>
      <c r="S289" s="1744"/>
      <c r="T289" s="1744"/>
      <c r="U289" s="1744"/>
      <c r="V289" s="1744"/>
      <c r="W289" s="1744"/>
      <c r="X289" s="1744"/>
      <c r="Y289" s="1744"/>
      <c r="AA289" s="1744"/>
      <c r="AC289" s="1744"/>
      <c r="AD289" s="1744"/>
      <c r="AE289" s="1744"/>
      <c r="AF289" s="1744"/>
      <c r="AG289" s="1744"/>
      <c r="AH289" s="1745"/>
      <c r="AI289" s="1745"/>
      <c r="AJ289" s="1744"/>
      <c r="AK289" s="1744"/>
      <c r="AL289" s="1744"/>
      <c r="AM289" s="1744"/>
      <c r="AN289" s="1744"/>
      <c r="AO289" s="1744"/>
      <c r="AP289" s="1744"/>
      <c r="AQ289" s="1744"/>
      <c r="AR289" s="1744"/>
      <c r="AS289" s="1744"/>
      <c r="AT289" s="1744"/>
      <c r="AU289" s="1744"/>
      <c r="AV289" s="1744"/>
      <c r="AW289" s="1744"/>
      <c r="AX289" s="1744"/>
      <c r="AY289" s="1744"/>
      <c r="AZ289" s="1744"/>
      <c r="BA289" s="1744"/>
      <c r="BB289" s="1744"/>
      <c r="BC289" s="1744"/>
      <c r="BD289" s="1744"/>
      <c r="BE289" s="1744"/>
      <c r="BF289" s="1744"/>
      <c r="BG289" s="1744"/>
      <c r="BH289" s="1744"/>
      <c r="BI289" s="1744"/>
      <c r="BJ289" s="1744"/>
      <c r="BK289" s="1744"/>
      <c r="BL289" s="1744"/>
      <c r="BM289" s="1744"/>
      <c r="BN289" s="1744"/>
      <c r="BO289" s="1744"/>
      <c r="BP289" s="1744"/>
      <c r="BQ289" s="1744"/>
      <c r="BR289" s="1744"/>
      <c r="BS289" s="1744"/>
      <c r="BT289" s="1744"/>
      <c r="BU289" s="1744"/>
      <c r="BV289" s="1744"/>
      <c r="BW289" s="1744"/>
      <c r="BX289" s="1744"/>
      <c r="BY289" s="1744"/>
      <c r="BZ289" s="1744"/>
      <c r="CA289" s="1744"/>
      <c r="CB289" s="1744"/>
      <c r="CC289" s="1744"/>
      <c r="CD289" s="1744"/>
      <c r="CE289" s="1744"/>
      <c r="CF289" s="1744"/>
      <c r="CG289" s="1744"/>
      <c r="CH289" s="1744"/>
      <c r="CI289" s="1744"/>
      <c r="CJ289" s="1744"/>
      <c r="CK289" s="1744"/>
      <c r="CL289" s="1744"/>
      <c r="CM289" s="1744"/>
      <c r="CN289" s="1744"/>
      <c r="CO289" s="1744"/>
      <c r="CP289" s="1744"/>
      <c r="CQ289" s="1744"/>
      <c r="CR289" s="1744"/>
      <c r="CS289" s="1744"/>
      <c r="CT289" s="1744"/>
      <c r="CU289" s="1744"/>
      <c r="CV289" s="1744"/>
      <c r="CW289" s="1744"/>
      <c r="CX289" s="1744"/>
      <c r="CY289" s="1744"/>
      <c r="CZ289" s="1744"/>
      <c r="DA289" s="1744"/>
      <c r="DB289" s="1744"/>
      <c r="DC289" s="1744"/>
      <c r="DD289" s="1744"/>
      <c r="DE289" s="1744"/>
      <c r="DF289" s="1744"/>
      <c r="DG289" s="1744"/>
      <c r="DH289" s="1744"/>
      <c r="DI289" s="1744"/>
      <c r="DJ289" s="1744"/>
      <c r="DK289" s="1744"/>
      <c r="DL289" s="1744"/>
      <c r="DM289" s="1744"/>
      <c r="DN289" s="1744"/>
      <c r="DO289" s="1744"/>
      <c r="DP289" s="1744"/>
      <c r="DQ289" s="1744"/>
      <c r="DR289" s="1744"/>
      <c r="DS289" s="1744"/>
      <c r="DT289" s="1744"/>
      <c r="DU289" s="1744"/>
      <c r="DV289" s="1744"/>
      <c r="DW289" s="1744"/>
      <c r="DX289" s="1744"/>
      <c r="DY289" s="1744"/>
      <c r="DZ289" s="1744"/>
      <c r="EA289" s="1744"/>
      <c r="EB289" s="1744"/>
      <c r="EC289" s="1744"/>
      <c r="ED289" s="1744"/>
      <c r="EE289" s="1744"/>
      <c r="EF289" s="1744"/>
      <c r="EG289" s="1744"/>
      <c r="EH289" s="1744"/>
      <c r="EI289" s="1744"/>
      <c r="EJ289" s="1744"/>
      <c r="EK289" s="1744"/>
      <c r="EL289" s="1744"/>
      <c r="EM289" s="1744"/>
      <c r="EN289" s="1744"/>
      <c r="EO289" s="1744"/>
      <c r="EP289" s="1744"/>
      <c r="EQ289" s="1744"/>
      <c r="ER289" s="1744"/>
      <c r="ES289" s="1744"/>
      <c r="ET289" s="1744"/>
      <c r="EU289" s="1744"/>
      <c r="EV289" s="1744"/>
      <c r="EW289" s="1744"/>
      <c r="EX289" s="1744"/>
      <c r="EY289" s="1744"/>
      <c r="EZ289" s="1744"/>
      <c r="FA289" s="1744"/>
      <c r="FB289" s="1744"/>
      <c r="FC289" s="1744"/>
      <c r="FD289" s="1744"/>
      <c r="FE289" s="1744"/>
      <c r="FF289" s="1744"/>
    </row>
    <row r="291" spans="6:162" s="1746" customFormat="1" ht="15.75" customHeight="1">
      <c r="F291" s="1744"/>
      <c r="G291" s="1744"/>
      <c r="H291" s="1744"/>
      <c r="I291" s="1744"/>
      <c r="J291" s="1744"/>
      <c r="K291" s="1744"/>
      <c r="L291" s="1744"/>
      <c r="M291" s="1744"/>
      <c r="N291" s="1744"/>
      <c r="O291" s="1744"/>
      <c r="P291" s="1744"/>
      <c r="Q291" s="1744"/>
      <c r="R291" s="1744"/>
      <c r="S291" s="1744"/>
      <c r="T291" s="1744"/>
      <c r="U291" s="1744"/>
      <c r="V291" s="1744"/>
      <c r="W291" s="1744"/>
      <c r="X291" s="1744"/>
      <c r="Y291" s="1744"/>
      <c r="AA291" s="1744"/>
      <c r="AC291" s="1744"/>
      <c r="AD291" s="1744"/>
      <c r="AE291" s="1744"/>
      <c r="AF291" s="1744"/>
      <c r="AG291" s="1744"/>
      <c r="AH291" s="1745"/>
      <c r="AI291" s="1745"/>
      <c r="AJ291" s="1744"/>
      <c r="AK291" s="1744"/>
      <c r="AL291" s="1744"/>
      <c r="AM291" s="1744"/>
      <c r="AN291" s="1744"/>
      <c r="AO291" s="1744"/>
      <c r="AP291" s="1744"/>
      <c r="AQ291" s="1744"/>
      <c r="AR291" s="1744"/>
      <c r="AS291" s="1744"/>
      <c r="AT291" s="1744"/>
      <c r="AU291" s="1744"/>
      <c r="AV291" s="1744"/>
      <c r="AW291" s="1744"/>
      <c r="AX291" s="1744"/>
      <c r="AY291" s="1744"/>
      <c r="AZ291" s="1744"/>
      <c r="BA291" s="1744"/>
      <c r="BB291" s="1744"/>
      <c r="BC291" s="1744"/>
      <c r="BD291" s="1744"/>
      <c r="BE291" s="1744"/>
      <c r="BF291" s="1744"/>
      <c r="BG291" s="1744"/>
      <c r="BH291" s="1744"/>
      <c r="BI291" s="1744"/>
      <c r="BJ291" s="1744"/>
      <c r="BK291" s="1744"/>
      <c r="BL291" s="1744"/>
      <c r="BM291" s="1744"/>
      <c r="BN291" s="1744"/>
      <c r="BO291" s="1744"/>
      <c r="BP291" s="1744"/>
      <c r="BQ291" s="1744"/>
      <c r="BR291" s="1744"/>
      <c r="BS291" s="1744"/>
      <c r="BT291" s="1744"/>
      <c r="BU291" s="1744"/>
      <c r="BV291" s="1744"/>
      <c r="BW291" s="1744"/>
      <c r="BX291" s="1744"/>
      <c r="BY291" s="1744"/>
      <c r="BZ291" s="1744"/>
      <c r="CA291" s="1744"/>
      <c r="CB291" s="1744"/>
      <c r="CC291" s="1744"/>
      <c r="CD291" s="1744"/>
      <c r="CE291" s="1744"/>
      <c r="CF291" s="1744"/>
      <c r="CG291" s="1744"/>
      <c r="CH291" s="1744"/>
      <c r="CI291" s="1744"/>
      <c r="CJ291" s="1744"/>
      <c r="CK291" s="1744"/>
      <c r="CL291" s="1744"/>
      <c r="CM291" s="1744"/>
      <c r="CN291" s="1744"/>
      <c r="CO291" s="1744"/>
      <c r="CP291" s="1744"/>
      <c r="CQ291" s="1744"/>
      <c r="CR291" s="1744"/>
      <c r="CS291" s="1744"/>
      <c r="CT291" s="1744"/>
      <c r="CU291" s="1744"/>
      <c r="CV291" s="1744"/>
      <c r="CW291" s="1744"/>
      <c r="CX291" s="1744"/>
      <c r="CY291" s="1744"/>
      <c r="CZ291" s="1744"/>
      <c r="DA291" s="1744"/>
      <c r="DB291" s="1744"/>
      <c r="DC291" s="1744"/>
      <c r="DD291" s="1744"/>
      <c r="DE291" s="1744"/>
      <c r="DF291" s="1744"/>
      <c r="DG291" s="1744"/>
      <c r="DH291" s="1744"/>
      <c r="DI291" s="1744"/>
      <c r="DJ291" s="1744"/>
      <c r="DK291" s="1744"/>
      <c r="DL291" s="1744"/>
      <c r="DM291" s="1744"/>
      <c r="DN291" s="1744"/>
      <c r="DO291" s="1744"/>
      <c r="DP291" s="1744"/>
      <c r="DQ291" s="1744"/>
      <c r="DR291" s="1744"/>
      <c r="DS291" s="1744"/>
      <c r="DT291" s="1744"/>
      <c r="DU291" s="1744"/>
      <c r="DV291" s="1744"/>
      <c r="DW291" s="1744"/>
      <c r="DX291" s="1744"/>
      <c r="DY291" s="1744"/>
      <c r="DZ291" s="1744"/>
      <c r="EA291" s="1744"/>
      <c r="EB291" s="1744"/>
      <c r="EC291" s="1744"/>
      <c r="ED291" s="1744"/>
      <c r="EE291" s="1744"/>
      <c r="EF291" s="1744"/>
      <c r="EG291" s="1744"/>
      <c r="EH291" s="1744"/>
      <c r="EI291" s="1744"/>
      <c r="EJ291" s="1744"/>
      <c r="EK291" s="1744"/>
      <c r="EL291" s="1744"/>
      <c r="EM291" s="1744"/>
      <c r="EN291" s="1744"/>
      <c r="EO291" s="1744"/>
      <c r="EP291" s="1744"/>
      <c r="EQ291" s="1744"/>
      <c r="ER291" s="1744"/>
      <c r="ES291" s="1744"/>
      <c r="ET291" s="1744"/>
      <c r="EU291" s="1744"/>
      <c r="EV291" s="1744"/>
      <c r="EW291" s="1744"/>
      <c r="EX291" s="1744"/>
      <c r="EY291" s="1744"/>
      <c r="EZ291" s="1744"/>
      <c r="FA291" s="1744"/>
      <c r="FB291" s="1744"/>
      <c r="FC291" s="1744"/>
      <c r="FD291" s="1744"/>
      <c r="FE291" s="1744"/>
      <c r="FF291" s="1744"/>
    </row>
    <row r="293" spans="6:162" s="1746" customFormat="1" ht="15.75" customHeight="1">
      <c r="F293" s="1744"/>
      <c r="G293" s="1744"/>
      <c r="H293" s="1744"/>
      <c r="I293" s="1744"/>
      <c r="J293" s="1744"/>
      <c r="K293" s="1744"/>
      <c r="L293" s="1744"/>
      <c r="M293" s="1744"/>
      <c r="N293" s="1744"/>
      <c r="O293" s="1744"/>
      <c r="P293" s="1744"/>
      <c r="Q293" s="1744"/>
      <c r="R293" s="1744"/>
      <c r="S293" s="1744"/>
      <c r="T293" s="1744"/>
      <c r="U293" s="1744"/>
      <c r="V293" s="1744"/>
      <c r="W293" s="1744"/>
      <c r="X293" s="1744"/>
      <c r="Y293" s="1744"/>
      <c r="AA293" s="1744"/>
      <c r="AC293" s="1744"/>
      <c r="AD293" s="1744"/>
      <c r="AE293" s="1744"/>
      <c r="AF293" s="1744"/>
      <c r="AG293" s="1744"/>
      <c r="AH293" s="1745"/>
      <c r="AI293" s="1745"/>
      <c r="AJ293" s="1744"/>
      <c r="AK293" s="1744"/>
      <c r="AL293" s="1744"/>
      <c r="AM293" s="1744"/>
      <c r="AN293" s="1744"/>
      <c r="AO293" s="1744"/>
      <c r="AP293" s="1744"/>
      <c r="AQ293" s="1744"/>
      <c r="AR293" s="1744"/>
      <c r="AS293" s="1744"/>
      <c r="AT293" s="1744"/>
      <c r="AU293" s="1744"/>
      <c r="AV293" s="1744"/>
      <c r="AW293" s="1744"/>
      <c r="AX293" s="1744"/>
      <c r="AY293" s="1744"/>
      <c r="AZ293" s="1744"/>
      <c r="BA293" s="1744"/>
      <c r="BB293" s="1744"/>
      <c r="BC293" s="1744"/>
      <c r="BD293" s="1744"/>
      <c r="BE293" s="1744"/>
      <c r="BF293" s="1744"/>
      <c r="BG293" s="1744"/>
      <c r="BH293" s="1744"/>
      <c r="BI293" s="1744"/>
      <c r="BJ293" s="1744"/>
      <c r="BK293" s="1744"/>
      <c r="BL293" s="1744"/>
      <c r="BM293" s="1744"/>
      <c r="BN293" s="1744"/>
      <c r="BO293" s="1744"/>
      <c r="BP293" s="1744"/>
      <c r="BQ293" s="1744"/>
      <c r="BR293" s="1744"/>
      <c r="BS293" s="1744"/>
      <c r="BT293" s="1744"/>
      <c r="BU293" s="1744"/>
      <c r="BV293" s="1744"/>
      <c r="BW293" s="1744"/>
      <c r="BX293" s="1744"/>
      <c r="BY293" s="1744"/>
      <c r="BZ293" s="1744"/>
      <c r="CA293" s="1744"/>
      <c r="CB293" s="1744"/>
      <c r="CC293" s="1744"/>
      <c r="CD293" s="1744"/>
      <c r="CE293" s="1744"/>
      <c r="CF293" s="1744"/>
      <c r="CG293" s="1744"/>
      <c r="CH293" s="1744"/>
      <c r="CI293" s="1744"/>
      <c r="CJ293" s="1744"/>
      <c r="CK293" s="1744"/>
      <c r="CL293" s="1744"/>
      <c r="CM293" s="1744"/>
      <c r="CN293" s="1744"/>
      <c r="CO293" s="1744"/>
      <c r="CP293" s="1744"/>
      <c r="CQ293" s="1744"/>
      <c r="CR293" s="1744"/>
      <c r="CS293" s="1744"/>
      <c r="CT293" s="1744"/>
      <c r="CU293" s="1744"/>
      <c r="CV293" s="1744"/>
      <c r="CW293" s="1744"/>
      <c r="CX293" s="1744"/>
      <c r="CY293" s="1744"/>
      <c r="CZ293" s="1744"/>
      <c r="DA293" s="1744"/>
      <c r="DB293" s="1744"/>
      <c r="DC293" s="1744"/>
      <c r="DD293" s="1744"/>
      <c r="DE293" s="1744"/>
      <c r="DF293" s="1744"/>
      <c r="DG293" s="1744"/>
      <c r="DH293" s="1744"/>
      <c r="DI293" s="1744"/>
      <c r="DJ293" s="1744"/>
      <c r="DK293" s="1744"/>
      <c r="DL293" s="1744"/>
      <c r="DM293" s="1744"/>
      <c r="DN293" s="1744"/>
      <c r="DO293" s="1744"/>
      <c r="DP293" s="1744"/>
      <c r="DQ293" s="1744"/>
      <c r="DR293" s="1744"/>
      <c r="DS293" s="1744"/>
      <c r="DT293" s="1744"/>
      <c r="DU293" s="1744"/>
      <c r="DV293" s="1744"/>
      <c r="DW293" s="1744"/>
      <c r="DX293" s="1744"/>
      <c r="DY293" s="1744"/>
      <c r="DZ293" s="1744"/>
      <c r="EA293" s="1744"/>
      <c r="EB293" s="1744"/>
      <c r="EC293" s="1744"/>
      <c r="ED293" s="1744"/>
      <c r="EE293" s="1744"/>
      <c r="EF293" s="1744"/>
      <c r="EG293" s="1744"/>
      <c r="EH293" s="1744"/>
      <c r="EI293" s="1744"/>
      <c r="EJ293" s="1744"/>
      <c r="EK293" s="1744"/>
      <c r="EL293" s="1744"/>
      <c r="EM293" s="1744"/>
      <c r="EN293" s="1744"/>
      <c r="EO293" s="1744"/>
      <c r="EP293" s="1744"/>
      <c r="EQ293" s="1744"/>
      <c r="ER293" s="1744"/>
      <c r="ES293" s="1744"/>
      <c r="ET293" s="1744"/>
      <c r="EU293" s="1744"/>
      <c r="EV293" s="1744"/>
      <c r="EW293" s="1744"/>
      <c r="EX293" s="1744"/>
      <c r="EY293" s="1744"/>
      <c r="EZ293" s="1744"/>
      <c r="FA293" s="1744"/>
      <c r="FB293" s="1744"/>
      <c r="FC293" s="1744"/>
      <c r="FD293" s="1744"/>
      <c r="FE293" s="1744"/>
      <c r="FF293" s="1744"/>
    </row>
    <row r="295" spans="6:162" s="1746" customFormat="1" ht="15.75" customHeight="1">
      <c r="F295" s="1744"/>
      <c r="G295" s="1744"/>
      <c r="H295" s="1744"/>
      <c r="I295" s="1744"/>
      <c r="J295" s="1744"/>
      <c r="K295" s="1744"/>
      <c r="L295" s="1744"/>
      <c r="M295" s="1744"/>
      <c r="N295" s="1744"/>
      <c r="O295" s="1744"/>
      <c r="P295" s="1744"/>
      <c r="Q295" s="1744"/>
      <c r="R295" s="1744"/>
      <c r="S295" s="1744"/>
      <c r="T295" s="1744"/>
      <c r="U295" s="1744"/>
      <c r="V295" s="1744"/>
      <c r="W295" s="1744"/>
      <c r="X295" s="1744"/>
      <c r="Y295" s="1744"/>
      <c r="AA295" s="1744"/>
      <c r="AC295" s="1744"/>
      <c r="AD295" s="1744"/>
      <c r="AE295" s="1744"/>
      <c r="AF295" s="1744"/>
      <c r="AG295" s="1744"/>
      <c r="AH295" s="1745"/>
      <c r="AI295" s="1745"/>
      <c r="AJ295" s="1744"/>
      <c r="AK295" s="1744"/>
      <c r="AL295" s="1744"/>
      <c r="AM295" s="1744"/>
      <c r="AN295" s="1744"/>
      <c r="AO295" s="1744"/>
      <c r="AP295" s="1744"/>
      <c r="AQ295" s="1744"/>
      <c r="AR295" s="1744"/>
      <c r="AS295" s="1744"/>
      <c r="AT295" s="1744"/>
      <c r="AU295" s="1744"/>
      <c r="AV295" s="1744"/>
      <c r="AW295" s="1744"/>
      <c r="AX295" s="1744"/>
      <c r="AY295" s="1744"/>
      <c r="AZ295" s="1744"/>
      <c r="BA295" s="1744"/>
      <c r="BB295" s="1744"/>
      <c r="BC295" s="1744"/>
      <c r="BD295" s="1744"/>
      <c r="BE295" s="1744"/>
      <c r="BF295" s="1744"/>
      <c r="BG295" s="1744"/>
      <c r="BH295" s="1744"/>
      <c r="BI295" s="1744"/>
      <c r="BJ295" s="1744"/>
      <c r="BK295" s="1744"/>
      <c r="BL295" s="1744"/>
      <c r="BM295" s="1744"/>
      <c r="BN295" s="1744"/>
      <c r="BO295" s="1744"/>
      <c r="BP295" s="1744"/>
      <c r="BQ295" s="1744"/>
      <c r="BR295" s="1744"/>
      <c r="BS295" s="1744"/>
      <c r="BT295" s="1744"/>
      <c r="BU295" s="1744"/>
      <c r="BV295" s="1744"/>
      <c r="BW295" s="1744"/>
      <c r="BX295" s="1744"/>
      <c r="BY295" s="1744"/>
      <c r="BZ295" s="1744"/>
      <c r="CA295" s="1744"/>
      <c r="CB295" s="1744"/>
      <c r="CC295" s="1744"/>
      <c r="CD295" s="1744"/>
      <c r="CE295" s="1744"/>
      <c r="CF295" s="1744"/>
      <c r="CG295" s="1744"/>
      <c r="CH295" s="1744"/>
      <c r="CI295" s="1744"/>
      <c r="CJ295" s="1744"/>
      <c r="CK295" s="1744"/>
      <c r="CL295" s="1744"/>
      <c r="CM295" s="1744"/>
      <c r="CN295" s="1744"/>
      <c r="CO295" s="1744"/>
      <c r="CP295" s="1744"/>
      <c r="CQ295" s="1744"/>
      <c r="CR295" s="1744"/>
      <c r="CS295" s="1744"/>
      <c r="CT295" s="1744"/>
      <c r="CU295" s="1744"/>
      <c r="CV295" s="1744"/>
      <c r="CW295" s="1744"/>
      <c r="CX295" s="1744"/>
      <c r="CY295" s="1744"/>
      <c r="CZ295" s="1744"/>
      <c r="DA295" s="1744"/>
      <c r="DB295" s="1744"/>
      <c r="DC295" s="1744"/>
      <c r="DD295" s="1744"/>
      <c r="DE295" s="1744"/>
      <c r="DF295" s="1744"/>
      <c r="DG295" s="1744"/>
      <c r="DH295" s="1744"/>
      <c r="DI295" s="1744"/>
      <c r="DJ295" s="1744"/>
      <c r="DK295" s="1744"/>
      <c r="DL295" s="1744"/>
      <c r="DM295" s="1744"/>
      <c r="DN295" s="1744"/>
      <c r="DO295" s="1744"/>
      <c r="DP295" s="1744"/>
      <c r="DQ295" s="1744"/>
      <c r="DR295" s="1744"/>
      <c r="DS295" s="1744"/>
      <c r="DT295" s="1744"/>
      <c r="DU295" s="1744"/>
      <c r="DV295" s="1744"/>
      <c r="DW295" s="1744"/>
      <c r="DX295" s="1744"/>
      <c r="DY295" s="1744"/>
      <c r="DZ295" s="1744"/>
      <c r="EA295" s="1744"/>
      <c r="EB295" s="1744"/>
      <c r="EC295" s="1744"/>
      <c r="ED295" s="1744"/>
      <c r="EE295" s="1744"/>
      <c r="EF295" s="1744"/>
      <c r="EG295" s="1744"/>
      <c r="EH295" s="1744"/>
      <c r="EI295" s="1744"/>
      <c r="EJ295" s="1744"/>
      <c r="EK295" s="1744"/>
      <c r="EL295" s="1744"/>
      <c r="EM295" s="1744"/>
      <c r="EN295" s="1744"/>
      <c r="EO295" s="1744"/>
      <c r="EP295" s="1744"/>
      <c r="EQ295" s="1744"/>
      <c r="ER295" s="1744"/>
      <c r="ES295" s="1744"/>
      <c r="ET295" s="1744"/>
      <c r="EU295" s="1744"/>
      <c r="EV295" s="1744"/>
      <c r="EW295" s="1744"/>
      <c r="EX295" s="1744"/>
      <c r="EY295" s="1744"/>
      <c r="EZ295" s="1744"/>
      <c r="FA295" s="1744"/>
      <c r="FB295" s="1744"/>
      <c r="FC295" s="1744"/>
      <c r="FD295" s="1744"/>
      <c r="FE295" s="1744"/>
      <c r="FF295" s="1744"/>
    </row>
    <row r="297" spans="6:162" s="1746" customFormat="1" ht="15.75" customHeight="1">
      <c r="F297" s="1744"/>
      <c r="G297" s="1744"/>
      <c r="H297" s="1744"/>
      <c r="I297" s="1744"/>
      <c r="J297" s="1744"/>
      <c r="K297" s="1744"/>
      <c r="L297" s="1744"/>
      <c r="M297" s="1744"/>
      <c r="N297" s="1744"/>
      <c r="O297" s="1744"/>
      <c r="P297" s="1744"/>
      <c r="Q297" s="1744"/>
      <c r="R297" s="1744"/>
      <c r="S297" s="1744"/>
      <c r="T297" s="1744"/>
      <c r="U297" s="1744"/>
      <c r="V297" s="1744"/>
      <c r="W297" s="1744"/>
      <c r="X297" s="1744"/>
      <c r="Y297" s="1744"/>
      <c r="AA297" s="1744"/>
      <c r="AC297" s="1744"/>
      <c r="AD297" s="1744"/>
      <c r="AE297" s="1744"/>
      <c r="AF297" s="1744"/>
      <c r="AG297" s="1744"/>
      <c r="AH297" s="1745"/>
      <c r="AI297" s="1745"/>
      <c r="AJ297" s="1744"/>
      <c r="AK297" s="1744"/>
      <c r="AL297" s="1744"/>
      <c r="AM297" s="1744"/>
      <c r="AN297" s="1744"/>
      <c r="AO297" s="1744"/>
      <c r="AP297" s="1744"/>
      <c r="AQ297" s="1744"/>
      <c r="AR297" s="1744"/>
      <c r="AS297" s="1744"/>
      <c r="AT297" s="1744"/>
      <c r="AU297" s="1744"/>
      <c r="AV297" s="1744"/>
      <c r="AW297" s="1744"/>
      <c r="AX297" s="1744"/>
      <c r="AY297" s="1744"/>
      <c r="AZ297" s="1744"/>
      <c r="BA297" s="1744"/>
      <c r="BB297" s="1744"/>
      <c r="BC297" s="1744"/>
      <c r="BD297" s="1744"/>
      <c r="BE297" s="1744"/>
      <c r="BF297" s="1744"/>
      <c r="BG297" s="1744"/>
      <c r="BH297" s="1744"/>
      <c r="BI297" s="1744"/>
      <c r="BJ297" s="1744"/>
      <c r="BK297" s="1744"/>
      <c r="BL297" s="1744"/>
      <c r="BM297" s="1744"/>
      <c r="BN297" s="1744"/>
      <c r="BO297" s="1744"/>
      <c r="BP297" s="1744"/>
      <c r="BQ297" s="1744"/>
      <c r="BR297" s="1744"/>
      <c r="BS297" s="1744"/>
      <c r="BT297" s="1744"/>
      <c r="BU297" s="1744"/>
      <c r="BV297" s="1744"/>
      <c r="BW297" s="1744"/>
      <c r="BX297" s="1744"/>
      <c r="BY297" s="1744"/>
      <c r="BZ297" s="1744"/>
      <c r="CA297" s="1744"/>
      <c r="CB297" s="1744"/>
      <c r="CC297" s="1744"/>
      <c r="CD297" s="1744"/>
      <c r="CE297" s="1744"/>
      <c r="CF297" s="1744"/>
      <c r="CG297" s="1744"/>
      <c r="CH297" s="1744"/>
      <c r="CI297" s="1744"/>
      <c r="CJ297" s="1744"/>
      <c r="CK297" s="1744"/>
      <c r="CL297" s="1744"/>
      <c r="CM297" s="1744"/>
      <c r="CN297" s="1744"/>
      <c r="CO297" s="1744"/>
      <c r="CP297" s="1744"/>
      <c r="CQ297" s="1744"/>
      <c r="CR297" s="1744"/>
      <c r="CS297" s="1744"/>
      <c r="CT297" s="1744"/>
      <c r="CU297" s="1744"/>
      <c r="CV297" s="1744"/>
      <c r="CW297" s="1744"/>
      <c r="CX297" s="1744"/>
      <c r="CY297" s="1744"/>
      <c r="CZ297" s="1744"/>
      <c r="DA297" s="1744"/>
      <c r="DB297" s="1744"/>
      <c r="DC297" s="1744"/>
      <c r="DD297" s="1744"/>
      <c r="DE297" s="1744"/>
      <c r="DF297" s="1744"/>
      <c r="DG297" s="1744"/>
      <c r="DH297" s="1744"/>
      <c r="DI297" s="1744"/>
      <c r="DJ297" s="1744"/>
      <c r="DK297" s="1744"/>
      <c r="DL297" s="1744"/>
      <c r="DM297" s="1744"/>
      <c r="DN297" s="1744"/>
      <c r="DO297" s="1744"/>
      <c r="DP297" s="1744"/>
      <c r="DQ297" s="1744"/>
      <c r="DR297" s="1744"/>
      <c r="DS297" s="1744"/>
      <c r="DT297" s="1744"/>
      <c r="DU297" s="1744"/>
      <c r="DV297" s="1744"/>
      <c r="DW297" s="1744"/>
      <c r="DX297" s="1744"/>
      <c r="DY297" s="1744"/>
      <c r="DZ297" s="1744"/>
      <c r="EA297" s="1744"/>
      <c r="EB297" s="1744"/>
      <c r="EC297" s="1744"/>
      <c r="ED297" s="1744"/>
      <c r="EE297" s="1744"/>
      <c r="EF297" s="1744"/>
      <c r="EG297" s="1744"/>
      <c r="EH297" s="1744"/>
      <c r="EI297" s="1744"/>
      <c r="EJ297" s="1744"/>
      <c r="EK297" s="1744"/>
      <c r="EL297" s="1744"/>
      <c r="EM297" s="1744"/>
      <c r="EN297" s="1744"/>
      <c r="EO297" s="1744"/>
      <c r="EP297" s="1744"/>
      <c r="EQ297" s="1744"/>
      <c r="ER297" s="1744"/>
      <c r="ES297" s="1744"/>
      <c r="ET297" s="1744"/>
      <c r="EU297" s="1744"/>
      <c r="EV297" s="1744"/>
      <c r="EW297" s="1744"/>
      <c r="EX297" s="1744"/>
      <c r="EY297" s="1744"/>
      <c r="EZ297" s="1744"/>
      <c r="FA297" s="1744"/>
      <c r="FB297" s="1744"/>
      <c r="FC297" s="1744"/>
      <c r="FD297" s="1744"/>
      <c r="FE297" s="1744"/>
      <c r="FF297" s="1744"/>
    </row>
    <row r="299" spans="6:162" s="1746" customFormat="1" ht="15.75" customHeight="1">
      <c r="F299" s="1744"/>
      <c r="G299" s="1744"/>
      <c r="H299" s="1744"/>
      <c r="I299" s="1744"/>
      <c r="J299" s="1744"/>
      <c r="K299" s="1744"/>
      <c r="L299" s="1744"/>
      <c r="M299" s="1744"/>
      <c r="N299" s="1744"/>
      <c r="O299" s="1744"/>
      <c r="P299" s="1744"/>
      <c r="Q299" s="1744"/>
      <c r="R299" s="1744"/>
      <c r="S299" s="1744"/>
      <c r="T299" s="1744"/>
      <c r="U299" s="1744"/>
      <c r="V299" s="1744"/>
      <c r="W299" s="1744"/>
      <c r="X299" s="1744"/>
      <c r="Y299" s="1744"/>
      <c r="AA299" s="1744"/>
      <c r="AC299" s="1744"/>
      <c r="AD299" s="1744"/>
      <c r="AE299" s="1744"/>
      <c r="AF299" s="1744"/>
      <c r="AG299" s="1744"/>
      <c r="AH299" s="1745"/>
      <c r="AI299" s="1745"/>
      <c r="AJ299" s="1744"/>
      <c r="AK299" s="1744"/>
      <c r="AL299" s="1744"/>
      <c r="AM299" s="1744"/>
      <c r="AN299" s="1744"/>
      <c r="AO299" s="1744"/>
      <c r="AP299" s="1744"/>
      <c r="AQ299" s="1744"/>
      <c r="AR299" s="1744"/>
      <c r="AS299" s="1744"/>
      <c r="AT299" s="1744"/>
      <c r="AU299" s="1744"/>
      <c r="AV299" s="1744"/>
      <c r="AW299" s="1744"/>
      <c r="AX299" s="1744"/>
      <c r="AY299" s="1744"/>
      <c r="AZ299" s="1744"/>
      <c r="BA299" s="1744"/>
      <c r="BB299" s="1744"/>
      <c r="BC299" s="1744"/>
      <c r="BD299" s="1744"/>
      <c r="BE299" s="1744"/>
      <c r="BF299" s="1744"/>
      <c r="BG299" s="1744"/>
      <c r="BH299" s="1744"/>
      <c r="BI299" s="1744"/>
      <c r="BJ299" s="1744"/>
      <c r="BK299" s="1744"/>
      <c r="BL299" s="1744"/>
      <c r="BM299" s="1744"/>
      <c r="BN299" s="1744"/>
      <c r="BO299" s="1744"/>
      <c r="BP299" s="1744"/>
      <c r="BQ299" s="1744"/>
      <c r="BR299" s="1744"/>
      <c r="BS299" s="1744"/>
      <c r="BT299" s="1744"/>
      <c r="BU299" s="1744"/>
      <c r="BV299" s="1744"/>
      <c r="BW299" s="1744"/>
      <c r="BX299" s="1744"/>
      <c r="BY299" s="1744"/>
      <c r="BZ299" s="1744"/>
      <c r="CA299" s="1744"/>
      <c r="CB299" s="1744"/>
      <c r="CC299" s="1744"/>
      <c r="CD299" s="1744"/>
      <c r="CE299" s="1744"/>
      <c r="CF299" s="1744"/>
      <c r="CG299" s="1744"/>
      <c r="CH299" s="1744"/>
      <c r="CI299" s="1744"/>
      <c r="CJ299" s="1744"/>
      <c r="CK299" s="1744"/>
      <c r="CL299" s="1744"/>
      <c r="CM299" s="1744"/>
      <c r="CN299" s="1744"/>
      <c r="CO299" s="1744"/>
      <c r="CP299" s="1744"/>
      <c r="CQ299" s="1744"/>
      <c r="CR299" s="1744"/>
      <c r="CS299" s="1744"/>
      <c r="CT299" s="1744"/>
      <c r="CU299" s="1744"/>
      <c r="CV299" s="1744"/>
      <c r="CW299" s="1744"/>
      <c r="CX299" s="1744"/>
      <c r="CY299" s="1744"/>
      <c r="CZ299" s="1744"/>
      <c r="DA299" s="1744"/>
      <c r="DB299" s="1744"/>
      <c r="DC299" s="1744"/>
      <c r="DD299" s="1744"/>
      <c r="DE299" s="1744"/>
      <c r="DF299" s="1744"/>
      <c r="DG299" s="1744"/>
      <c r="DH299" s="1744"/>
      <c r="DI299" s="1744"/>
      <c r="DJ299" s="1744"/>
      <c r="DK299" s="1744"/>
      <c r="DL299" s="1744"/>
      <c r="DM299" s="1744"/>
      <c r="DN299" s="1744"/>
      <c r="DO299" s="1744"/>
      <c r="DP299" s="1744"/>
      <c r="DQ299" s="1744"/>
      <c r="DR299" s="1744"/>
      <c r="DS299" s="1744"/>
      <c r="DT299" s="1744"/>
      <c r="DU299" s="1744"/>
      <c r="DV299" s="1744"/>
      <c r="DW299" s="1744"/>
      <c r="DX299" s="1744"/>
      <c r="DY299" s="1744"/>
      <c r="DZ299" s="1744"/>
      <c r="EA299" s="1744"/>
      <c r="EB299" s="1744"/>
      <c r="EC299" s="1744"/>
      <c r="ED299" s="1744"/>
      <c r="EE299" s="1744"/>
      <c r="EF299" s="1744"/>
      <c r="EG299" s="1744"/>
      <c r="EH299" s="1744"/>
      <c r="EI299" s="1744"/>
      <c r="EJ299" s="1744"/>
      <c r="EK299" s="1744"/>
      <c r="EL299" s="1744"/>
      <c r="EM299" s="1744"/>
      <c r="EN299" s="1744"/>
      <c r="EO299" s="1744"/>
      <c r="EP299" s="1744"/>
      <c r="EQ299" s="1744"/>
      <c r="ER299" s="1744"/>
      <c r="ES299" s="1744"/>
      <c r="ET299" s="1744"/>
      <c r="EU299" s="1744"/>
      <c r="EV299" s="1744"/>
      <c r="EW299" s="1744"/>
      <c r="EX299" s="1744"/>
      <c r="EY299" s="1744"/>
      <c r="EZ299" s="1744"/>
      <c r="FA299" s="1744"/>
      <c r="FB299" s="1744"/>
      <c r="FC299" s="1744"/>
      <c r="FD299" s="1744"/>
      <c r="FE299" s="1744"/>
      <c r="FF299" s="1744"/>
    </row>
    <row r="301" spans="6:162" s="1746" customFormat="1" ht="15.75" customHeight="1">
      <c r="F301" s="1744"/>
      <c r="G301" s="1744"/>
      <c r="H301" s="1744"/>
      <c r="I301" s="1744"/>
      <c r="J301" s="1744"/>
      <c r="K301" s="1744"/>
      <c r="L301" s="1744"/>
      <c r="M301" s="1744"/>
      <c r="N301" s="1744"/>
      <c r="O301" s="1744"/>
      <c r="P301" s="1744"/>
      <c r="Q301" s="1744"/>
      <c r="R301" s="1744"/>
      <c r="S301" s="1744"/>
      <c r="T301" s="1744"/>
      <c r="U301" s="1744"/>
      <c r="V301" s="1744"/>
      <c r="W301" s="1744"/>
      <c r="X301" s="1744"/>
      <c r="Y301" s="1744"/>
      <c r="AA301" s="1744"/>
      <c r="AC301" s="1744"/>
      <c r="AD301" s="1744"/>
      <c r="AE301" s="1744"/>
      <c r="AF301" s="1744"/>
      <c r="AG301" s="1744"/>
      <c r="AH301" s="1745"/>
      <c r="AI301" s="1745"/>
      <c r="AJ301" s="1744"/>
      <c r="AK301" s="1744"/>
      <c r="AL301" s="1744"/>
      <c r="AM301" s="1744"/>
      <c r="AN301" s="1744"/>
      <c r="AO301" s="1744"/>
      <c r="AP301" s="1744"/>
      <c r="AQ301" s="1744"/>
      <c r="AR301" s="1744"/>
      <c r="AS301" s="1744"/>
      <c r="AT301" s="1744"/>
      <c r="AU301" s="1744"/>
      <c r="AV301" s="1744"/>
      <c r="AW301" s="1744"/>
      <c r="AX301" s="1744"/>
      <c r="AY301" s="1744"/>
      <c r="AZ301" s="1744"/>
      <c r="BA301" s="1744"/>
      <c r="BB301" s="1744"/>
      <c r="BC301" s="1744"/>
      <c r="BD301" s="1744"/>
      <c r="BE301" s="1744"/>
      <c r="BF301" s="1744"/>
      <c r="BG301" s="1744"/>
      <c r="BH301" s="1744"/>
      <c r="BI301" s="1744"/>
      <c r="BJ301" s="1744"/>
      <c r="BK301" s="1744"/>
      <c r="BL301" s="1744"/>
      <c r="BM301" s="1744"/>
      <c r="BN301" s="1744"/>
      <c r="BO301" s="1744"/>
      <c r="BP301" s="1744"/>
      <c r="BQ301" s="1744"/>
      <c r="BR301" s="1744"/>
      <c r="BS301" s="1744"/>
      <c r="BT301" s="1744"/>
      <c r="BU301" s="1744"/>
      <c r="BV301" s="1744"/>
      <c r="BW301" s="1744"/>
      <c r="BX301" s="1744"/>
      <c r="BY301" s="1744"/>
      <c r="BZ301" s="1744"/>
      <c r="CA301" s="1744"/>
      <c r="CB301" s="1744"/>
      <c r="CC301" s="1744"/>
      <c r="CD301" s="1744"/>
      <c r="CE301" s="1744"/>
      <c r="CF301" s="1744"/>
      <c r="CG301" s="1744"/>
      <c r="CH301" s="1744"/>
      <c r="CI301" s="1744"/>
      <c r="CJ301" s="1744"/>
      <c r="CK301" s="1744"/>
      <c r="CL301" s="1744"/>
      <c r="CM301" s="1744"/>
      <c r="CN301" s="1744"/>
      <c r="CO301" s="1744"/>
      <c r="CP301" s="1744"/>
      <c r="CQ301" s="1744"/>
      <c r="CR301" s="1744"/>
      <c r="CS301" s="1744"/>
      <c r="CT301" s="1744"/>
      <c r="CU301" s="1744"/>
      <c r="CV301" s="1744"/>
      <c r="CW301" s="1744"/>
      <c r="CX301" s="1744"/>
      <c r="CY301" s="1744"/>
      <c r="CZ301" s="1744"/>
      <c r="DA301" s="1744"/>
      <c r="DB301" s="1744"/>
      <c r="DC301" s="1744"/>
      <c r="DD301" s="1744"/>
      <c r="DE301" s="1744"/>
      <c r="DF301" s="1744"/>
      <c r="DG301" s="1744"/>
      <c r="DH301" s="1744"/>
      <c r="DI301" s="1744"/>
      <c r="DJ301" s="1744"/>
      <c r="DK301" s="1744"/>
      <c r="DL301" s="1744"/>
      <c r="DM301" s="1744"/>
      <c r="DN301" s="1744"/>
      <c r="DO301" s="1744"/>
      <c r="DP301" s="1744"/>
      <c r="DQ301" s="1744"/>
      <c r="DR301" s="1744"/>
      <c r="DS301" s="1744"/>
      <c r="DT301" s="1744"/>
      <c r="DU301" s="1744"/>
      <c r="DV301" s="1744"/>
      <c r="DW301" s="1744"/>
      <c r="DX301" s="1744"/>
      <c r="DY301" s="1744"/>
      <c r="DZ301" s="1744"/>
      <c r="EA301" s="1744"/>
      <c r="EB301" s="1744"/>
      <c r="EC301" s="1744"/>
      <c r="ED301" s="1744"/>
      <c r="EE301" s="1744"/>
      <c r="EF301" s="1744"/>
      <c r="EG301" s="1744"/>
      <c r="EH301" s="1744"/>
      <c r="EI301" s="1744"/>
      <c r="EJ301" s="1744"/>
      <c r="EK301" s="1744"/>
      <c r="EL301" s="1744"/>
      <c r="EM301" s="1744"/>
      <c r="EN301" s="1744"/>
      <c r="EO301" s="1744"/>
      <c r="EP301" s="1744"/>
      <c r="EQ301" s="1744"/>
      <c r="ER301" s="1744"/>
      <c r="ES301" s="1744"/>
      <c r="ET301" s="1744"/>
      <c r="EU301" s="1744"/>
      <c r="EV301" s="1744"/>
      <c r="EW301" s="1744"/>
      <c r="EX301" s="1744"/>
      <c r="EY301" s="1744"/>
      <c r="EZ301" s="1744"/>
      <c r="FA301" s="1744"/>
      <c r="FB301" s="1744"/>
      <c r="FC301" s="1744"/>
      <c r="FD301" s="1744"/>
      <c r="FE301" s="1744"/>
      <c r="FF301" s="1744"/>
    </row>
    <row r="303" spans="6:162" s="1746" customFormat="1" ht="15.75" customHeight="1">
      <c r="F303" s="1744"/>
      <c r="G303" s="1744"/>
      <c r="H303" s="1744"/>
      <c r="I303" s="1744"/>
      <c r="J303" s="1744"/>
      <c r="K303" s="1744"/>
      <c r="L303" s="1744"/>
      <c r="M303" s="1744"/>
      <c r="N303" s="1744"/>
      <c r="O303" s="1744"/>
      <c r="P303" s="1744"/>
      <c r="Q303" s="1744"/>
      <c r="R303" s="1744"/>
      <c r="S303" s="1744"/>
      <c r="T303" s="1744"/>
      <c r="U303" s="1744"/>
      <c r="V303" s="1744"/>
      <c r="W303" s="1744"/>
      <c r="X303" s="1744"/>
      <c r="Y303" s="1744"/>
      <c r="AA303" s="1744"/>
      <c r="AC303" s="1744"/>
      <c r="AD303" s="1744"/>
      <c r="AE303" s="1744"/>
      <c r="AF303" s="1744"/>
      <c r="AG303" s="1744"/>
      <c r="AH303" s="1745"/>
      <c r="AI303" s="1745"/>
      <c r="AJ303" s="1744"/>
      <c r="AK303" s="1744"/>
      <c r="AL303" s="1744"/>
      <c r="AM303" s="1744"/>
      <c r="AN303" s="1744"/>
      <c r="AO303" s="1744"/>
      <c r="AP303" s="1744"/>
      <c r="AQ303" s="1744"/>
      <c r="AR303" s="1744"/>
      <c r="AS303" s="1744"/>
      <c r="AT303" s="1744"/>
      <c r="AU303" s="1744"/>
      <c r="AV303" s="1744"/>
      <c r="AW303" s="1744"/>
      <c r="AX303" s="1744"/>
      <c r="AY303" s="1744"/>
      <c r="AZ303" s="1744"/>
      <c r="BA303" s="1744"/>
      <c r="BB303" s="1744"/>
      <c r="BC303" s="1744"/>
      <c r="BD303" s="1744"/>
      <c r="BE303" s="1744"/>
      <c r="BF303" s="1744"/>
      <c r="BG303" s="1744"/>
      <c r="BH303" s="1744"/>
      <c r="BI303" s="1744"/>
      <c r="BJ303" s="1744"/>
      <c r="BK303" s="1744"/>
      <c r="BL303" s="1744"/>
      <c r="BM303" s="1744"/>
      <c r="BN303" s="1744"/>
      <c r="BO303" s="1744"/>
      <c r="BP303" s="1744"/>
      <c r="BQ303" s="1744"/>
      <c r="BR303" s="1744"/>
      <c r="BS303" s="1744"/>
      <c r="BT303" s="1744"/>
      <c r="BU303" s="1744"/>
      <c r="BV303" s="1744"/>
      <c r="BW303" s="1744"/>
      <c r="BX303" s="1744"/>
      <c r="BY303" s="1744"/>
      <c r="BZ303" s="1744"/>
      <c r="CA303" s="1744"/>
      <c r="CB303" s="1744"/>
      <c r="CC303" s="1744"/>
      <c r="CD303" s="1744"/>
      <c r="CE303" s="1744"/>
      <c r="CF303" s="1744"/>
      <c r="CG303" s="1744"/>
      <c r="CH303" s="1744"/>
      <c r="CI303" s="1744"/>
      <c r="CJ303" s="1744"/>
      <c r="CK303" s="1744"/>
      <c r="CL303" s="1744"/>
      <c r="CM303" s="1744"/>
      <c r="CN303" s="1744"/>
      <c r="CO303" s="1744"/>
      <c r="CP303" s="1744"/>
      <c r="CQ303" s="1744"/>
      <c r="CR303" s="1744"/>
      <c r="CS303" s="1744"/>
      <c r="CT303" s="1744"/>
      <c r="CU303" s="1744"/>
      <c r="CV303" s="1744"/>
      <c r="CW303" s="1744"/>
      <c r="CX303" s="1744"/>
      <c r="CY303" s="1744"/>
      <c r="CZ303" s="1744"/>
      <c r="DA303" s="1744"/>
      <c r="DB303" s="1744"/>
      <c r="DC303" s="1744"/>
      <c r="DD303" s="1744"/>
      <c r="DE303" s="1744"/>
      <c r="DF303" s="1744"/>
      <c r="DG303" s="1744"/>
      <c r="DH303" s="1744"/>
      <c r="DI303" s="1744"/>
      <c r="DJ303" s="1744"/>
      <c r="DK303" s="1744"/>
      <c r="DL303" s="1744"/>
      <c r="DM303" s="1744"/>
      <c r="DN303" s="1744"/>
      <c r="DO303" s="1744"/>
      <c r="DP303" s="1744"/>
      <c r="DQ303" s="1744"/>
      <c r="DR303" s="1744"/>
      <c r="DS303" s="1744"/>
      <c r="DT303" s="1744"/>
      <c r="DU303" s="1744"/>
      <c r="DV303" s="1744"/>
      <c r="DW303" s="1744"/>
      <c r="DX303" s="1744"/>
      <c r="DY303" s="1744"/>
      <c r="DZ303" s="1744"/>
      <c r="EA303" s="1744"/>
      <c r="EB303" s="1744"/>
      <c r="EC303" s="1744"/>
      <c r="ED303" s="1744"/>
      <c r="EE303" s="1744"/>
      <c r="EF303" s="1744"/>
      <c r="EG303" s="1744"/>
      <c r="EH303" s="1744"/>
      <c r="EI303" s="1744"/>
      <c r="EJ303" s="1744"/>
      <c r="EK303" s="1744"/>
      <c r="EL303" s="1744"/>
      <c r="EM303" s="1744"/>
      <c r="EN303" s="1744"/>
      <c r="EO303" s="1744"/>
      <c r="EP303" s="1744"/>
      <c r="EQ303" s="1744"/>
      <c r="ER303" s="1744"/>
      <c r="ES303" s="1744"/>
      <c r="ET303" s="1744"/>
      <c r="EU303" s="1744"/>
      <c r="EV303" s="1744"/>
      <c r="EW303" s="1744"/>
      <c r="EX303" s="1744"/>
      <c r="EY303" s="1744"/>
      <c r="EZ303" s="1744"/>
      <c r="FA303" s="1744"/>
      <c r="FB303" s="1744"/>
      <c r="FC303" s="1744"/>
      <c r="FD303" s="1744"/>
      <c r="FE303" s="1744"/>
      <c r="FF303" s="1744"/>
    </row>
    <row r="305" spans="6:162" s="1746" customFormat="1" ht="15.75" customHeight="1">
      <c r="F305" s="1744"/>
      <c r="G305" s="1744"/>
      <c r="H305" s="1744"/>
      <c r="I305" s="1744"/>
      <c r="J305" s="1744"/>
      <c r="K305" s="1744"/>
      <c r="L305" s="1744"/>
      <c r="M305" s="1744"/>
      <c r="N305" s="1744"/>
      <c r="O305" s="1744"/>
      <c r="P305" s="1744"/>
      <c r="Q305" s="1744"/>
      <c r="R305" s="1744"/>
      <c r="S305" s="1744"/>
      <c r="T305" s="1744"/>
      <c r="U305" s="1744"/>
      <c r="V305" s="1744"/>
      <c r="W305" s="1744"/>
      <c r="X305" s="1744"/>
      <c r="Y305" s="1744"/>
      <c r="AA305" s="1744"/>
      <c r="AC305" s="1744"/>
      <c r="AD305" s="1744"/>
      <c r="AE305" s="1744"/>
      <c r="AF305" s="1744"/>
      <c r="AG305" s="1744"/>
      <c r="AH305" s="1745"/>
      <c r="AI305" s="1745"/>
      <c r="AJ305" s="1744"/>
      <c r="AK305" s="1744"/>
      <c r="AL305" s="1744"/>
      <c r="AM305" s="1744"/>
      <c r="AN305" s="1744"/>
      <c r="AO305" s="1744"/>
      <c r="AP305" s="1744"/>
      <c r="AQ305" s="1744"/>
      <c r="AR305" s="1744"/>
      <c r="AS305" s="1744"/>
      <c r="AT305" s="1744"/>
      <c r="AU305" s="1744"/>
      <c r="AV305" s="1744"/>
      <c r="AW305" s="1744"/>
      <c r="AX305" s="1744"/>
      <c r="AY305" s="1744"/>
      <c r="AZ305" s="1744"/>
      <c r="BA305" s="1744"/>
      <c r="BB305" s="1744"/>
      <c r="BC305" s="1744"/>
      <c r="BD305" s="1744"/>
      <c r="BE305" s="1744"/>
      <c r="BF305" s="1744"/>
      <c r="BG305" s="1744"/>
      <c r="BH305" s="1744"/>
      <c r="BI305" s="1744"/>
      <c r="BJ305" s="1744"/>
      <c r="BK305" s="1744"/>
      <c r="BL305" s="1744"/>
      <c r="BM305" s="1744"/>
      <c r="BN305" s="1744"/>
      <c r="BO305" s="1744"/>
      <c r="BP305" s="1744"/>
      <c r="BQ305" s="1744"/>
      <c r="BR305" s="1744"/>
      <c r="BS305" s="1744"/>
      <c r="BT305" s="1744"/>
      <c r="BU305" s="1744"/>
      <c r="BV305" s="1744"/>
      <c r="BW305" s="1744"/>
      <c r="BX305" s="1744"/>
      <c r="BY305" s="1744"/>
      <c r="BZ305" s="1744"/>
      <c r="CA305" s="1744"/>
      <c r="CB305" s="1744"/>
      <c r="CC305" s="1744"/>
      <c r="CD305" s="1744"/>
      <c r="CE305" s="1744"/>
      <c r="CF305" s="1744"/>
      <c r="CG305" s="1744"/>
      <c r="CH305" s="1744"/>
      <c r="CI305" s="1744"/>
      <c r="CJ305" s="1744"/>
      <c r="CK305" s="1744"/>
      <c r="CL305" s="1744"/>
      <c r="CM305" s="1744"/>
      <c r="CN305" s="1744"/>
      <c r="CO305" s="1744"/>
      <c r="CP305" s="1744"/>
      <c r="CQ305" s="1744"/>
      <c r="CR305" s="1744"/>
      <c r="CS305" s="1744"/>
      <c r="CT305" s="1744"/>
      <c r="CU305" s="1744"/>
      <c r="CV305" s="1744"/>
      <c r="CW305" s="1744"/>
      <c r="CX305" s="1744"/>
      <c r="CY305" s="1744"/>
      <c r="CZ305" s="1744"/>
      <c r="DA305" s="1744"/>
      <c r="DB305" s="1744"/>
      <c r="DC305" s="1744"/>
      <c r="DD305" s="1744"/>
      <c r="DE305" s="1744"/>
      <c r="DF305" s="1744"/>
      <c r="DG305" s="1744"/>
      <c r="DH305" s="1744"/>
      <c r="DI305" s="1744"/>
      <c r="DJ305" s="1744"/>
      <c r="DK305" s="1744"/>
      <c r="DL305" s="1744"/>
      <c r="DM305" s="1744"/>
      <c r="DN305" s="1744"/>
      <c r="DO305" s="1744"/>
      <c r="DP305" s="1744"/>
      <c r="DQ305" s="1744"/>
      <c r="DR305" s="1744"/>
      <c r="DS305" s="1744"/>
      <c r="DT305" s="1744"/>
      <c r="DU305" s="1744"/>
      <c r="DV305" s="1744"/>
      <c r="DW305" s="1744"/>
      <c r="DX305" s="1744"/>
      <c r="DY305" s="1744"/>
      <c r="DZ305" s="1744"/>
      <c r="EA305" s="1744"/>
      <c r="EB305" s="1744"/>
      <c r="EC305" s="1744"/>
      <c r="ED305" s="1744"/>
      <c r="EE305" s="1744"/>
      <c r="EF305" s="1744"/>
      <c r="EG305" s="1744"/>
      <c r="EH305" s="1744"/>
      <c r="EI305" s="1744"/>
      <c r="EJ305" s="1744"/>
      <c r="EK305" s="1744"/>
      <c r="EL305" s="1744"/>
      <c r="EM305" s="1744"/>
      <c r="EN305" s="1744"/>
      <c r="EO305" s="1744"/>
      <c r="EP305" s="1744"/>
      <c r="EQ305" s="1744"/>
      <c r="ER305" s="1744"/>
      <c r="ES305" s="1744"/>
      <c r="ET305" s="1744"/>
      <c r="EU305" s="1744"/>
      <c r="EV305" s="1744"/>
      <c r="EW305" s="1744"/>
      <c r="EX305" s="1744"/>
      <c r="EY305" s="1744"/>
      <c r="EZ305" s="1744"/>
      <c r="FA305" s="1744"/>
      <c r="FB305" s="1744"/>
      <c r="FC305" s="1744"/>
      <c r="FD305" s="1744"/>
      <c r="FE305" s="1744"/>
      <c r="FF305" s="1744"/>
    </row>
    <row r="307" spans="6:162" s="1746" customFormat="1" ht="15.75" customHeight="1">
      <c r="F307" s="1744"/>
      <c r="G307" s="1744"/>
      <c r="H307" s="1744"/>
      <c r="I307" s="1744"/>
      <c r="J307" s="1744"/>
      <c r="K307" s="1744"/>
      <c r="L307" s="1744"/>
      <c r="M307" s="1744"/>
      <c r="N307" s="1744"/>
      <c r="O307" s="1744"/>
      <c r="P307" s="1744"/>
      <c r="Q307" s="1744"/>
      <c r="R307" s="1744"/>
      <c r="S307" s="1744"/>
      <c r="T307" s="1744"/>
      <c r="U307" s="1744"/>
      <c r="V307" s="1744"/>
      <c r="W307" s="1744"/>
      <c r="X307" s="1744"/>
      <c r="Y307" s="1744"/>
      <c r="AA307" s="1744"/>
      <c r="AC307" s="1744"/>
      <c r="AD307" s="1744"/>
      <c r="AE307" s="1744"/>
      <c r="AF307" s="1744"/>
      <c r="AG307" s="1744"/>
      <c r="AH307" s="1745"/>
      <c r="AI307" s="1745"/>
      <c r="AJ307" s="1744"/>
      <c r="AK307" s="1744"/>
      <c r="AL307" s="1744"/>
      <c r="AM307" s="1744"/>
      <c r="AN307" s="1744"/>
      <c r="AO307" s="1744"/>
      <c r="AP307" s="1744"/>
      <c r="AQ307" s="1744"/>
      <c r="AR307" s="1744"/>
      <c r="AS307" s="1744"/>
      <c r="AT307" s="1744"/>
      <c r="AU307" s="1744"/>
      <c r="AV307" s="1744"/>
      <c r="AW307" s="1744"/>
      <c r="AX307" s="1744"/>
      <c r="AY307" s="1744"/>
      <c r="AZ307" s="1744"/>
      <c r="BA307" s="1744"/>
      <c r="BB307" s="1744"/>
      <c r="BC307" s="1744"/>
      <c r="BD307" s="1744"/>
      <c r="BE307" s="1744"/>
      <c r="BF307" s="1744"/>
      <c r="BG307" s="1744"/>
      <c r="BH307" s="1744"/>
      <c r="BI307" s="1744"/>
      <c r="BJ307" s="1744"/>
      <c r="BK307" s="1744"/>
      <c r="BL307" s="1744"/>
      <c r="BM307" s="1744"/>
      <c r="BN307" s="1744"/>
      <c r="BO307" s="1744"/>
      <c r="BP307" s="1744"/>
      <c r="BQ307" s="1744"/>
      <c r="BR307" s="1744"/>
      <c r="BS307" s="1744"/>
      <c r="BT307" s="1744"/>
      <c r="BU307" s="1744"/>
      <c r="BV307" s="1744"/>
      <c r="BW307" s="1744"/>
      <c r="BX307" s="1744"/>
      <c r="BY307" s="1744"/>
      <c r="BZ307" s="1744"/>
      <c r="CA307" s="1744"/>
      <c r="CB307" s="1744"/>
      <c r="CC307" s="1744"/>
      <c r="CD307" s="1744"/>
      <c r="CE307" s="1744"/>
      <c r="CF307" s="1744"/>
      <c r="CG307" s="1744"/>
      <c r="CH307" s="1744"/>
      <c r="CI307" s="1744"/>
      <c r="CJ307" s="1744"/>
      <c r="CK307" s="1744"/>
      <c r="CL307" s="1744"/>
      <c r="CM307" s="1744"/>
      <c r="CN307" s="1744"/>
      <c r="CO307" s="1744"/>
      <c r="CP307" s="1744"/>
      <c r="CQ307" s="1744"/>
      <c r="CR307" s="1744"/>
      <c r="CS307" s="1744"/>
      <c r="CT307" s="1744"/>
      <c r="CU307" s="1744"/>
      <c r="CV307" s="1744"/>
      <c r="CW307" s="1744"/>
      <c r="CX307" s="1744"/>
      <c r="CY307" s="1744"/>
      <c r="CZ307" s="1744"/>
      <c r="DA307" s="1744"/>
      <c r="DB307" s="1744"/>
      <c r="DC307" s="1744"/>
      <c r="DD307" s="1744"/>
      <c r="DE307" s="1744"/>
      <c r="DF307" s="1744"/>
      <c r="DG307" s="1744"/>
      <c r="DH307" s="1744"/>
      <c r="DI307" s="1744"/>
      <c r="DJ307" s="1744"/>
      <c r="DK307" s="1744"/>
      <c r="DL307" s="1744"/>
      <c r="DM307" s="1744"/>
      <c r="DN307" s="1744"/>
      <c r="DO307" s="1744"/>
      <c r="DP307" s="1744"/>
      <c r="DQ307" s="1744"/>
      <c r="DR307" s="1744"/>
      <c r="DS307" s="1744"/>
      <c r="DT307" s="1744"/>
      <c r="DU307" s="1744"/>
      <c r="DV307" s="1744"/>
      <c r="DW307" s="1744"/>
      <c r="DX307" s="1744"/>
      <c r="DY307" s="1744"/>
      <c r="DZ307" s="1744"/>
      <c r="EA307" s="1744"/>
      <c r="EB307" s="1744"/>
      <c r="EC307" s="1744"/>
      <c r="ED307" s="1744"/>
      <c r="EE307" s="1744"/>
      <c r="EF307" s="1744"/>
      <c r="EG307" s="1744"/>
      <c r="EH307" s="1744"/>
      <c r="EI307" s="1744"/>
      <c r="EJ307" s="1744"/>
      <c r="EK307" s="1744"/>
      <c r="EL307" s="1744"/>
      <c r="EM307" s="1744"/>
      <c r="EN307" s="1744"/>
      <c r="EO307" s="1744"/>
      <c r="EP307" s="1744"/>
      <c r="EQ307" s="1744"/>
      <c r="ER307" s="1744"/>
      <c r="ES307" s="1744"/>
      <c r="ET307" s="1744"/>
      <c r="EU307" s="1744"/>
      <c r="EV307" s="1744"/>
      <c r="EW307" s="1744"/>
      <c r="EX307" s="1744"/>
      <c r="EY307" s="1744"/>
      <c r="EZ307" s="1744"/>
      <c r="FA307" s="1744"/>
      <c r="FB307" s="1744"/>
      <c r="FC307" s="1744"/>
      <c r="FD307" s="1744"/>
      <c r="FE307" s="1744"/>
      <c r="FF307" s="1744"/>
    </row>
    <row r="309" spans="6:162" s="1746" customFormat="1" ht="15.75" customHeight="1">
      <c r="F309" s="1744"/>
      <c r="G309" s="1744"/>
      <c r="H309" s="1744"/>
      <c r="I309" s="1744"/>
      <c r="J309" s="1744"/>
      <c r="K309" s="1744"/>
      <c r="L309" s="1744"/>
      <c r="M309" s="1744"/>
      <c r="N309" s="1744"/>
      <c r="O309" s="1744"/>
      <c r="P309" s="1744"/>
      <c r="Q309" s="1744"/>
      <c r="R309" s="1744"/>
      <c r="S309" s="1744"/>
      <c r="T309" s="1744"/>
      <c r="U309" s="1744"/>
      <c r="V309" s="1744"/>
      <c r="W309" s="1744"/>
      <c r="X309" s="1744"/>
      <c r="Y309" s="1744"/>
      <c r="AA309" s="1744"/>
      <c r="AC309" s="1744"/>
      <c r="AD309" s="1744"/>
      <c r="AE309" s="1744"/>
      <c r="AF309" s="1744"/>
      <c r="AG309" s="1744"/>
      <c r="AH309" s="1745"/>
      <c r="AI309" s="1745"/>
      <c r="AJ309" s="1744"/>
      <c r="AK309" s="1744"/>
      <c r="AL309" s="1744"/>
      <c r="AM309" s="1744"/>
      <c r="AN309" s="1744"/>
      <c r="AO309" s="1744"/>
      <c r="AP309" s="1744"/>
      <c r="AQ309" s="1744"/>
      <c r="AR309" s="1744"/>
      <c r="AS309" s="1744"/>
      <c r="AT309" s="1744"/>
      <c r="AU309" s="1744"/>
      <c r="AV309" s="1744"/>
      <c r="AW309" s="1744"/>
      <c r="AX309" s="1744"/>
      <c r="AY309" s="1744"/>
      <c r="AZ309" s="1744"/>
      <c r="BA309" s="1744"/>
      <c r="BB309" s="1744"/>
      <c r="BC309" s="1744"/>
      <c r="BD309" s="1744"/>
      <c r="BE309" s="1744"/>
      <c r="BF309" s="1744"/>
      <c r="BG309" s="1744"/>
      <c r="BH309" s="1744"/>
      <c r="BI309" s="1744"/>
      <c r="BJ309" s="1744"/>
      <c r="BK309" s="1744"/>
      <c r="BL309" s="1744"/>
      <c r="BM309" s="1744"/>
      <c r="BN309" s="1744"/>
      <c r="BO309" s="1744"/>
      <c r="BP309" s="1744"/>
      <c r="BQ309" s="1744"/>
      <c r="BR309" s="1744"/>
      <c r="BS309" s="1744"/>
      <c r="BT309" s="1744"/>
      <c r="BU309" s="1744"/>
      <c r="BV309" s="1744"/>
      <c r="BW309" s="1744"/>
      <c r="BX309" s="1744"/>
      <c r="BY309" s="1744"/>
      <c r="BZ309" s="1744"/>
      <c r="CA309" s="1744"/>
      <c r="CB309" s="1744"/>
      <c r="CC309" s="1744"/>
      <c r="CD309" s="1744"/>
      <c r="CE309" s="1744"/>
      <c r="CF309" s="1744"/>
      <c r="CG309" s="1744"/>
      <c r="CH309" s="1744"/>
      <c r="CI309" s="1744"/>
      <c r="CJ309" s="1744"/>
      <c r="CK309" s="1744"/>
      <c r="CL309" s="1744"/>
      <c r="CM309" s="1744"/>
      <c r="CN309" s="1744"/>
      <c r="CO309" s="1744"/>
      <c r="CP309" s="1744"/>
      <c r="CQ309" s="1744"/>
      <c r="CR309" s="1744"/>
      <c r="CS309" s="1744"/>
      <c r="CT309" s="1744"/>
      <c r="CU309" s="1744"/>
      <c r="CV309" s="1744"/>
      <c r="CW309" s="1744"/>
      <c r="CX309" s="1744"/>
      <c r="CY309" s="1744"/>
      <c r="CZ309" s="1744"/>
      <c r="DA309" s="1744"/>
      <c r="DB309" s="1744"/>
      <c r="DC309" s="1744"/>
      <c r="DD309" s="1744"/>
      <c r="DE309" s="1744"/>
      <c r="DF309" s="1744"/>
      <c r="DG309" s="1744"/>
      <c r="DH309" s="1744"/>
      <c r="DI309" s="1744"/>
      <c r="DJ309" s="1744"/>
      <c r="DK309" s="1744"/>
      <c r="DL309" s="1744"/>
      <c r="DM309" s="1744"/>
      <c r="DN309" s="1744"/>
      <c r="DO309" s="1744"/>
      <c r="DP309" s="1744"/>
      <c r="DQ309" s="1744"/>
      <c r="DR309" s="1744"/>
      <c r="DS309" s="1744"/>
      <c r="DT309" s="1744"/>
      <c r="DU309" s="1744"/>
      <c r="DV309" s="1744"/>
      <c r="DW309" s="1744"/>
      <c r="DX309" s="1744"/>
      <c r="DY309" s="1744"/>
      <c r="DZ309" s="1744"/>
      <c r="EA309" s="1744"/>
      <c r="EB309" s="1744"/>
      <c r="EC309" s="1744"/>
      <c r="ED309" s="1744"/>
      <c r="EE309" s="1744"/>
      <c r="EF309" s="1744"/>
      <c r="EG309" s="1744"/>
      <c r="EH309" s="1744"/>
      <c r="EI309" s="1744"/>
      <c r="EJ309" s="1744"/>
      <c r="EK309" s="1744"/>
      <c r="EL309" s="1744"/>
      <c r="EM309" s="1744"/>
      <c r="EN309" s="1744"/>
      <c r="EO309" s="1744"/>
      <c r="EP309" s="1744"/>
      <c r="EQ309" s="1744"/>
      <c r="ER309" s="1744"/>
      <c r="ES309" s="1744"/>
      <c r="ET309" s="1744"/>
      <c r="EU309" s="1744"/>
      <c r="EV309" s="1744"/>
      <c r="EW309" s="1744"/>
      <c r="EX309" s="1744"/>
      <c r="EY309" s="1744"/>
      <c r="EZ309" s="1744"/>
      <c r="FA309" s="1744"/>
      <c r="FB309" s="1744"/>
      <c r="FC309" s="1744"/>
      <c r="FD309" s="1744"/>
      <c r="FE309" s="1744"/>
      <c r="FF309" s="1744"/>
    </row>
    <row r="311" spans="6:162" s="1746" customFormat="1" ht="15.75" customHeight="1">
      <c r="F311" s="1744"/>
      <c r="G311" s="1744"/>
      <c r="H311" s="1744"/>
      <c r="I311" s="1744"/>
      <c r="J311" s="1744"/>
      <c r="K311" s="1744"/>
      <c r="L311" s="1744"/>
      <c r="M311" s="1744"/>
      <c r="N311" s="1744"/>
      <c r="O311" s="1744"/>
      <c r="P311" s="1744"/>
      <c r="Q311" s="1744"/>
      <c r="R311" s="1744"/>
      <c r="S311" s="1744"/>
      <c r="T311" s="1744"/>
      <c r="U311" s="1744"/>
      <c r="V311" s="1744"/>
      <c r="W311" s="1744"/>
      <c r="X311" s="1744"/>
      <c r="Y311" s="1744"/>
      <c r="AA311" s="1744"/>
      <c r="AC311" s="1744"/>
      <c r="AD311" s="1744"/>
      <c r="AE311" s="1744"/>
      <c r="AF311" s="1744"/>
      <c r="AG311" s="1744"/>
      <c r="AH311" s="1745"/>
      <c r="AI311" s="1745"/>
      <c r="AJ311" s="1744"/>
      <c r="AK311" s="1744"/>
      <c r="AL311" s="1744"/>
      <c r="AM311" s="1744"/>
      <c r="AN311" s="1744"/>
      <c r="AO311" s="1744"/>
      <c r="AP311" s="1744"/>
      <c r="AQ311" s="1744"/>
      <c r="AR311" s="1744"/>
      <c r="AS311" s="1744"/>
      <c r="AT311" s="1744"/>
      <c r="AU311" s="1744"/>
      <c r="AV311" s="1744"/>
      <c r="AW311" s="1744"/>
      <c r="AX311" s="1744"/>
      <c r="AY311" s="1744"/>
      <c r="AZ311" s="1744"/>
      <c r="BA311" s="1744"/>
      <c r="BB311" s="1744"/>
      <c r="BC311" s="1744"/>
      <c r="BD311" s="1744"/>
      <c r="BE311" s="1744"/>
      <c r="BF311" s="1744"/>
      <c r="BG311" s="1744"/>
      <c r="BH311" s="1744"/>
      <c r="BI311" s="1744"/>
      <c r="BJ311" s="1744"/>
      <c r="BK311" s="1744"/>
      <c r="BL311" s="1744"/>
      <c r="BM311" s="1744"/>
      <c r="BN311" s="1744"/>
      <c r="BO311" s="1744"/>
      <c r="BP311" s="1744"/>
      <c r="BQ311" s="1744"/>
      <c r="BR311" s="1744"/>
      <c r="BS311" s="1744"/>
      <c r="BT311" s="1744"/>
      <c r="BU311" s="1744"/>
      <c r="BV311" s="1744"/>
      <c r="BW311" s="1744"/>
      <c r="BX311" s="1744"/>
      <c r="BY311" s="1744"/>
      <c r="BZ311" s="1744"/>
      <c r="CA311" s="1744"/>
      <c r="CB311" s="1744"/>
      <c r="CC311" s="1744"/>
      <c r="CD311" s="1744"/>
      <c r="CE311" s="1744"/>
      <c r="CF311" s="1744"/>
      <c r="CG311" s="1744"/>
      <c r="CH311" s="1744"/>
      <c r="CI311" s="1744"/>
      <c r="CJ311" s="1744"/>
      <c r="CK311" s="1744"/>
      <c r="CL311" s="1744"/>
      <c r="CM311" s="1744"/>
      <c r="CN311" s="1744"/>
      <c r="CO311" s="1744"/>
      <c r="CP311" s="1744"/>
      <c r="CQ311" s="1744"/>
      <c r="CR311" s="1744"/>
      <c r="CS311" s="1744"/>
      <c r="CT311" s="1744"/>
      <c r="CU311" s="1744"/>
      <c r="CV311" s="1744"/>
      <c r="CW311" s="1744"/>
      <c r="CX311" s="1744"/>
      <c r="CY311" s="1744"/>
      <c r="CZ311" s="1744"/>
      <c r="DA311" s="1744"/>
      <c r="DB311" s="1744"/>
      <c r="DC311" s="1744"/>
      <c r="DD311" s="1744"/>
      <c r="DE311" s="1744"/>
      <c r="DF311" s="1744"/>
      <c r="DG311" s="1744"/>
      <c r="DH311" s="1744"/>
      <c r="DI311" s="1744"/>
      <c r="DJ311" s="1744"/>
      <c r="DK311" s="1744"/>
      <c r="DL311" s="1744"/>
      <c r="DM311" s="1744"/>
      <c r="DN311" s="1744"/>
      <c r="DO311" s="1744"/>
      <c r="DP311" s="1744"/>
      <c r="DQ311" s="1744"/>
      <c r="DR311" s="1744"/>
      <c r="DS311" s="1744"/>
      <c r="DT311" s="1744"/>
      <c r="DU311" s="1744"/>
      <c r="DV311" s="1744"/>
      <c r="DW311" s="1744"/>
      <c r="DX311" s="1744"/>
      <c r="DY311" s="1744"/>
      <c r="DZ311" s="1744"/>
      <c r="EA311" s="1744"/>
      <c r="EB311" s="1744"/>
      <c r="EC311" s="1744"/>
      <c r="ED311" s="1744"/>
      <c r="EE311" s="1744"/>
      <c r="EF311" s="1744"/>
      <c r="EG311" s="1744"/>
      <c r="EH311" s="1744"/>
      <c r="EI311" s="1744"/>
      <c r="EJ311" s="1744"/>
      <c r="EK311" s="1744"/>
      <c r="EL311" s="1744"/>
      <c r="EM311" s="1744"/>
      <c r="EN311" s="1744"/>
      <c r="EO311" s="1744"/>
      <c r="EP311" s="1744"/>
      <c r="EQ311" s="1744"/>
      <c r="ER311" s="1744"/>
      <c r="ES311" s="1744"/>
      <c r="ET311" s="1744"/>
      <c r="EU311" s="1744"/>
      <c r="EV311" s="1744"/>
      <c r="EW311" s="1744"/>
      <c r="EX311" s="1744"/>
      <c r="EY311" s="1744"/>
      <c r="EZ311" s="1744"/>
      <c r="FA311" s="1744"/>
      <c r="FB311" s="1744"/>
      <c r="FC311" s="1744"/>
      <c r="FD311" s="1744"/>
      <c r="FE311" s="1744"/>
      <c r="FF311" s="1744"/>
    </row>
    <row r="313" spans="6:162" s="1746" customFormat="1" ht="15.75" customHeight="1">
      <c r="F313" s="1744"/>
      <c r="G313" s="1744"/>
      <c r="H313" s="1744"/>
      <c r="I313" s="1744"/>
      <c r="J313" s="1744"/>
      <c r="K313" s="1744"/>
      <c r="L313" s="1744"/>
      <c r="M313" s="1744"/>
      <c r="N313" s="1744"/>
      <c r="O313" s="1744"/>
      <c r="P313" s="1744"/>
      <c r="Q313" s="1744"/>
      <c r="R313" s="1744"/>
      <c r="S313" s="1744"/>
      <c r="T313" s="1744"/>
      <c r="U313" s="1744"/>
      <c r="V313" s="1744"/>
      <c r="W313" s="1744"/>
      <c r="X313" s="1744"/>
      <c r="Y313" s="1744"/>
      <c r="AA313" s="1744"/>
      <c r="AC313" s="1744"/>
      <c r="AD313" s="1744"/>
      <c r="AE313" s="1744"/>
      <c r="AF313" s="1744"/>
      <c r="AG313" s="1744"/>
      <c r="AH313" s="1745"/>
      <c r="AI313" s="1745"/>
      <c r="AJ313" s="1744"/>
      <c r="AK313" s="1744"/>
      <c r="AL313" s="1744"/>
      <c r="AM313" s="1744"/>
      <c r="AN313" s="1744"/>
      <c r="AO313" s="1744"/>
      <c r="AP313" s="1744"/>
      <c r="AQ313" s="1744"/>
      <c r="AR313" s="1744"/>
      <c r="AS313" s="1744"/>
      <c r="AT313" s="1744"/>
      <c r="AU313" s="1744"/>
      <c r="AV313" s="1744"/>
      <c r="AW313" s="1744"/>
      <c r="AX313" s="1744"/>
      <c r="AY313" s="1744"/>
      <c r="AZ313" s="1744"/>
      <c r="BA313" s="1744"/>
      <c r="BB313" s="1744"/>
      <c r="BC313" s="1744"/>
      <c r="BD313" s="1744"/>
      <c r="BE313" s="1744"/>
      <c r="BF313" s="1744"/>
      <c r="BG313" s="1744"/>
      <c r="BH313" s="1744"/>
      <c r="BI313" s="1744"/>
      <c r="BJ313" s="1744"/>
      <c r="BK313" s="1744"/>
      <c r="BL313" s="1744"/>
      <c r="BM313" s="1744"/>
      <c r="BN313" s="1744"/>
      <c r="BO313" s="1744"/>
      <c r="BP313" s="1744"/>
      <c r="BQ313" s="1744"/>
      <c r="BR313" s="1744"/>
      <c r="BS313" s="1744"/>
      <c r="BT313" s="1744"/>
      <c r="BU313" s="1744"/>
      <c r="BV313" s="1744"/>
      <c r="BW313" s="1744"/>
      <c r="BX313" s="1744"/>
      <c r="BY313" s="1744"/>
      <c r="BZ313" s="1744"/>
      <c r="CA313" s="1744"/>
      <c r="CB313" s="1744"/>
      <c r="CC313" s="1744"/>
      <c r="CD313" s="1744"/>
      <c r="CE313" s="1744"/>
      <c r="CF313" s="1744"/>
      <c r="CG313" s="1744"/>
      <c r="CH313" s="1744"/>
      <c r="CI313" s="1744"/>
      <c r="CJ313" s="1744"/>
      <c r="CK313" s="1744"/>
      <c r="CL313" s="1744"/>
      <c r="CM313" s="1744"/>
      <c r="CN313" s="1744"/>
      <c r="CO313" s="1744"/>
      <c r="CP313" s="1744"/>
      <c r="CQ313" s="1744"/>
      <c r="CR313" s="1744"/>
      <c r="CS313" s="1744"/>
      <c r="CT313" s="1744"/>
      <c r="CU313" s="1744"/>
      <c r="CV313" s="1744"/>
      <c r="CW313" s="1744"/>
      <c r="CX313" s="1744"/>
      <c r="CY313" s="1744"/>
      <c r="CZ313" s="1744"/>
      <c r="DA313" s="1744"/>
      <c r="DB313" s="1744"/>
      <c r="DC313" s="1744"/>
      <c r="DD313" s="1744"/>
      <c r="DE313" s="1744"/>
      <c r="DF313" s="1744"/>
      <c r="DG313" s="1744"/>
      <c r="DH313" s="1744"/>
      <c r="DI313" s="1744"/>
      <c r="DJ313" s="1744"/>
      <c r="DK313" s="1744"/>
      <c r="DL313" s="1744"/>
      <c r="DM313" s="1744"/>
      <c r="DN313" s="1744"/>
      <c r="DO313" s="1744"/>
      <c r="DP313" s="1744"/>
      <c r="DQ313" s="1744"/>
      <c r="DR313" s="1744"/>
      <c r="DS313" s="1744"/>
      <c r="DT313" s="1744"/>
      <c r="DU313" s="1744"/>
      <c r="DV313" s="1744"/>
      <c r="DW313" s="1744"/>
      <c r="DX313" s="1744"/>
      <c r="DY313" s="1744"/>
      <c r="DZ313" s="1744"/>
      <c r="EA313" s="1744"/>
      <c r="EB313" s="1744"/>
      <c r="EC313" s="1744"/>
      <c r="ED313" s="1744"/>
      <c r="EE313" s="1744"/>
      <c r="EF313" s="1744"/>
      <c r="EG313" s="1744"/>
      <c r="EH313" s="1744"/>
      <c r="EI313" s="1744"/>
      <c r="EJ313" s="1744"/>
      <c r="EK313" s="1744"/>
      <c r="EL313" s="1744"/>
      <c r="EM313" s="1744"/>
      <c r="EN313" s="1744"/>
      <c r="EO313" s="1744"/>
      <c r="EP313" s="1744"/>
      <c r="EQ313" s="1744"/>
      <c r="ER313" s="1744"/>
      <c r="ES313" s="1744"/>
      <c r="ET313" s="1744"/>
      <c r="EU313" s="1744"/>
      <c r="EV313" s="1744"/>
      <c r="EW313" s="1744"/>
      <c r="EX313" s="1744"/>
      <c r="EY313" s="1744"/>
      <c r="EZ313" s="1744"/>
      <c r="FA313" s="1744"/>
      <c r="FB313" s="1744"/>
      <c r="FC313" s="1744"/>
      <c r="FD313" s="1744"/>
      <c r="FE313" s="1744"/>
      <c r="FF313" s="1744"/>
    </row>
    <row r="315" spans="6:162" s="1746" customFormat="1" ht="15.75" customHeight="1">
      <c r="F315" s="1744"/>
      <c r="G315" s="1744"/>
      <c r="H315" s="1744"/>
      <c r="I315" s="1744"/>
      <c r="J315" s="1744"/>
      <c r="K315" s="1744"/>
      <c r="L315" s="1744"/>
      <c r="M315" s="1744"/>
      <c r="N315" s="1744"/>
      <c r="O315" s="1744"/>
      <c r="P315" s="1744"/>
      <c r="Q315" s="1744"/>
      <c r="R315" s="1744"/>
      <c r="S315" s="1744"/>
      <c r="T315" s="1744"/>
      <c r="U315" s="1744"/>
      <c r="V315" s="1744"/>
      <c r="W315" s="1744"/>
      <c r="X315" s="1744"/>
      <c r="Y315" s="1744"/>
      <c r="AA315" s="1744"/>
      <c r="AC315" s="1744"/>
      <c r="AD315" s="1744"/>
      <c r="AE315" s="1744"/>
      <c r="AF315" s="1744"/>
      <c r="AG315" s="1744"/>
      <c r="AH315" s="1745"/>
      <c r="AI315" s="1745"/>
      <c r="AJ315" s="1744"/>
      <c r="AK315" s="1744"/>
      <c r="AL315" s="1744"/>
      <c r="AM315" s="1744"/>
      <c r="AN315" s="1744"/>
      <c r="AO315" s="1744"/>
      <c r="AP315" s="1744"/>
      <c r="AQ315" s="1744"/>
      <c r="AR315" s="1744"/>
      <c r="AS315" s="1744"/>
      <c r="AT315" s="1744"/>
      <c r="AU315" s="1744"/>
      <c r="AV315" s="1744"/>
      <c r="AW315" s="1744"/>
      <c r="AX315" s="1744"/>
      <c r="AY315" s="1744"/>
      <c r="AZ315" s="1744"/>
      <c r="BA315" s="1744"/>
      <c r="BB315" s="1744"/>
      <c r="BC315" s="1744"/>
      <c r="BD315" s="1744"/>
      <c r="BE315" s="1744"/>
      <c r="BF315" s="1744"/>
      <c r="BG315" s="1744"/>
      <c r="BH315" s="1744"/>
      <c r="BI315" s="1744"/>
      <c r="BJ315" s="1744"/>
      <c r="BK315" s="1744"/>
      <c r="BL315" s="1744"/>
      <c r="BM315" s="1744"/>
      <c r="BN315" s="1744"/>
      <c r="BO315" s="1744"/>
      <c r="BP315" s="1744"/>
      <c r="BQ315" s="1744"/>
      <c r="BR315" s="1744"/>
      <c r="BS315" s="1744"/>
      <c r="BT315" s="1744"/>
      <c r="BU315" s="1744"/>
      <c r="BV315" s="1744"/>
      <c r="BW315" s="1744"/>
      <c r="BX315" s="1744"/>
      <c r="BY315" s="1744"/>
      <c r="BZ315" s="1744"/>
      <c r="CA315" s="1744"/>
      <c r="CB315" s="1744"/>
      <c r="CC315" s="1744"/>
      <c r="CD315" s="1744"/>
      <c r="CE315" s="1744"/>
      <c r="CF315" s="1744"/>
      <c r="CG315" s="1744"/>
      <c r="CH315" s="1744"/>
      <c r="CI315" s="1744"/>
      <c r="CJ315" s="1744"/>
      <c r="CK315" s="1744"/>
      <c r="CL315" s="1744"/>
      <c r="CM315" s="1744"/>
      <c r="CN315" s="1744"/>
      <c r="CO315" s="1744"/>
      <c r="CP315" s="1744"/>
      <c r="CQ315" s="1744"/>
      <c r="CR315" s="1744"/>
      <c r="CS315" s="1744"/>
      <c r="CT315" s="1744"/>
      <c r="CU315" s="1744"/>
      <c r="CV315" s="1744"/>
      <c r="CW315" s="1744"/>
      <c r="CX315" s="1744"/>
      <c r="CY315" s="1744"/>
      <c r="CZ315" s="1744"/>
      <c r="DA315" s="1744"/>
      <c r="DB315" s="1744"/>
      <c r="DC315" s="1744"/>
      <c r="DD315" s="1744"/>
      <c r="DE315" s="1744"/>
      <c r="DF315" s="1744"/>
      <c r="DG315" s="1744"/>
      <c r="DH315" s="1744"/>
      <c r="DI315" s="1744"/>
      <c r="DJ315" s="1744"/>
      <c r="DK315" s="1744"/>
      <c r="DL315" s="1744"/>
      <c r="DM315" s="1744"/>
      <c r="DN315" s="1744"/>
      <c r="DO315" s="1744"/>
      <c r="DP315" s="1744"/>
      <c r="DQ315" s="1744"/>
      <c r="DR315" s="1744"/>
      <c r="DS315" s="1744"/>
      <c r="DT315" s="1744"/>
      <c r="DU315" s="1744"/>
      <c r="DV315" s="1744"/>
      <c r="DW315" s="1744"/>
      <c r="DX315" s="1744"/>
      <c r="DY315" s="1744"/>
      <c r="DZ315" s="1744"/>
      <c r="EA315" s="1744"/>
      <c r="EB315" s="1744"/>
      <c r="EC315" s="1744"/>
      <c r="ED315" s="1744"/>
      <c r="EE315" s="1744"/>
      <c r="EF315" s="1744"/>
      <c r="EG315" s="1744"/>
      <c r="EH315" s="1744"/>
      <c r="EI315" s="1744"/>
      <c r="EJ315" s="1744"/>
      <c r="EK315" s="1744"/>
      <c r="EL315" s="1744"/>
      <c r="EM315" s="1744"/>
      <c r="EN315" s="1744"/>
      <c r="EO315" s="1744"/>
      <c r="EP315" s="1744"/>
      <c r="EQ315" s="1744"/>
      <c r="ER315" s="1744"/>
      <c r="ES315" s="1744"/>
      <c r="ET315" s="1744"/>
      <c r="EU315" s="1744"/>
      <c r="EV315" s="1744"/>
      <c r="EW315" s="1744"/>
      <c r="EX315" s="1744"/>
      <c r="EY315" s="1744"/>
      <c r="EZ315" s="1744"/>
      <c r="FA315" s="1744"/>
      <c r="FB315" s="1744"/>
      <c r="FC315" s="1744"/>
      <c r="FD315" s="1744"/>
      <c r="FE315" s="1744"/>
      <c r="FF315" s="1744"/>
    </row>
    <row r="317" spans="6:162" s="1746" customFormat="1" ht="15.75" customHeight="1">
      <c r="F317" s="1744"/>
      <c r="G317" s="1744"/>
      <c r="H317" s="1744"/>
      <c r="I317" s="1744"/>
      <c r="J317" s="1744"/>
      <c r="K317" s="1744"/>
      <c r="L317" s="1744"/>
      <c r="M317" s="1744"/>
      <c r="N317" s="1744"/>
      <c r="O317" s="1744"/>
      <c r="P317" s="1744"/>
      <c r="Q317" s="1744"/>
      <c r="R317" s="1744"/>
      <c r="S317" s="1744"/>
      <c r="T317" s="1744"/>
      <c r="U317" s="1744"/>
      <c r="V317" s="1744"/>
      <c r="W317" s="1744"/>
      <c r="X317" s="1744"/>
      <c r="Y317" s="1744"/>
      <c r="AA317" s="1744"/>
      <c r="AC317" s="1744"/>
      <c r="AD317" s="1744"/>
      <c r="AE317" s="1744"/>
      <c r="AF317" s="1744"/>
      <c r="AG317" s="1744"/>
      <c r="AH317" s="1745"/>
      <c r="AI317" s="1745"/>
      <c r="AJ317" s="1744"/>
      <c r="AK317" s="1744"/>
      <c r="AL317" s="1744"/>
      <c r="AM317" s="1744"/>
      <c r="AN317" s="1744"/>
      <c r="AO317" s="1744"/>
      <c r="AP317" s="1744"/>
      <c r="AQ317" s="1744"/>
      <c r="AR317" s="1744"/>
      <c r="AS317" s="1744"/>
      <c r="AT317" s="1744"/>
      <c r="AU317" s="1744"/>
      <c r="AV317" s="1744"/>
      <c r="AW317" s="1744"/>
      <c r="AX317" s="1744"/>
      <c r="AY317" s="1744"/>
      <c r="AZ317" s="1744"/>
      <c r="BA317" s="1744"/>
      <c r="BB317" s="1744"/>
      <c r="BC317" s="1744"/>
      <c r="BD317" s="1744"/>
      <c r="BE317" s="1744"/>
      <c r="BF317" s="1744"/>
      <c r="BG317" s="1744"/>
      <c r="BH317" s="1744"/>
      <c r="BI317" s="1744"/>
      <c r="BJ317" s="1744"/>
      <c r="BK317" s="1744"/>
      <c r="BL317" s="1744"/>
      <c r="BM317" s="1744"/>
      <c r="BN317" s="1744"/>
      <c r="BO317" s="1744"/>
      <c r="BP317" s="1744"/>
      <c r="BQ317" s="1744"/>
      <c r="BR317" s="1744"/>
      <c r="BS317" s="1744"/>
      <c r="BT317" s="1744"/>
      <c r="BU317" s="1744"/>
      <c r="BV317" s="1744"/>
      <c r="BW317" s="1744"/>
      <c r="BX317" s="1744"/>
      <c r="BY317" s="1744"/>
      <c r="BZ317" s="1744"/>
      <c r="CA317" s="1744"/>
      <c r="CB317" s="1744"/>
      <c r="CC317" s="1744"/>
      <c r="CD317" s="1744"/>
      <c r="CE317" s="1744"/>
      <c r="CF317" s="1744"/>
      <c r="CG317" s="1744"/>
      <c r="CH317" s="1744"/>
      <c r="CI317" s="1744"/>
      <c r="CJ317" s="1744"/>
      <c r="CK317" s="1744"/>
      <c r="CL317" s="1744"/>
      <c r="CM317" s="1744"/>
      <c r="CN317" s="1744"/>
      <c r="CO317" s="1744"/>
      <c r="CP317" s="1744"/>
      <c r="CQ317" s="1744"/>
      <c r="CR317" s="1744"/>
      <c r="CS317" s="1744"/>
      <c r="CT317" s="1744"/>
      <c r="CU317" s="1744"/>
      <c r="CV317" s="1744"/>
      <c r="CW317" s="1744"/>
      <c r="CX317" s="1744"/>
      <c r="CY317" s="1744"/>
      <c r="CZ317" s="1744"/>
      <c r="DA317" s="1744"/>
      <c r="DB317" s="1744"/>
      <c r="DC317" s="1744"/>
      <c r="DD317" s="1744"/>
      <c r="DE317" s="1744"/>
      <c r="DF317" s="1744"/>
      <c r="DG317" s="1744"/>
      <c r="DH317" s="1744"/>
      <c r="DI317" s="1744"/>
      <c r="DJ317" s="1744"/>
      <c r="DK317" s="1744"/>
      <c r="DL317" s="1744"/>
      <c r="DM317" s="1744"/>
      <c r="DN317" s="1744"/>
      <c r="DO317" s="1744"/>
      <c r="DP317" s="1744"/>
      <c r="DQ317" s="1744"/>
      <c r="DR317" s="1744"/>
      <c r="DS317" s="1744"/>
      <c r="DT317" s="1744"/>
      <c r="DU317" s="1744"/>
      <c r="DV317" s="1744"/>
      <c r="DW317" s="1744"/>
      <c r="DX317" s="1744"/>
      <c r="DY317" s="1744"/>
      <c r="DZ317" s="1744"/>
      <c r="EA317" s="1744"/>
      <c r="EB317" s="1744"/>
      <c r="EC317" s="1744"/>
      <c r="ED317" s="1744"/>
      <c r="EE317" s="1744"/>
      <c r="EF317" s="1744"/>
      <c r="EG317" s="1744"/>
      <c r="EH317" s="1744"/>
      <c r="EI317" s="1744"/>
      <c r="EJ317" s="1744"/>
      <c r="EK317" s="1744"/>
      <c r="EL317" s="1744"/>
      <c r="EM317" s="1744"/>
      <c r="EN317" s="1744"/>
      <c r="EO317" s="1744"/>
      <c r="EP317" s="1744"/>
      <c r="EQ317" s="1744"/>
      <c r="ER317" s="1744"/>
      <c r="ES317" s="1744"/>
      <c r="ET317" s="1744"/>
      <c r="EU317" s="1744"/>
      <c r="EV317" s="1744"/>
      <c r="EW317" s="1744"/>
      <c r="EX317" s="1744"/>
      <c r="EY317" s="1744"/>
      <c r="EZ317" s="1744"/>
      <c r="FA317" s="1744"/>
      <c r="FB317" s="1744"/>
      <c r="FC317" s="1744"/>
      <c r="FD317" s="1744"/>
      <c r="FE317" s="1744"/>
      <c r="FF317" s="1744"/>
    </row>
    <row r="319" spans="6:162" s="1746" customFormat="1" ht="15.75" customHeight="1">
      <c r="F319" s="1744"/>
      <c r="G319" s="1744"/>
      <c r="H319" s="1744"/>
      <c r="I319" s="1744"/>
      <c r="J319" s="1744"/>
      <c r="K319" s="1744"/>
      <c r="L319" s="1744"/>
      <c r="M319" s="1744"/>
      <c r="N319" s="1744"/>
      <c r="O319" s="1744"/>
      <c r="P319" s="1744"/>
      <c r="Q319" s="1744"/>
      <c r="R319" s="1744"/>
      <c r="S319" s="1744"/>
      <c r="T319" s="1744"/>
      <c r="U319" s="1744"/>
      <c r="V319" s="1744"/>
      <c r="W319" s="1744"/>
      <c r="X319" s="1744"/>
      <c r="Y319" s="1744"/>
      <c r="AA319" s="1744"/>
      <c r="AC319" s="1744"/>
      <c r="AD319" s="1744"/>
      <c r="AE319" s="1744"/>
      <c r="AF319" s="1744"/>
      <c r="AG319" s="1744"/>
      <c r="AH319" s="1745"/>
      <c r="AI319" s="1745"/>
      <c r="AJ319" s="1744"/>
      <c r="AK319" s="1744"/>
      <c r="AL319" s="1744"/>
      <c r="AM319" s="1744"/>
      <c r="AN319" s="1744"/>
      <c r="AO319" s="1744"/>
      <c r="AP319" s="1744"/>
      <c r="AQ319" s="1744"/>
      <c r="AR319" s="1744"/>
      <c r="AS319" s="1744"/>
      <c r="AT319" s="1744"/>
      <c r="AU319" s="1744"/>
      <c r="AV319" s="1744"/>
      <c r="AW319" s="1744"/>
      <c r="AX319" s="1744"/>
      <c r="AY319" s="1744"/>
      <c r="AZ319" s="1744"/>
      <c r="BA319" s="1744"/>
      <c r="BB319" s="1744"/>
      <c r="BC319" s="1744"/>
      <c r="BD319" s="1744"/>
      <c r="BE319" s="1744"/>
      <c r="BF319" s="1744"/>
      <c r="BG319" s="1744"/>
      <c r="BH319" s="1744"/>
      <c r="BI319" s="1744"/>
      <c r="BJ319" s="1744"/>
      <c r="BK319" s="1744"/>
      <c r="BL319" s="1744"/>
      <c r="BM319" s="1744"/>
      <c r="BN319" s="1744"/>
      <c r="BO319" s="1744"/>
      <c r="BP319" s="1744"/>
      <c r="BQ319" s="1744"/>
      <c r="BR319" s="1744"/>
      <c r="BS319" s="1744"/>
      <c r="BT319" s="1744"/>
      <c r="BU319" s="1744"/>
      <c r="BV319" s="1744"/>
      <c r="BW319" s="1744"/>
      <c r="BX319" s="1744"/>
      <c r="BY319" s="1744"/>
      <c r="BZ319" s="1744"/>
      <c r="CA319" s="1744"/>
      <c r="CB319" s="1744"/>
      <c r="CC319" s="1744"/>
      <c r="CD319" s="1744"/>
      <c r="CE319" s="1744"/>
      <c r="CF319" s="1744"/>
      <c r="CG319" s="1744"/>
      <c r="CH319" s="1744"/>
      <c r="CI319" s="1744"/>
      <c r="CJ319" s="1744"/>
      <c r="CK319" s="1744"/>
      <c r="CL319" s="1744"/>
      <c r="CM319" s="1744"/>
      <c r="CN319" s="1744"/>
      <c r="CO319" s="1744"/>
      <c r="CP319" s="1744"/>
      <c r="CQ319" s="1744"/>
      <c r="CR319" s="1744"/>
      <c r="CS319" s="1744"/>
      <c r="CT319" s="1744"/>
      <c r="CU319" s="1744"/>
      <c r="CV319" s="1744"/>
      <c r="CW319" s="1744"/>
      <c r="CX319" s="1744"/>
      <c r="CY319" s="1744"/>
      <c r="CZ319" s="1744"/>
      <c r="DA319" s="1744"/>
      <c r="DB319" s="1744"/>
      <c r="DC319" s="1744"/>
      <c r="DD319" s="1744"/>
      <c r="DE319" s="1744"/>
      <c r="DF319" s="1744"/>
      <c r="DG319" s="1744"/>
      <c r="DH319" s="1744"/>
      <c r="DI319" s="1744"/>
      <c r="DJ319" s="1744"/>
      <c r="DK319" s="1744"/>
      <c r="DL319" s="1744"/>
      <c r="DM319" s="1744"/>
      <c r="DN319" s="1744"/>
      <c r="DO319" s="1744"/>
      <c r="DP319" s="1744"/>
      <c r="DQ319" s="1744"/>
      <c r="DR319" s="1744"/>
      <c r="DS319" s="1744"/>
      <c r="DT319" s="1744"/>
      <c r="DU319" s="1744"/>
      <c r="DV319" s="1744"/>
      <c r="DW319" s="1744"/>
      <c r="DX319" s="1744"/>
      <c r="DY319" s="1744"/>
      <c r="DZ319" s="1744"/>
      <c r="EA319" s="1744"/>
      <c r="EB319" s="1744"/>
      <c r="EC319" s="1744"/>
      <c r="ED319" s="1744"/>
      <c r="EE319" s="1744"/>
      <c r="EF319" s="1744"/>
      <c r="EG319" s="1744"/>
      <c r="EH319" s="1744"/>
      <c r="EI319" s="1744"/>
      <c r="EJ319" s="1744"/>
      <c r="EK319" s="1744"/>
      <c r="EL319" s="1744"/>
      <c r="EM319" s="1744"/>
      <c r="EN319" s="1744"/>
      <c r="EO319" s="1744"/>
      <c r="EP319" s="1744"/>
      <c r="EQ319" s="1744"/>
      <c r="ER319" s="1744"/>
      <c r="ES319" s="1744"/>
      <c r="ET319" s="1744"/>
      <c r="EU319" s="1744"/>
      <c r="EV319" s="1744"/>
      <c r="EW319" s="1744"/>
      <c r="EX319" s="1744"/>
      <c r="EY319" s="1744"/>
      <c r="EZ319" s="1744"/>
      <c r="FA319" s="1744"/>
      <c r="FB319" s="1744"/>
      <c r="FC319" s="1744"/>
      <c r="FD319" s="1744"/>
      <c r="FE319" s="1744"/>
      <c r="FF319" s="1744"/>
    </row>
    <row r="321" spans="6:162" s="1746" customFormat="1" ht="15.75" customHeight="1">
      <c r="F321" s="1744"/>
      <c r="G321" s="1744"/>
      <c r="H321" s="1744"/>
      <c r="I321" s="1744"/>
      <c r="J321" s="1744"/>
      <c r="K321" s="1744"/>
      <c r="L321" s="1744"/>
      <c r="M321" s="1744"/>
      <c r="N321" s="1744"/>
      <c r="O321" s="1744"/>
      <c r="P321" s="1744"/>
      <c r="Q321" s="1744"/>
      <c r="R321" s="1744"/>
      <c r="S321" s="1744"/>
      <c r="T321" s="1744"/>
      <c r="U321" s="1744"/>
      <c r="V321" s="1744"/>
      <c r="W321" s="1744"/>
      <c r="X321" s="1744"/>
      <c r="Y321" s="1744"/>
      <c r="AA321" s="1744"/>
      <c r="AC321" s="1744"/>
      <c r="AD321" s="1744"/>
      <c r="AE321" s="1744"/>
      <c r="AF321" s="1744"/>
      <c r="AG321" s="1744"/>
      <c r="AH321" s="1745"/>
      <c r="AI321" s="1745"/>
      <c r="AJ321" s="1744"/>
      <c r="AK321" s="1744"/>
      <c r="AL321" s="1744"/>
      <c r="AM321" s="1744"/>
      <c r="AN321" s="1744"/>
      <c r="AO321" s="1744"/>
      <c r="AP321" s="1744"/>
      <c r="AQ321" s="1744"/>
      <c r="AR321" s="1744"/>
      <c r="AS321" s="1744"/>
      <c r="AT321" s="1744"/>
      <c r="AU321" s="1744"/>
      <c r="AV321" s="1744"/>
      <c r="AW321" s="1744"/>
      <c r="AX321" s="1744"/>
      <c r="AY321" s="1744"/>
      <c r="AZ321" s="1744"/>
      <c r="BA321" s="1744"/>
      <c r="BB321" s="1744"/>
      <c r="BC321" s="1744"/>
      <c r="BD321" s="1744"/>
      <c r="BE321" s="1744"/>
      <c r="BF321" s="1744"/>
      <c r="BG321" s="1744"/>
      <c r="BH321" s="1744"/>
      <c r="BI321" s="1744"/>
      <c r="BJ321" s="1744"/>
      <c r="BK321" s="1744"/>
      <c r="BL321" s="1744"/>
      <c r="BM321" s="1744"/>
      <c r="BN321" s="1744"/>
      <c r="BO321" s="1744"/>
      <c r="BP321" s="1744"/>
      <c r="BQ321" s="1744"/>
      <c r="BR321" s="1744"/>
      <c r="BS321" s="1744"/>
      <c r="BT321" s="1744"/>
      <c r="BU321" s="1744"/>
      <c r="BV321" s="1744"/>
      <c r="BW321" s="1744"/>
      <c r="BX321" s="1744"/>
      <c r="BY321" s="1744"/>
      <c r="BZ321" s="1744"/>
      <c r="CA321" s="1744"/>
      <c r="CB321" s="1744"/>
      <c r="CC321" s="1744"/>
      <c r="CD321" s="1744"/>
      <c r="CE321" s="1744"/>
      <c r="CF321" s="1744"/>
      <c r="CG321" s="1744"/>
      <c r="CH321" s="1744"/>
      <c r="CI321" s="1744"/>
      <c r="CJ321" s="1744"/>
      <c r="CK321" s="1744"/>
      <c r="CL321" s="1744"/>
      <c r="CM321" s="1744"/>
      <c r="CN321" s="1744"/>
      <c r="CO321" s="1744"/>
      <c r="CP321" s="1744"/>
      <c r="CQ321" s="1744"/>
      <c r="CR321" s="1744"/>
      <c r="CS321" s="1744"/>
      <c r="CT321" s="1744"/>
      <c r="CU321" s="1744"/>
      <c r="CV321" s="1744"/>
      <c r="CW321" s="1744"/>
      <c r="CX321" s="1744"/>
      <c r="CY321" s="1744"/>
      <c r="CZ321" s="1744"/>
      <c r="DA321" s="1744"/>
      <c r="DB321" s="1744"/>
      <c r="DC321" s="1744"/>
      <c r="DD321" s="1744"/>
      <c r="DE321" s="1744"/>
      <c r="DF321" s="1744"/>
      <c r="DG321" s="1744"/>
      <c r="DH321" s="1744"/>
      <c r="DI321" s="1744"/>
      <c r="DJ321" s="1744"/>
      <c r="DK321" s="1744"/>
      <c r="DL321" s="1744"/>
      <c r="DM321" s="1744"/>
      <c r="DN321" s="1744"/>
      <c r="DO321" s="1744"/>
      <c r="DP321" s="1744"/>
      <c r="DQ321" s="1744"/>
      <c r="DR321" s="1744"/>
      <c r="DS321" s="1744"/>
      <c r="DT321" s="1744"/>
      <c r="DU321" s="1744"/>
      <c r="DV321" s="1744"/>
      <c r="DW321" s="1744"/>
      <c r="DX321" s="1744"/>
      <c r="DY321" s="1744"/>
      <c r="DZ321" s="1744"/>
      <c r="EA321" s="1744"/>
      <c r="EB321" s="1744"/>
      <c r="EC321" s="1744"/>
      <c r="ED321" s="1744"/>
      <c r="EE321" s="1744"/>
      <c r="EF321" s="1744"/>
      <c r="EG321" s="1744"/>
      <c r="EH321" s="1744"/>
      <c r="EI321" s="1744"/>
      <c r="EJ321" s="1744"/>
      <c r="EK321" s="1744"/>
      <c r="EL321" s="1744"/>
      <c r="EM321" s="1744"/>
      <c r="EN321" s="1744"/>
      <c r="EO321" s="1744"/>
      <c r="EP321" s="1744"/>
      <c r="EQ321" s="1744"/>
      <c r="ER321" s="1744"/>
      <c r="ES321" s="1744"/>
      <c r="ET321" s="1744"/>
      <c r="EU321" s="1744"/>
      <c r="EV321" s="1744"/>
      <c r="EW321" s="1744"/>
      <c r="EX321" s="1744"/>
      <c r="EY321" s="1744"/>
      <c r="EZ321" s="1744"/>
      <c r="FA321" s="1744"/>
      <c r="FB321" s="1744"/>
      <c r="FC321" s="1744"/>
      <c r="FD321" s="1744"/>
      <c r="FE321" s="1744"/>
      <c r="FF321" s="1744"/>
    </row>
    <row r="323" spans="6:162" s="1746" customFormat="1" ht="15.75" customHeight="1">
      <c r="F323" s="1744"/>
      <c r="G323" s="1744"/>
      <c r="H323" s="1744"/>
      <c r="I323" s="1744"/>
      <c r="J323" s="1744"/>
      <c r="K323" s="1744"/>
      <c r="L323" s="1744"/>
      <c r="M323" s="1744"/>
      <c r="N323" s="1744"/>
      <c r="O323" s="1744"/>
      <c r="P323" s="1744"/>
      <c r="Q323" s="1744"/>
      <c r="R323" s="1744"/>
      <c r="S323" s="1744"/>
      <c r="T323" s="1744"/>
      <c r="U323" s="1744"/>
      <c r="V323" s="1744"/>
      <c r="W323" s="1744"/>
      <c r="X323" s="1744"/>
      <c r="Y323" s="1744"/>
      <c r="AA323" s="1744"/>
      <c r="AC323" s="1744"/>
      <c r="AD323" s="1744"/>
      <c r="AE323" s="1744"/>
      <c r="AF323" s="1744"/>
      <c r="AG323" s="1744"/>
      <c r="AH323" s="1745"/>
      <c r="AI323" s="1745"/>
      <c r="AJ323" s="1744"/>
      <c r="AK323" s="1744"/>
      <c r="AL323" s="1744"/>
      <c r="AM323" s="1744"/>
      <c r="AN323" s="1744"/>
      <c r="AO323" s="1744"/>
      <c r="AP323" s="1744"/>
      <c r="AQ323" s="1744"/>
      <c r="AR323" s="1744"/>
      <c r="AS323" s="1744"/>
      <c r="AT323" s="1744"/>
      <c r="AU323" s="1744"/>
      <c r="AV323" s="1744"/>
      <c r="AW323" s="1744"/>
      <c r="AX323" s="1744"/>
      <c r="AY323" s="1744"/>
      <c r="AZ323" s="1744"/>
      <c r="BA323" s="1744"/>
      <c r="BB323" s="1744"/>
      <c r="BC323" s="1744"/>
      <c r="BD323" s="1744"/>
      <c r="BE323" s="1744"/>
      <c r="BF323" s="1744"/>
      <c r="BG323" s="1744"/>
      <c r="BH323" s="1744"/>
      <c r="BI323" s="1744"/>
      <c r="BJ323" s="1744"/>
      <c r="BK323" s="1744"/>
      <c r="BL323" s="1744"/>
      <c r="BM323" s="1744"/>
      <c r="BN323" s="1744"/>
      <c r="BO323" s="1744"/>
      <c r="BP323" s="1744"/>
      <c r="BQ323" s="1744"/>
      <c r="BR323" s="1744"/>
      <c r="BS323" s="1744"/>
      <c r="BT323" s="1744"/>
      <c r="BU323" s="1744"/>
      <c r="BV323" s="1744"/>
      <c r="BW323" s="1744"/>
      <c r="BX323" s="1744"/>
      <c r="BY323" s="1744"/>
      <c r="BZ323" s="1744"/>
      <c r="CA323" s="1744"/>
      <c r="CB323" s="1744"/>
      <c r="CC323" s="1744"/>
      <c r="CD323" s="1744"/>
      <c r="CE323" s="1744"/>
      <c r="CF323" s="1744"/>
      <c r="CG323" s="1744"/>
      <c r="CH323" s="1744"/>
      <c r="CI323" s="1744"/>
      <c r="CJ323" s="1744"/>
      <c r="CK323" s="1744"/>
      <c r="CL323" s="1744"/>
      <c r="CM323" s="1744"/>
      <c r="CN323" s="1744"/>
      <c r="CO323" s="1744"/>
      <c r="CP323" s="1744"/>
      <c r="CQ323" s="1744"/>
      <c r="CR323" s="1744"/>
      <c r="CS323" s="1744"/>
      <c r="CT323" s="1744"/>
      <c r="CU323" s="1744"/>
      <c r="CV323" s="1744"/>
      <c r="CW323" s="1744"/>
      <c r="CX323" s="1744"/>
      <c r="CY323" s="1744"/>
      <c r="CZ323" s="1744"/>
      <c r="DA323" s="1744"/>
      <c r="DB323" s="1744"/>
      <c r="DC323" s="1744"/>
      <c r="DD323" s="1744"/>
      <c r="DE323" s="1744"/>
      <c r="DF323" s="1744"/>
      <c r="DG323" s="1744"/>
      <c r="DH323" s="1744"/>
      <c r="DI323" s="1744"/>
      <c r="DJ323" s="1744"/>
      <c r="DK323" s="1744"/>
      <c r="DL323" s="1744"/>
      <c r="DM323" s="1744"/>
      <c r="DN323" s="1744"/>
      <c r="DO323" s="1744"/>
      <c r="DP323" s="1744"/>
      <c r="DQ323" s="1744"/>
      <c r="DR323" s="1744"/>
      <c r="DS323" s="1744"/>
      <c r="DT323" s="1744"/>
      <c r="DU323" s="1744"/>
      <c r="DV323" s="1744"/>
      <c r="DW323" s="1744"/>
      <c r="DX323" s="1744"/>
      <c r="DY323" s="1744"/>
      <c r="DZ323" s="1744"/>
      <c r="EA323" s="1744"/>
      <c r="EB323" s="1744"/>
      <c r="EC323" s="1744"/>
      <c r="ED323" s="1744"/>
      <c r="EE323" s="1744"/>
      <c r="EF323" s="1744"/>
      <c r="EG323" s="1744"/>
      <c r="EH323" s="1744"/>
      <c r="EI323" s="1744"/>
      <c r="EJ323" s="1744"/>
      <c r="EK323" s="1744"/>
      <c r="EL323" s="1744"/>
      <c r="EM323" s="1744"/>
      <c r="EN323" s="1744"/>
      <c r="EO323" s="1744"/>
      <c r="EP323" s="1744"/>
      <c r="EQ323" s="1744"/>
      <c r="ER323" s="1744"/>
      <c r="ES323" s="1744"/>
      <c r="ET323" s="1744"/>
      <c r="EU323" s="1744"/>
      <c r="EV323" s="1744"/>
      <c r="EW323" s="1744"/>
      <c r="EX323" s="1744"/>
      <c r="EY323" s="1744"/>
      <c r="EZ323" s="1744"/>
      <c r="FA323" s="1744"/>
      <c r="FB323" s="1744"/>
      <c r="FC323" s="1744"/>
      <c r="FD323" s="1744"/>
      <c r="FE323" s="1744"/>
      <c r="FF323" s="1744"/>
    </row>
    <row r="325" spans="6:162" s="1746" customFormat="1" ht="15.75" customHeight="1">
      <c r="F325" s="1744"/>
      <c r="G325" s="1744"/>
      <c r="H325" s="1744"/>
      <c r="I325" s="1744"/>
      <c r="J325" s="1744"/>
      <c r="K325" s="1744"/>
      <c r="L325" s="1744"/>
      <c r="M325" s="1744"/>
      <c r="N325" s="1744"/>
      <c r="O325" s="1744"/>
      <c r="P325" s="1744"/>
      <c r="Q325" s="1744"/>
      <c r="R325" s="1744"/>
      <c r="S325" s="1744"/>
      <c r="T325" s="1744"/>
      <c r="U325" s="1744"/>
      <c r="V325" s="1744"/>
      <c r="W325" s="1744"/>
      <c r="X325" s="1744"/>
      <c r="Y325" s="1744"/>
      <c r="AA325" s="1744"/>
      <c r="AC325" s="1744"/>
      <c r="AD325" s="1744"/>
      <c r="AE325" s="1744"/>
      <c r="AF325" s="1744"/>
      <c r="AG325" s="1744"/>
      <c r="AH325" s="1745"/>
      <c r="AI325" s="1745"/>
      <c r="AJ325" s="1744"/>
      <c r="AK325" s="1744"/>
      <c r="AL325" s="1744"/>
      <c r="AM325" s="1744"/>
      <c r="AN325" s="1744"/>
      <c r="AO325" s="1744"/>
      <c r="AP325" s="1744"/>
      <c r="AQ325" s="1744"/>
      <c r="AR325" s="1744"/>
      <c r="AS325" s="1744"/>
      <c r="AT325" s="1744"/>
      <c r="AU325" s="1744"/>
      <c r="AV325" s="1744"/>
      <c r="AW325" s="1744"/>
      <c r="AX325" s="1744"/>
      <c r="AY325" s="1744"/>
      <c r="AZ325" s="1744"/>
      <c r="BA325" s="1744"/>
      <c r="BB325" s="1744"/>
      <c r="BC325" s="1744"/>
      <c r="BD325" s="1744"/>
      <c r="BE325" s="1744"/>
      <c r="BF325" s="1744"/>
      <c r="BG325" s="1744"/>
      <c r="BH325" s="1744"/>
      <c r="BI325" s="1744"/>
      <c r="BJ325" s="1744"/>
      <c r="BK325" s="1744"/>
      <c r="BL325" s="1744"/>
      <c r="BM325" s="1744"/>
      <c r="BN325" s="1744"/>
      <c r="BO325" s="1744"/>
      <c r="BP325" s="1744"/>
      <c r="BQ325" s="1744"/>
      <c r="BR325" s="1744"/>
      <c r="BS325" s="1744"/>
      <c r="BT325" s="1744"/>
      <c r="BU325" s="1744"/>
      <c r="BV325" s="1744"/>
      <c r="BW325" s="1744"/>
      <c r="BX325" s="1744"/>
      <c r="BY325" s="1744"/>
      <c r="BZ325" s="1744"/>
      <c r="CA325" s="1744"/>
      <c r="CB325" s="1744"/>
      <c r="CC325" s="1744"/>
      <c r="CD325" s="1744"/>
      <c r="CE325" s="1744"/>
      <c r="CF325" s="1744"/>
      <c r="CG325" s="1744"/>
      <c r="CH325" s="1744"/>
      <c r="CI325" s="1744"/>
      <c r="CJ325" s="1744"/>
      <c r="CK325" s="1744"/>
      <c r="CL325" s="1744"/>
      <c r="CM325" s="1744"/>
      <c r="CN325" s="1744"/>
      <c r="CO325" s="1744"/>
      <c r="CP325" s="1744"/>
      <c r="CQ325" s="1744"/>
      <c r="CR325" s="1744"/>
      <c r="CS325" s="1744"/>
      <c r="CT325" s="1744"/>
      <c r="CU325" s="1744"/>
      <c r="CV325" s="1744"/>
      <c r="CW325" s="1744"/>
      <c r="CX325" s="1744"/>
      <c r="CY325" s="1744"/>
      <c r="CZ325" s="1744"/>
      <c r="DA325" s="1744"/>
      <c r="DB325" s="1744"/>
      <c r="DC325" s="1744"/>
      <c r="DD325" s="1744"/>
      <c r="DE325" s="1744"/>
      <c r="DF325" s="1744"/>
      <c r="DG325" s="1744"/>
      <c r="DH325" s="1744"/>
      <c r="DI325" s="1744"/>
      <c r="DJ325" s="1744"/>
      <c r="DK325" s="1744"/>
      <c r="DL325" s="1744"/>
      <c r="DM325" s="1744"/>
      <c r="DN325" s="1744"/>
      <c r="DO325" s="1744"/>
      <c r="DP325" s="1744"/>
      <c r="DQ325" s="1744"/>
      <c r="DR325" s="1744"/>
      <c r="DS325" s="1744"/>
      <c r="DT325" s="1744"/>
      <c r="DU325" s="1744"/>
      <c r="DV325" s="1744"/>
      <c r="DW325" s="1744"/>
      <c r="DX325" s="1744"/>
      <c r="DY325" s="1744"/>
      <c r="DZ325" s="1744"/>
      <c r="EA325" s="1744"/>
      <c r="EB325" s="1744"/>
      <c r="EC325" s="1744"/>
      <c r="ED325" s="1744"/>
      <c r="EE325" s="1744"/>
      <c r="EF325" s="1744"/>
      <c r="EG325" s="1744"/>
      <c r="EH325" s="1744"/>
      <c r="EI325" s="1744"/>
      <c r="EJ325" s="1744"/>
      <c r="EK325" s="1744"/>
      <c r="EL325" s="1744"/>
      <c r="EM325" s="1744"/>
      <c r="EN325" s="1744"/>
      <c r="EO325" s="1744"/>
      <c r="EP325" s="1744"/>
      <c r="EQ325" s="1744"/>
      <c r="ER325" s="1744"/>
      <c r="ES325" s="1744"/>
      <c r="ET325" s="1744"/>
      <c r="EU325" s="1744"/>
      <c r="EV325" s="1744"/>
      <c r="EW325" s="1744"/>
      <c r="EX325" s="1744"/>
      <c r="EY325" s="1744"/>
      <c r="EZ325" s="1744"/>
      <c r="FA325" s="1744"/>
      <c r="FB325" s="1744"/>
      <c r="FC325" s="1744"/>
      <c r="FD325" s="1744"/>
      <c r="FE325" s="1744"/>
      <c r="FF325" s="1744"/>
    </row>
    <row r="327" spans="6:162" s="1746" customFormat="1" ht="15.75" customHeight="1">
      <c r="F327" s="1744"/>
      <c r="G327" s="1744"/>
      <c r="H327" s="1744"/>
      <c r="I327" s="1744"/>
      <c r="J327" s="1744"/>
      <c r="K327" s="1744"/>
      <c r="L327" s="1744"/>
      <c r="M327" s="1744"/>
      <c r="N327" s="1744"/>
      <c r="O327" s="1744"/>
      <c r="P327" s="1744"/>
      <c r="Q327" s="1744"/>
      <c r="R327" s="1744"/>
      <c r="S327" s="1744"/>
      <c r="T327" s="1744"/>
      <c r="U327" s="1744"/>
      <c r="V327" s="1744"/>
      <c r="W327" s="1744"/>
      <c r="X327" s="1744"/>
      <c r="Y327" s="1744"/>
      <c r="AA327" s="1744"/>
      <c r="AC327" s="1744"/>
      <c r="AD327" s="1744"/>
      <c r="AE327" s="1744"/>
      <c r="AF327" s="1744"/>
      <c r="AG327" s="1744"/>
      <c r="AH327" s="1745"/>
      <c r="AI327" s="1745"/>
      <c r="AJ327" s="1744"/>
      <c r="AK327" s="1744"/>
      <c r="AL327" s="1744"/>
      <c r="AM327" s="1744"/>
      <c r="AN327" s="1744"/>
      <c r="AO327" s="1744"/>
      <c r="AP327" s="1744"/>
      <c r="AQ327" s="1744"/>
      <c r="AR327" s="1744"/>
      <c r="AS327" s="1744"/>
      <c r="AT327" s="1744"/>
      <c r="AU327" s="1744"/>
      <c r="AV327" s="1744"/>
      <c r="AW327" s="1744"/>
      <c r="AX327" s="1744"/>
      <c r="AY327" s="1744"/>
      <c r="AZ327" s="1744"/>
      <c r="BA327" s="1744"/>
      <c r="BB327" s="1744"/>
      <c r="BC327" s="1744"/>
      <c r="BD327" s="1744"/>
      <c r="BE327" s="1744"/>
      <c r="BF327" s="1744"/>
      <c r="BG327" s="1744"/>
      <c r="BH327" s="1744"/>
      <c r="BI327" s="1744"/>
      <c r="BJ327" s="1744"/>
      <c r="BK327" s="1744"/>
      <c r="BL327" s="1744"/>
      <c r="BM327" s="1744"/>
      <c r="BN327" s="1744"/>
      <c r="BO327" s="1744"/>
      <c r="BP327" s="1744"/>
      <c r="BQ327" s="1744"/>
      <c r="BR327" s="1744"/>
      <c r="BS327" s="1744"/>
      <c r="BT327" s="1744"/>
      <c r="BU327" s="1744"/>
      <c r="BV327" s="1744"/>
      <c r="BW327" s="1744"/>
      <c r="BX327" s="1744"/>
      <c r="BY327" s="1744"/>
      <c r="BZ327" s="1744"/>
      <c r="CA327" s="1744"/>
      <c r="CB327" s="1744"/>
      <c r="CC327" s="1744"/>
      <c r="CD327" s="1744"/>
      <c r="CE327" s="1744"/>
      <c r="CF327" s="1744"/>
      <c r="CG327" s="1744"/>
      <c r="CH327" s="1744"/>
      <c r="CI327" s="1744"/>
      <c r="CJ327" s="1744"/>
      <c r="CK327" s="1744"/>
      <c r="CL327" s="1744"/>
      <c r="CM327" s="1744"/>
      <c r="CN327" s="1744"/>
      <c r="CO327" s="1744"/>
      <c r="CP327" s="1744"/>
      <c r="CQ327" s="1744"/>
      <c r="CR327" s="1744"/>
      <c r="CS327" s="1744"/>
      <c r="CT327" s="1744"/>
      <c r="CU327" s="1744"/>
      <c r="CV327" s="1744"/>
      <c r="CW327" s="1744"/>
      <c r="CX327" s="1744"/>
      <c r="CY327" s="1744"/>
      <c r="CZ327" s="1744"/>
      <c r="DA327" s="1744"/>
      <c r="DB327" s="1744"/>
      <c r="DC327" s="1744"/>
      <c r="DD327" s="1744"/>
      <c r="DE327" s="1744"/>
      <c r="DF327" s="1744"/>
      <c r="DG327" s="1744"/>
      <c r="DH327" s="1744"/>
      <c r="DI327" s="1744"/>
      <c r="DJ327" s="1744"/>
      <c r="DK327" s="1744"/>
      <c r="DL327" s="1744"/>
      <c r="DM327" s="1744"/>
      <c r="DN327" s="1744"/>
      <c r="DO327" s="1744"/>
      <c r="DP327" s="1744"/>
      <c r="DQ327" s="1744"/>
      <c r="DR327" s="1744"/>
      <c r="DS327" s="1744"/>
      <c r="DT327" s="1744"/>
      <c r="DU327" s="1744"/>
      <c r="DV327" s="1744"/>
      <c r="DW327" s="1744"/>
      <c r="DX327" s="1744"/>
      <c r="DY327" s="1744"/>
      <c r="DZ327" s="1744"/>
      <c r="EA327" s="1744"/>
      <c r="EB327" s="1744"/>
      <c r="EC327" s="1744"/>
      <c r="ED327" s="1744"/>
      <c r="EE327" s="1744"/>
      <c r="EF327" s="1744"/>
      <c r="EG327" s="1744"/>
      <c r="EH327" s="1744"/>
      <c r="EI327" s="1744"/>
      <c r="EJ327" s="1744"/>
      <c r="EK327" s="1744"/>
      <c r="EL327" s="1744"/>
      <c r="EM327" s="1744"/>
      <c r="EN327" s="1744"/>
      <c r="EO327" s="1744"/>
      <c r="EP327" s="1744"/>
      <c r="EQ327" s="1744"/>
      <c r="ER327" s="1744"/>
      <c r="ES327" s="1744"/>
      <c r="ET327" s="1744"/>
      <c r="EU327" s="1744"/>
      <c r="EV327" s="1744"/>
      <c r="EW327" s="1744"/>
      <c r="EX327" s="1744"/>
      <c r="EY327" s="1744"/>
      <c r="EZ327" s="1744"/>
      <c r="FA327" s="1744"/>
      <c r="FB327" s="1744"/>
      <c r="FC327" s="1744"/>
      <c r="FD327" s="1744"/>
      <c r="FE327" s="1744"/>
      <c r="FF327" s="1744"/>
    </row>
    <row r="329" spans="6:162" s="1746" customFormat="1" ht="15.75" customHeight="1">
      <c r="F329" s="1744"/>
      <c r="G329" s="1744"/>
      <c r="H329" s="1744"/>
      <c r="I329" s="1744"/>
      <c r="J329" s="1744"/>
      <c r="K329" s="1744"/>
      <c r="L329" s="1744"/>
      <c r="M329" s="1744"/>
      <c r="N329" s="1744"/>
      <c r="O329" s="1744"/>
      <c r="P329" s="1744"/>
      <c r="Q329" s="1744"/>
      <c r="R329" s="1744"/>
      <c r="S329" s="1744"/>
      <c r="T329" s="1744"/>
      <c r="U329" s="1744"/>
      <c r="V329" s="1744"/>
      <c r="W329" s="1744"/>
      <c r="X329" s="1744"/>
      <c r="Y329" s="1744"/>
      <c r="AA329" s="1744"/>
      <c r="AC329" s="1744"/>
      <c r="AD329" s="1744"/>
      <c r="AE329" s="1744"/>
      <c r="AF329" s="1744"/>
      <c r="AG329" s="1744"/>
      <c r="AH329" s="1745"/>
      <c r="AI329" s="1745"/>
      <c r="AJ329" s="1744"/>
      <c r="AK329" s="1744"/>
      <c r="AL329" s="1744"/>
      <c r="AM329" s="1744"/>
      <c r="AN329" s="1744"/>
      <c r="AO329" s="1744"/>
      <c r="AP329" s="1744"/>
      <c r="AQ329" s="1744"/>
      <c r="AR329" s="1744"/>
      <c r="AS329" s="1744"/>
      <c r="AT329" s="1744"/>
      <c r="AU329" s="1744"/>
      <c r="AV329" s="1744"/>
      <c r="AW329" s="1744"/>
      <c r="AX329" s="1744"/>
      <c r="AY329" s="1744"/>
      <c r="AZ329" s="1744"/>
      <c r="BA329" s="1744"/>
      <c r="BB329" s="1744"/>
      <c r="BC329" s="1744"/>
      <c r="BD329" s="1744"/>
      <c r="BE329" s="1744"/>
      <c r="BF329" s="1744"/>
      <c r="BG329" s="1744"/>
      <c r="BH329" s="1744"/>
      <c r="BI329" s="1744"/>
      <c r="BJ329" s="1744"/>
      <c r="BK329" s="1744"/>
      <c r="BL329" s="1744"/>
      <c r="BM329" s="1744"/>
      <c r="BN329" s="1744"/>
      <c r="BO329" s="1744"/>
      <c r="BP329" s="1744"/>
      <c r="BQ329" s="1744"/>
      <c r="BR329" s="1744"/>
      <c r="BS329" s="1744"/>
      <c r="BT329" s="1744"/>
      <c r="BU329" s="1744"/>
      <c r="BV329" s="1744"/>
      <c r="BW329" s="1744"/>
      <c r="BX329" s="1744"/>
      <c r="BY329" s="1744"/>
      <c r="BZ329" s="1744"/>
      <c r="CA329" s="1744"/>
      <c r="CB329" s="1744"/>
      <c r="CC329" s="1744"/>
      <c r="CD329" s="1744"/>
      <c r="CE329" s="1744"/>
      <c r="CF329" s="1744"/>
      <c r="CG329" s="1744"/>
      <c r="CH329" s="1744"/>
      <c r="CI329" s="1744"/>
      <c r="CJ329" s="1744"/>
      <c r="CK329" s="1744"/>
      <c r="CL329" s="1744"/>
      <c r="CM329" s="1744"/>
      <c r="CN329" s="1744"/>
      <c r="CO329" s="1744"/>
      <c r="CP329" s="1744"/>
      <c r="CQ329" s="1744"/>
      <c r="CR329" s="1744"/>
      <c r="CS329" s="1744"/>
      <c r="CT329" s="1744"/>
      <c r="CU329" s="1744"/>
      <c r="CV329" s="1744"/>
      <c r="CW329" s="1744"/>
      <c r="CX329" s="1744"/>
      <c r="CY329" s="1744"/>
      <c r="CZ329" s="1744"/>
      <c r="DA329" s="1744"/>
      <c r="DB329" s="1744"/>
      <c r="DC329" s="1744"/>
      <c r="DD329" s="1744"/>
      <c r="DE329" s="1744"/>
      <c r="DF329" s="1744"/>
      <c r="DG329" s="1744"/>
      <c r="DH329" s="1744"/>
      <c r="DI329" s="1744"/>
      <c r="DJ329" s="1744"/>
      <c r="DK329" s="1744"/>
      <c r="DL329" s="1744"/>
      <c r="DM329" s="1744"/>
      <c r="DN329" s="1744"/>
      <c r="DO329" s="1744"/>
      <c r="DP329" s="1744"/>
      <c r="DQ329" s="1744"/>
      <c r="DR329" s="1744"/>
      <c r="DS329" s="1744"/>
      <c r="DT329" s="1744"/>
      <c r="DU329" s="1744"/>
      <c r="DV329" s="1744"/>
      <c r="DW329" s="1744"/>
      <c r="DX329" s="1744"/>
      <c r="DY329" s="1744"/>
      <c r="DZ329" s="1744"/>
      <c r="EA329" s="1744"/>
      <c r="EB329" s="1744"/>
      <c r="EC329" s="1744"/>
      <c r="ED329" s="1744"/>
      <c r="EE329" s="1744"/>
      <c r="EF329" s="1744"/>
      <c r="EG329" s="1744"/>
      <c r="EH329" s="1744"/>
      <c r="EI329" s="1744"/>
      <c r="EJ329" s="1744"/>
      <c r="EK329" s="1744"/>
      <c r="EL329" s="1744"/>
      <c r="EM329" s="1744"/>
      <c r="EN329" s="1744"/>
      <c r="EO329" s="1744"/>
      <c r="EP329" s="1744"/>
      <c r="EQ329" s="1744"/>
      <c r="ER329" s="1744"/>
      <c r="ES329" s="1744"/>
      <c r="ET329" s="1744"/>
      <c r="EU329" s="1744"/>
      <c r="EV329" s="1744"/>
      <c r="EW329" s="1744"/>
      <c r="EX329" s="1744"/>
      <c r="EY329" s="1744"/>
      <c r="EZ329" s="1744"/>
      <c r="FA329" s="1744"/>
      <c r="FB329" s="1744"/>
      <c r="FC329" s="1744"/>
      <c r="FD329" s="1744"/>
      <c r="FE329" s="1744"/>
      <c r="FF329" s="1744"/>
    </row>
    <row r="331" spans="6:162" s="1746" customFormat="1" ht="15.75" customHeight="1">
      <c r="F331" s="1744"/>
      <c r="G331" s="1744"/>
      <c r="H331" s="1744"/>
      <c r="I331" s="1744"/>
      <c r="J331" s="1744"/>
      <c r="K331" s="1744"/>
      <c r="L331" s="1744"/>
      <c r="M331" s="1744"/>
      <c r="N331" s="1744"/>
      <c r="O331" s="1744"/>
      <c r="P331" s="1744"/>
      <c r="Q331" s="1744"/>
      <c r="R331" s="1744"/>
      <c r="S331" s="1744"/>
      <c r="T331" s="1744"/>
      <c r="U331" s="1744"/>
      <c r="V331" s="1744"/>
      <c r="W331" s="1744"/>
      <c r="X331" s="1744"/>
      <c r="Y331" s="1744"/>
      <c r="AA331" s="1744"/>
      <c r="AC331" s="1744"/>
      <c r="AD331" s="1744"/>
      <c r="AE331" s="1744"/>
      <c r="AF331" s="1744"/>
      <c r="AG331" s="1744"/>
      <c r="AH331" s="1745"/>
      <c r="AI331" s="1745"/>
      <c r="AJ331" s="1744"/>
      <c r="AK331" s="1744"/>
      <c r="AL331" s="1744"/>
      <c r="AM331" s="1744"/>
      <c r="AN331" s="1744"/>
      <c r="AO331" s="1744"/>
      <c r="AP331" s="1744"/>
      <c r="AQ331" s="1744"/>
      <c r="AR331" s="1744"/>
      <c r="AS331" s="1744"/>
      <c r="AT331" s="1744"/>
      <c r="AU331" s="1744"/>
      <c r="AV331" s="1744"/>
      <c r="AW331" s="1744"/>
      <c r="AX331" s="1744"/>
      <c r="AY331" s="1744"/>
      <c r="AZ331" s="1744"/>
      <c r="BA331" s="1744"/>
      <c r="BB331" s="1744"/>
      <c r="BC331" s="1744"/>
      <c r="BD331" s="1744"/>
      <c r="BE331" s="1744"/>
      <c r="BF331" s="1744"/>
      <c r="BG331" s="1744"/>
      <c r="BH331" s="1744"/>
      <c r="BI331" s="1744"/>
      <c r="BJ331" s="1744"/>
      <c r="BK331" s="1744"/>
      <c r="BL331" s="1744"/>
      <c r="BM331" s="1744"/>
      <c r="BN331" s="1744"/>
      <c r="BO331" s="1744"/>
      <c r="BP331" s="1744"/>
      <c r="BQ331" s="1744"/>
      <c r="BR331" s="1744"/>
      <c r="BS331" s="1744"/>
      <c r="BT331" s="1744"/>
      <c r="BU331" s="1744"/>
      <c r="BV331" s="1744"/>
      <c r="BW331" s="1744"/>
      <c r="BX331" s="1744"/>
      <c r="BY331" s="1744"/>
      <c r="BZ331" s="1744"/>
      <c r="CA331" s="1744"/>
      <c r="CB331" s="1744"/>
      <c r="CC331" s="1744"/>
      <c r="CD331" s="1744"/>
      <c r="CE331" s="1744"/>
      <c r="CF331" s="1744"/>
      <c r="CG331" s="1744"/>
      <c r="CH331" s="1744"/>
      <c r="CI331" s="1744"/>
      <c r="CJ331" s="1744"/>
      <c r="CK331" s="1744"/>
      <c r="CL331" s="1744"/>
      <c r="CM331" s="1744"/>
      <c r="CN331" s="1744"/>
      <c r="CO331" s="1744"/>
      <c r="CP331" s="1744"/>
      <c r="CQ331" s="1744"/>
      <c r="CR331" s="1744"/>
      <c r="CS331" s="1744"/>
      <c r="CT331" s="1744"/>
      <c r="CU331" s="1744"/>
      <c r="CV331" s="1744"/>
      <c r="CW331" s="1744"/>
      <c r="CX331" s="1744"/>
      <c r="CY331" s="1744"/>
      <c r="CZ331" s="1744"/>
      <c r="DA331" s="1744"/>
      <c r="DB331" s="1744"/>
      <c r="DC331" s="1744"/>
      <c r="DD331" s="1744"/>
      <c r="DE331" s="1744"/>
      <c r="DF331" s="1744"/>
      <c r="DG331" s="1744"/>
      <c r="DH331" s="1744"/>
      <c r="DI331" s="1744"/>
      <c r="DJ331" s="1744"/>
      <c r="DK331" s="1744"/>
      <c r="DL331" s="1744"/>
      <c r="DM331" s="1744"/>
      <c r="DN331" s="1744"/>
      <c r="DO331" s="1744"/>
      <c r="DP331" s="1744"/>
      <c r="DQ331" s="1744"/>
      <c r="DR331" s="1744"/>
      <c r="DS331" s="1744"/>
      <c r="DT331" s="1744"/>
      <c r="DU331" s="1744"/>
      <c r="DV331" s="1744"/>
      <c r="DW331" s="1744"/>
      <c r="DX331" s="1744"/>
      <c r="DY331" s="1744"/>
      <c r="DZ331" s="1744"/>
      <c r="EA331" s="1744"/>
      <c r="EB331" s="1744"/>
      <c r="EC331" s="1744"/>
      <c r="ED331" s="1744"/>
      <c r="EE331" s="1744"/>
      <c r="EF331" s="1744"/>
      <c r="EG331" s="1744"/>
      <c r="EH331" s="1744"/>
      <c r="EI331" s="1744"/>
      <c r="EJ331" s="1744"/>
      <c r="EK331" s="1744"/>
      <c r="EL331" s="1744"/>
      <c r="EM331" s="1744"/>
      <c r="EN331" s="1744"/>
      <c r="EO331" s="1744"/>
      <c r="EP331" s="1744"/>
      <c r="EQ331" s="1744"/>
      <c r="ER331" s="1744"/>
      <c r="ES331" s="1744"/>
      <c r="ET331" s="1744"/>
      <c r="EU331" s="1744"/>
      <c r="EV331" s="1744"/>
      <c r="EW331" s="1744"/>
      <c r="EX331" s="1744"/>
      <c r="EY331" s="1744"/>
      <c r="EZ331" s="1744"/>
      <c r="FA331" s="1744"/>
      <c r="FB331" s="1744"/>
      <c r="FC331" s="1744"/>
      <c r="FD331" s="1744"/>
      <c r="FE331" s="1744"/>
      <c r="FF331" s="1744"/>
    </row>
    <row r="333" spans="6:162" s="1746" customFormat="1" ht="15.75" customHeight="1">
      <c r="F333" s="1744"/>
      <c r="G333" s="1744"/>
      <c r="H333" s="1744"/>
      <c r="I333" s="1744"/>
      <c r="J333" s="1744"/>
      <c r="K333" s="1744"/>
      <c r="L333" s="1744"/>
      <c r="M333" s="1744"/>
      <c r="N333" s="1744"/>
      <c r="O333" s="1744"/>
      <c r="P333" s="1744"/>
      <c r="Q333" s="1744"/>
      <c r="R333" s="1744"/>
      <c r="S333" s="1744"/>
      <c r="T333" s="1744"/>
      <c r="U333" s="1744"/>
      <c r="V333" s="1744"/>
      <c r="W333" s="1744"/>
      <c r="X333" s="1744"/>
      <c r="Y333" s="1744"/>
      <c r="AA333" s="1744"/>
      <c r="AC333" s="1744"/>
      <c r="AD333" s="1744"/>
      <c r="AE333" s="1744"/>
      <c r="AF333" s="1744"/>
      <c r="AG333" s="1744"/>
      <c r="AH333" s="1745"/>
      <c r="AI333" s="1745"/>
      <c r="AJ333" s="1744"/>
      <c r="AK333" s="1744"/>
      <c r="AL333" s="1744"/>
      <c r="AM333" s="1744"/>
      <c r="AN333" s="1744"/>
      <c r="AO333" s="1744"/>
      <c r="AP333" s="1744"/>
      <c r="AQ333" s="1744"/>
      <c r="AR333" s="1744"/>
      <c r="AS333" s="1744"/>
      <c r="AT333" s="1744"/>
      <c r="AU333" s="1744"/>
      <c r="AV333" s="1744"/>
      <c r="AW333" s="1744"/>
      <c r="AX333" s="1744"/>
      <c r="AY333" s="1744"/>
      <c r="AZ333" s="1744"/>
      <c r="BA333" s="1744"/>
      <c r="BB333" s="1744"/>
      <c r="BC333" s="1744"/>
      <c r="BD333" s="1744"/>
      <c r="BE333" s="1744"/>
      <c r="BF333" s="1744"/>
      <c r="BG333" s="1744"/>
      <c r="BH333" s="1744"/>
      <c r="BI333" s="1744"/>
      <c r="BJ333" s="1744"/>
      <c r="BK333" s="1744"/>
      <c r="BL333" s="1744"/>
      <c r="BM333" s="1744"/>
      <c r="BN333" s="1744"/>
      <c r="BO333" s="1744"/>
      <c r="BP333" s="1744"/>
      <c r="BQ333" s="1744"/>
      <c r="BR333" s="1744"/>
      <c r="BS333" s="1744"/>
      <c r="BT333" s="1744"/>
      <c r="BU333" s="1744"/>
      <c r="BV333" s="1744"/>
      <c r="BW333" s="1744"/>
      <c r="BX333" s="1744"/>
      <c r="BY333" s="1744"/>
      <c r="BZ333" s="1744"/>
      <c r="CA333" s="1744"/>
      <c r="CB333" s="1744"/>
      <c r="CC333" s="1744"/>
      <c r="CD333" s="1744"/>
      <c r="CE333" s="1744"/>
      <c r="CF333" s="1744"/>
      <c r="CG333" s="1744"/>
      <c r="CH333" s="1744"/>
      <c r="CI333" s="1744"/>
      <c r="CJ333" s="1744"/>
      <c r="CK333" s="1744"/>
      <c r="CL333" s="1744"/>
      <c r="CM333" s="1744"/>
      <c r="CN333" s="1744"/>
      <c r="CO333" s="1744"/>
      <c r="CP333" s="1744"/>
      <c r="CQ333" s="1744"/>
      <c r="CR333" s="1744"/>
      <c r="CS333" s="1744"/>
      <c r="CT333" s="1744"/>
      <c r="CU333" s="1744"/>
      <c r="CV333" s="1744"/>
      <c r="CW333" s="1744"/>
      <c r="CX333" s="1744"/>
      <c r="CY333" s="1744"/>
      <c r="CZ333" s="1744"/>
      <c r="DA333" s="1744"/>
      <c r="DB333" s="1744"/>
      <c r="DC333" s="1744"/>
      <c r="DD333" s="1744"/>
      <c r="DE333" s="1744"/>
      <c r="DF333" s="1744"/>
      <c r="DG333" s="1744"/>
      <c r="DH333" s="1744"/>
      <c r="DI333" s="1744"/>
      <c r="DJ333" s="1744"/>
      <c r="DK333" s="1744"/>
      <c r="DL333" s="1744"/>
      <c r="DM333" s="1744"/>
      <c r="DN333" s="1744"/>
      <c r="DO333" s="1744"/>
      <c r="DP333" s="1744"/>
      <c r="DQ333" s="1744"/>
      <c r="DR333" s="1744"/>
      <c r="DS333" s="1744"/>
      <c r="DT333" s="1744"/>
      <c r="DU333" s="1744"/>
      <c r="DV333" s="1744"/>
      <c r="DW333" s="1744"/>
      <c r="DX333" s="1744"/>
      <c r="DY333" s="1744"/>
      <c r="DZ333" s="1744"/>
      <c r="EA333" s="1744"/>
      <c r="EB333" s="1744"/>
      <c r="EC333" s="1744"/>
      <c r="ED333" s="1744"/>
      <c r="EE333" s="1744"/>
      <c r="EF333" s="1744"/>
      <c r="EG333" s="1744"/>
      <c r="EH333" s="1744"/>
      <c r="EI333" s="1744"/>
      <c r="EJ333" s="1744"/>
      <c r="EK333" s="1744"/>
      <c r="EL333" s="1744"/>
      <c r="EM333" s="1744"/>
      <c r="EN333" s="1744"/>
      <c r="EO333" s="1744"/>
      <c r="EP333" s="1744"/>
      <c r="EQ333" s="1744"/>
      <c r="ER333" s="1744"/>
      <c r="ES333" s="1744"/>
      <c r="ET333" s="1744"/>
      <c r="EU333" s="1744"/>
      <c r="EV333" s="1744"/>
      <c r="EW333" s="1744"/>
      <c r="EX333" s="1744"/>
      <c r="EY333" s="1744"/>
      <c r="EZ333" s="1744"/>
      <c r="FA333" s="1744"/>
      <c r="FB333" s="1744"/>
      <c r="FC333" s="1744"/>
      <c r="FD333" s="1744"/>
      <c r="FE333" s="1744"/>
      <c r="FF333" s="1744"/>
    </row>
    <row r="335" spans="6:162" s="1746" customFormat="1" ht="15.75" customHeight="1">
      <c r="F335" s="1744"/>
      <c r="G335" s="1744"/>
      <c r="H335" s="1744"/>
      <c r="I335" s="1744"/>
      <c r="J335" s="1744"/>
      <c r="K335" s="1744"/>
      <c r="L335" s="1744"/>
      <c r="M335" s="1744"/>
      <c r="N335" s="1744"/>
      <c r="O335" s="1744"/>
      <c r="P335" s="1744"/>
      <c r="Q335" s="1744"/>
      <c r="R335" s="1744"/>
      <c r="S335" s="1744"/>
      <c r="T335" s="1744"/>
      <c r="U335" s="1744"/>
      <c r="V335" s="1744"/>
      <c r="W335" s="1744"/>
      <c r="X335" s="1744"/>
      <c r="Y335" s="1744"/>
      <c r="AA335" s="1744"/>
      <c r="AC335" s="1744"/>
      <c r="AD335" s="1744"/>
      <c r="AE335" s="1744"/>
      <c r="AF335" s="1744"/>
      <c r="AG335" s="1744"/>
      <c r="AH335" s="1745"/>
      <c r="AI335" s="1745"/>
      <c r="AJ335" s="1744"/>
      <c r="AK335" s="1744"/>
      <c r="AL335" s="1744"/>
      <c r="AM335" s="1744"/>
      <c r="AN335" s="1744"/>
      <c r="AO335" s="1744"/>
      <c r="AP335" s="1744"/>
      <c r="AQ335" s="1744"/>
      <c r="AR335" s="1744"/>
      <c r="AS335" s="1744"/>
      <c r="AT335" s="1744"/>
      <c r="AU335" s="1744"/>
      <c r="AV335" s="1744"/>
      <c r="AW335" s="1744"/>
      <c r="AX335" s="1744"/>
      <c r="AY335" s="1744"/>
      <c r="AZ335" s="1744"/>
      <c r="BA335" s="1744"/>
      <c r="BB335" s="1744"/>
      <c r="BC335" s="1744"/>
      <c r="BD335" s="1744"/>
      <c r="BE335" s="1744"/>
      <c r="BF335" s="1744"/>
      <c r="BG335" s="1744"/>
      <c r="BH335" s="1744"/>
      <c r="BI335" s="1744"/>
      <c r="BJ335" s="1744"/>
      <c r="BK335" s="1744"/>
      <c r="BL335" s="1744"/>
      <c r="BM335" s="1744"/>
      <c r="BN335" s="1744"/>
      <c r="BO335" s="1744"/>
      <c r="BP335" s="1744"/>
      <c r="BQ335" s="1744"/>
      <c r="BR335" s="1744"/>
      <c r="BS335" s="1744"/>
      <c r="BT335" s="1744"/>
      <c r="BU335" s="1744"/>
      <c r="BV335" s="1744"/>
      <c r="BW335" s="1744"/>
      <c r="BX335" s="1744"/>
      <c r="BY335" s="1744"/>
      <c r="BZ335" s="1744"/>
      <c r="CA335" s="1744"/>
      <c r="CB335" s="1744"/>
      <c r="CC335" s="1744"/>
      <c r="CD335" s="1744"/>
      <c r="CE335" s="1744"/>
      <c r="CF335" s="1744"/>
      <c r="CG335" s="1744"/>
      <c r="CH335" s="1744"/>
      <c r="CI335" s="1744"/>
      <c r="CJ335" s="1744"/>
      <c r="CK335" s="1744"/>
      <c r="CL335" s="1744"/>
      <c r="CM335" s="1744"/>
      <c r="CN335" s="1744"/>
      <c r="CO335" s="1744"/>
      <c r="CP335" s="1744"/>
      <c r="CQ335" s="1744"/>
      <c r="CR335" s="1744"/>
      <c r="CS335" s="1744"/>
      <c r="CT335" s="1744"/>
      <c r="CU335" s="1744"/>
      <c r="CV335" s="1744"/>
      <c r="CW335" s="1744"/>
      <c r="CX335" s="1744"/>
      <c r="CY335" s="1744"/>
      <c r="CZ335" s="1744"/>
      <c r="DA335" s="1744"/>
      <c r="DB335" s="1744"/>
      <c r="DC335" s="1744"/>
      <c r="DD335" s="1744"/>
      <c r="DE335" s="1744"/>
      <c r="DF335" s="1744"/>
      <c r="DG335" s="1744"/>
      <c r="DH335" s="1744"/>
      <c r="DI335" s="1744"/>
      <c r="DJ335" s="1744"/>
      <c r="DK335" s="1744"/>
      <c r="DL335" s="1744"/>
      <c r="DM335" s="1744"/>
      <c r="DN335" s="1744"/>
      <c r="DO335" s="1744"/>
      <c r="DP335" s="1744"/>
      <c r="DQ335" s="1744"/>
      <c r="DR335" s="1744"/>
      <c r="DS335" s="1744"/>
      <c r="DT335" s="1744"/>
      <c r="DU335" s="1744"/>
      <c r="DV335" s="1744"/>
      <c r="DW335" s="1744"/>
      <c r="DX335" s="1744"/>
      <c r="DY335" s="1744"/>
      <c r="DZ335" s="1744"/>
      <c r="EA335" s="1744"/>
      <c r="EB335" s="1744"/>
      <c r="EC335" s="1744"/>
      <c r="ED335" s="1744"/>
      <c r="EE335" s="1744"/>
      <c r="EF335" s="1744"/>
      <c r="EG335" s="1744"/>
      <c r="EH335" s="1744"/>
      <c r="EI335" s="1744"/>
      <c r="EJ335" s="1744"/>
      <c r="EK335" s="1744"/>
      <c r="EL335" s="1744"/>
      <c r="EM335" s="1744"/>
      <c r="EN335" s="1744"/>
      <c r="EO335" s="1744"/>
      <c r="EP335" s="1744"/>
      <c r="EQ335" s="1744"/>
      <c r="ER335" s="1744"/>
      <c r="ES335" s="1744"/>
      <c r="ET335" s="1744"/>
      <c r="EU335" s="1744"/>
      <c r="EV335" s="1744"/>
      <c r="EW335" s="1744"/>
      <c r="EX335" s="1744"/>
      <c r="EY335" s="1744"/>
      <c r="EZ335" s="1744"/>
      <c r="FA335" s="1744"/>
      <c r="FB335" s="1744"/>
      <c r="FC335" s="1744"/>
      <c r="FD335" s="1744"/>
      <c r="FE335" s="1744"/>
      <c r="FF335" s="1744"/>
    </row>
    <row r="337" spans="6:162" s="1746" customFormat="1" ht="15.75" customHeight="1">
      <c r="F337" s="1744"/>
      <c r="G337" s="1744"/>
      <c r="H337" s="1744"/>
      <c r="I337" s="1744"/>
      <c r="J337" s="1744"/>
      <c r="K337" s="1744"/>
      <c r="L337" s="1744"/>
      <c r="M337" s="1744"/>
      <c r="N337" s="1744"/>
      <c r="O337" s="1744"/>
      <c r="P337" s="1744"/>
      <c r="Q337" s="1744"/>
      <c r="R337" s="1744"/>
      <c r="S337" s="1744"/>
      <c r="T337" s="1744"/>
      <c r="U337" s="1744"/>
      <c r="V337" s="1744"/>
      <c r="W337" s="1744"/>
      <c r="X337" s="1744"/>
      <c r="Y337" s="1744"/>
      <c r="AA337" s="1744"/>
      <c r="AC337" s="1744"/>
      <c r="AD337" s="1744"/>
      <c r="AE337" s="1744"/>
      <c r="AF337" s="1744"/>
      <c r="AG337" s="1744"/>
      <c r="AH337" s="1745"/>
      <c r="AI337" s="1745"/>
      <c r="AJ337" s="1744"/>
      <c r="AK337" s="1744"/>
      <c r="AL337" s="1744"/>
      <c r="AM337" s="1744"/>
      <c r="AN337" s="1744"/>
      <c r="AO337" s="1744"/>
      <c r="AP337" s="1744"/>
      <c r="AQ337" s="1744"/>
      <c r="AR337" s="1744"/>
      <c r="AS337" s="1744"/>
      <c r="AT337" s="1744"/>
      <c r="AU337" s="1744"/>
      <c r="AV337" s="1744"/>
      <c r="AW337" s="1744"/>
      <c r="AX337" s="1744"/>
      <c r="AY337" s="1744"/>
      <c r="AZ337" s="1744"/>
      <c r="BA337" s="1744"/>
      <c r="BB337" s="1744"/>
      <c r="BC337" s="1744"/>
      <c r="BD337" s="1744"/>
      <c r="BE337" s="1744"/>
      <c r="BF337" s="1744"/>
      <c r="BG337" s="1744"/>
      <c r="BH337" s="1744"/>
      <c r="BI337" s="1744"/>
      <c r="BJ337" s="1744"/>
      <c r="BK337" s="1744"/>
      <c r="BL337" s="1744"/>
      <c r="BM337" s="1744"/>
      <c r="BN337" s="1744"/>
      <c r="BO337" s="1744"/>
      <c r="BP337" s="1744"/>
      <c r="BQ337" s="1744"/>
      <c r="BR337" s="1744"/>
      <c r="BS337" s="1744"/>
      <c r="BT337" s="1744"/>
      <c r="BU337" s="1744"/>
      <c r="BV337" s="1744"/>
      <c r="BW337" s="1744"/>
      <c r="BX337" s="1744"/>
      <c r="BY337" s="1744"/>
      <c r="BZ337" s="1744"/>
      <c r="CA337" s="1744"/>
      <c r="CB337" s="1744"/>
      <c r="CC337" s="1744"/>
      <c r="CD337" s="1744"/>
      <c r="CE337" s="1744"/>
      <c r="CF337" s="1744"/>
      <c r="CG337" s="1744"/>
      <c r="CH337" s="1744"/>
      <c r="CI337" s="1744"/>
      <c r="CJ337" s="1744"/>
      <c r="CK337" s="1744"/>
      <c r="CL337" s="1744"/>
      <c r="CM337" s="1744"/>
      <c r="CN337" s="1744"/>
      <c r="CO337" s="1744"/>
      <c r="CP337" s="1744"/>
      <c r="CQ337" s="1744"/>
      <c r="CR337" s="1744"/>
      <c r="CS337" s="1744"/>
      <c r="CT337" s="1744"/>
      <c r="CU337" s="1744"/>
      <c r="CV337" s="1744"/>
      <c r="CW337" s="1744"/>
      <c r="CX337" s="1744"/>
      <c r="CY337" s="1744"/>
      <c r="CZ337" s="1744"/>
      <c r="DA337" s="1744"/>
      <c r="DB337" s="1744"/>
      <c r="DC337" s="1744"/>
      <c r="DD337" s="1744"/>
      <c r="DE337" s="1744"/>
      <c r="DF337" s="1744"/>
      <c r="DG337" s="1744"/>
      <c r="DH337" s="1744"/>
      <c r="DI337" s="1744"/>
      <c r="DJ337" s="1744"/>
      <c r="DK337" s="1744"/>
      <c r="DL337" s="1744"/>
      <c r="DM337" s="1744"/>
      <c r="DN337" s="1744"/>
      <c r="DO337" s="1744"/>
      <c r="DP337" s="1744"/>
      <c r="DQ337" s="1744"/>
      <c r="DR337" s="1744"/>
      <c r="DS337" s="1744"/>
      <c r="DT337" s="1744"/>
      <c r="DU337" s="1744"/>
      <c r="DV337" s="1744"/>
      <c r="DW337" s="1744"/>
      <c r="DX337" s="1744"/>
      <c r="DY337" s="1744"/>
      <c r="DZ337" s="1744"/>
      <c r="EA337" s="1744"/>
      <c r="EB337" s="1744"/>
      <c r="EC337" s="1744"/>
      <c r="ED337" s="1744"/>
      <c r="EE337" s="1744"/>
      <c r="EF337" s="1744"/>
      <c r="EG337" s="1744"/>
      <c r="EH337" s="1744"/>
      <c r="EI337" s="1744"/>
      <c r="EJ337" s="1744"/>
      <c r="EK337" s="1744"/>
      <c r="EL337" s="1744"/>
      <c r="EM337" s="1744"/>
      <c r="EN337" s="1744"/>
      <c r="EO337" s="1744"/>
      <c r="EP337" s="1744"/>
      <c r="EQ337" s="1744"/>
      <c r="ER337" s="1744"/>
      <c r="ES337" s="1744"/>
      <c r="ET337" s="1744"/>
      <c r="EU337" s="1744"/>
      <c r="EV337" s="1744"/>
      <c r="EW337" s="1744"/>
      <c r="EX337" s="1744"/>
      <c r="EY337" s="1744"/>
      <c r="EZ337" s="1744"/>
      <c r="FA337" s="1744"/>
      <c r="FB337" s="1744"/>
      <c r="FC337" s="1744"/>
      <c r="FD337" s="1744"/>
      <c r="FE337" s="1744"/>
      <c r="FF337" s="1744"/>
    </row>
    <row r="339" spans="6:162" s="1746" customFormat="1" ht="15.75" customHeight="1">
      <c r="F339" s="1744"/>
      <c r="G339" s="1744"/>
      <c r="H339" s="1744"/>
      <c r="I339" s="1744"/>
      <c r="J339" s="1744"/>
      <c r="K339" s="1744"/>
      <c r="L339" s="1744"/>
      <c r="M339" s="1744"/>
      <c r="N339" s="1744"/>
      <c r="O339" s="1744"/>
      <c r="P339" s="1744"/>
      <c r="Q339" s="1744"/>
      <c r="R339" s="1744"/>
      <c r="S339" s="1744"/>
      <c r="T339" s="1744"/>
      <c r="U339" s="1744"/>
      <c r="V339" s="1744"/>
      <c r="W339" s="1744"/>
      <c r="X339" s="1744"/>
      <c r="Y339" s="1744"/>
      <c r="AA339" s="1744"/>
      <c r="AC339" s="1744"/>
      <c r="AD339" s="1744"/>
      <c r="AE339" s="1744"/>
      <c r="AF339" s="1744"/>
      <c r="AG339" s="1744"/>
      <c r="AH339" s="1745"/>
      <c r="AI339" s="1745"/>
      <c r="AJ339" s="1744"/>
      <c r="AK339" s="1744"/>
      <c r="AL339" s="1744"/>
      <c r="AM339" s="1744"/>
      <c r="AN339" s="1744"/>
      <c r="AO339" s="1744"/>
      <c r="AP339" s="1744"/>
      <c r="AQ339" s="1744"/>
      <c r="AR339" s="1744"/>
      <c r="AS339" s="1744"/>
      <c r="AT339" s="1744"/>
      <c r="AU339" s="1744"/>
      <c r="AV339" s="1744"/>
      <c r="AW339" s="1744"/>
      <c r="AX339" s="1744"/>
      <c r="AY339" s="1744"/>
      <c r="AZ339" s="1744"/>
      <c r="BA339" s="1744"/>
      <c r="BB339" s="1744"/>
      <c r="BC339" s="1744"/>
      <c r="BD339" s="1744"/>
      <c r="BE339" s="1744"/>
      <c r="BF339" s="1744"/>
      <c r="BG339" s="1744"/>
      <c r="BH339" s="1744"/>
      <c r="BI339" s="1744"/>
      <c r="BJ339" s="1744"/>
      <c r="BK339" s="1744"/>
      <c r="BL339" s="1744"/>
      <c r="BM339" s="1744"/>
      <c r="BN339" s="1744"/>
      <c r="BO339" s="1744"/>
      <c r="BP339" s="1744"/>
      <c r="BQ339" s="1744"/>
      <c r="BR339" s="1744"/>
      <c r="BS339" s="1744"/>
      <c r="BT339" s="1744"/>
      <c r="BU339" s="1744"/>
      <c r="BV339" s="1744"/>
      <c r="BW339" s="1744"/>
      <c r="BX339" s="1744"/>
      <c r="BY339" s="1744"/>
      <c r="BZ339" s="1744"/>
      <c r="CA339" s="1744"/>
      <c r="CB339" s="1744"/>
      <c r="CC339" s="1744"/>
      <c r="CD339" s="1744"/>
      <c r="CE339" s="1744"/>
      <c r="CF339" s="1744"/>
      <c r="CG339" s="1744"/>
      <c r="CH339" s="1744"/>
      <c r="CI339" s="1744"/>
      <c r="CJ339" s="1744"/>
      <c r="CK339" s="1744"/>
      <c r="CL339" s="1744"/>
      <c r="CM339" s="1744"/>
      <c r="CN339" s="1744"/>
      <c r="CO339" s="1744"/>
      <c r="CP339" s="1744"/>
      <c r="CQ339" s="1744"/>
      <c r="CR339" s="1744"/>
      <c r="CS339" s="1744"/>
      <c r="CT339" s="1744"/>
      <c r="CU339" s="1744"/>
      <c r="CV339" s="1744"/>
      <c r="CW339" s="1744"/>
      <c r="CX339" s="1744"/>
      <c r="CY339" s="1744"/>
      <c r="CZ339" s="1744"/>
      <c r="DA339" s="1744"/>
      <c r="DB339" s="1744"/>
      <c r="DC339" s="1744"/>
      <c r="DD339" s="1744"/>
      <c r="DE339" s="1744"/>
      <c r="DF339" s="1744"/>
      <c r="DG339" s="1744"/>
      <c r="DH339" s="1744"/>
      <c r="DI339" s="1744"/>
      <c r="DJ339" s="1744"/>
      <c r="DK339" s="1744"/>
      <c r="DL339" s="1744"/>
      <c r="DM339" s="1744"/>
      <c r="DN339" s="1744"/>
      <c r="DO339" s="1744"/>
      <c r="DP339" s="1744"/>
      <c r="DQ339" s="1744"/>
      <c r="DR339" s="1744"/>
      <c r="DS339" s="1744"/>
      <c r="DT339" s="1744"/>
      <c r="DU339" s="1744"/>
      <c r="DV339" s="1744"/>
      <c r="DW339" s="1744"/>
      <c r="DX339" s="1744"/>
      <c r="DY339" s="1744"/>
      <c r="DZ339" s="1744"/>
      <c r="EA339" s="1744"/>
      <c r="EB339" s="1744"/>
      <c r="EC339" s="1744"/>
      <c r="ED339" s="1744"/>
      <c r="EE339" s="1744"/>
      <c r="EF339" s="1744"/>
      <c r="EG339" s="1744"/>
      <c r="EH339" s="1744"/>
      <c r="EI339" s="1744"/>
      <c r="EJ339" s="1744"/>
      <c r="EK339" s="1744"/>
      <c r="EL339" s="1744"/>
      <c r="EM339" s="1744"/>
      <c r="EN339" s="1744"/>
      <c r="EO339" s="1744"/>
      <c r="EP339" s="1744"/>
      <c r="EQ339" s="1744"/>
      <c r="ER339" s="1744"/>
      <c r="ES339" s="1744"/>
      <c r="ET339" s="1744"/>
      <c r="EU339" s="1744"/>
      <c r="EV339" s="1744"/>
      <c r="EW339" s="1744"/>
      <c r="EX339" s="1744"/>
      <c r="EY339" s="1744"/>
      <c r="EZ339" s="1744"/>
      <c r="FA339" s="1744"/>
      <c r="FB339" s="1744"/>
      <c r="FC339" s="1744"/>
      <c r="FD339" s="1744"/>
      <c r="FE339" s="1744"/>
      <c r="FF339" s="1744"/>
    </row>
    <row r="341" spans="6:162" s="1746" customFormat="1" ht="15.75" customHeight="1">
      <c r="F341" s="1744"/>
      <c r="G341" s="1744"/>
      <c r="H341" s="1744"/>
      <c r="I341" s="1744"/>
      <c r="J341" s="1744"/>
      <c r="K341" s="1744"/>
      <c r="L341" s="1744"/>
      <c r="M341" s="1744"/>
      <c r="N341" s="1744"/>
      <c r="O341" s="1744"/>
      <c r="P341" s="1744"/>
      <c r="Q341" s="1744"/>
      <c r="R341" s="1744"/>
      <c r="S341" s="1744"/>
      <c r="T341" s="1744"/>
      <c r="U341" s="1744"/>
      <c r="V341" s="1744"/>
      <c r="W341" s="1744"/>
      <c r="X341" s="1744"/>
      <c r="Y341" s="1744"/>
      <c r="AA341" s="1744"/>
      <c r="AC341" s="1744"/>
      <c r="AD341" s="1744"/>
      <c r="AE341" s="1744"/>
      <c r="AF341" s="1744"/>
      <c r="AG341" s="1744"/>
      <c r="AH341" s="1745"/>
      <c r="AI341" s="1745"/>
      <c r="AJ341" s="1744"/>
      <c r="AK341" s="1744"/>
      <c r="AL341" s="1744"/>
      <c r="AM341" s="1744"/>
      <c r="AN341" s="1744"/>
      <c r="AO341" s="1744"/>
      <c r="AP341" s="1744"/>
      <c r="AQ341" s="1744"/>
      <c r="AR341" s="1744"/>
      <c r="AS341" s="1744"/>
      <c r="AT341" s="1744"/>
      <c r="AU341" s="1744"/>
      <c r="AV341" s="1744"/>
      <c r="AW341" s="1744"/>
      <c r="AX341" s="1744"/>
      <c r="AY341" s="1744"/>
      <c r="AZ341" s="1744"/>
      <c r="BA341" s="1744"/>
      <c r="BB341" s="1744"/>
      <c r="BC341" s="1744"/>
      <c r="BD341" s="1744"/>
      <c r="BE341" s="1744"/>
      <c r="BF341" s="1744"/>
      <c r="BG341" s="1744"/>
      <c r="BH341" s="1744"/>
      <c r="BI341" s="1744"/>
      <c r="BJ341" s="1744"/>
      <c r="BK341" s="1744"/>
      <c r="BL341" s="1744"/>
      <c r="BM341" s="1744"/>
      <c r="BN341" s="1744"/>
      <c r="BO341" s="1744"/>
      <c r="BP341" s="1744"/>
      <c r="BQ341" s="1744"/>
      <c r="BR341" s="1744"/>
      <c r="BS341" s="1744"/>
      <c r="BT341" s="1744"/>
      <c r="BU341" s="1744"/>
      <c r="BV341" s="1744"/>
      <c r="BW341" s="1744"/>
      <c r="BX341" s="1744"/>
      <c r="BY341" s="1744"/>
      <c r="BZ341" s="1744"/>
      <c r="CA341" s="1744"/>
      <c r="CB341" s="1744"/>
      <c r="CC341" s="1744"/>
      <c r="CD341" s="1744"/>
      <c r="CE341" s="1744"/>
      <c r="CF341" s="1744"/>
      <c r="CG341" s="1744"/>
      <c r="CH341" s="1744"/>
      <c r="CI341" s="1744"/>
      <c r="CJ341" s="1744"/>
      <c r="CK341" s="1744"/>
      <c r="CL341" s="1744"/>
      <c r="CM341" s="1744"/>
      <c r="CN341" s="1744"/>
      <c r="CO341" s="1744"/>
      <c r="CP341" s="1744"/>
      <c r="CQ341" s="1744"/>
      <c r="CR341" s="1744"/>
      <c r="CS341" s="1744"/>
      <c r="CT341" s="1744"/>
      <c r="CU341" s="1744"/>
      <c r="CV341" s="1744"/>
      <c r="CW341" s="1744"/>
      <c r="CX341" s="1744"/>
      <c r="CY341" s="1744"/>
      <c r="CZ341" s="1744"/>
      <c r="DA341" s="1744"/>
      <c r="DB341" s="1744"/>
      <c r="DC341" s="1744"/>
      <c r="DD341" s="1744"/>
      <c r="DE341" s="1744"/>
      <c r="DF341" s="1744"/>
      <c r="DG341" s="1744"/>
      <c r="DH341" s="1744"/>
      <c r="DI341" s="1744"/>
      <c r="DJ341" s="1744"/>
      <c r="DK341" s="1744"/>
      <c r="DL341" s="1744"/>
      <c r="DM341" s="1744"/>
      <c r="DN341" s="1744"/>
      <c r="DO341" s="1744"/>
      <c r="DP341" s="1744"/>
      <c r="DQ341" s="1744"/>
      <c r="DR341" s="1744"/>
      <c r="DS341" s="1744"/>
      <c r="DT341" s="1744"/>
      <c r="DU341" s="1744"/>
      <c r="DV341" s="1744"/>
      <c r="DW341" s="1744"/>
      <c r="DX341" s="1744"/>
      <c r="DY341" s="1744"/>
      <c r="DZ341" s="1744"/>
      <c r="EA341" s="1744"/>
      <c r="EB341" s="1744"/>
      <c r="EC341" s="1744"/>
      <c r="ED341" s="1744"/>
      <c r="EE341" s="1744"/>
      <c r="EF341" s="1744"/>
      <c r="EG341" s="1744"/>
      <c r="EH341" s="1744"/>
      <c r="EI341" s="1744"/>
      <c r="EJ341" s="1744"/>
      <c r="EK341" s="1744"/>
      <c r="EL341" s="1744"/>
      <c r="EM341" s="1744"/>
      <c r="EN341" s="1744"/>
      <c r="EO341" s="1744"/>
      <c r="EP341" s="1744"/>
      <c r="EQ341" s="1744"/>
      <c r="ER341" s="1744"/>
      <c r="ES341" s="1744"/>
      <c r="ET341" s="1744"/>
      <c r="EU341" s="1744"/>
      <c r="EV341" s="1744"/>
      <c r="EW341" s="1744"/>
      <c r="EX341" s="1744"/>
      <c r="EY341" s="1744"/>
      <c r="EZ341" s="1744"/>
      <c r="FA341" s="1744"/>
      <c r="FB341" s="1744"/>
      <c r="FC341" s="1744"/>
      <c r="FD341" s="1744"/>
      <c r="FE341" s="1744"/>
      <c r="FF341" s="1744"/>
    </row>
    <row r="343" spans="6:162" s="1746" customFormat="1" ht="15.75" customHeight="1">
      <c r="F343" s="1744"/>
      <c r="G343" s="1744"/>
      <c r="H343" s="1744"/>
      <c r="I343" s="1744"/>
      <c r="J343" s="1744"/>
      <c r="K343" s="1744"/>
      <c r="L343" s="1744"/>
      <c r="M343" s="1744"/>
      <c r="N343" s="1744"/>
      <c r="O343" s="1744"/>
      <c r="P343" s="1744"/>
      <c r="Q343" s="1744"/>
      <c r="R343" s="1744"/>
      <c r="S343" s="1744"/>
      <c r="T343" s="1744"/>
      <c r="U343" s="1744"/>
      <c r="V343" s="1744"/>
      <c r="W343" s="1744"/>
      <c r="X343" s="1744"/>
      <c r="Y343" s="1744"/>
      <c r="AA343" s="1744"/>
      <c r="AC343" s="1744"/>
      <c r="AD343" s="1744"/>
      <c r="AE343" s="1744"/>
      <c r="AF343" s="1744"/>
      <c r="AG343" s="1744"/>
      <c r="AH343" s="1745"/>
      <c r="AI343" s="1745"/>
      <c r="AJ343" s="1744"/>
      <c r="AK343" s="1744"/>
      <c r="AL343" s="1744"/>
      <c r="AM343" s="1744"/>
      <c r="AN343" s="1744"/>
      <c r="AO343" s="1744"/>
      <c r="AP343" s="1744"/>
      <c r="AQ343" s="1744"/>
      <c r="AR343" s="1744"/>
      <c r="AS343" s="1744"/>
      <c r="AT343" s="1744"/>
      <c r="AU343" s="1744"/>
      <c r="AV343" s="1744"/>
      <c r="AW343" s="1744"/>
      <c r="AX343" s="1744"/>
      <c r="AY343" s="1744"/>
      <c r="AZ343" s="1744"/>
      <c r="BA343" s="1744"/>
      <c r="BB343" s="1744"/>
      <c r="BC343" s="1744"/>
      <c r="BD343" s="1744"/>
      <c r="BE343" s="1744"/>
      <c r="BF343" s="1744"/>
      <c r="BG343" s="1744"/>
      <c r="BH343" s="1744"/>
      <c r="BI343" s="1744"/>
      <c r="BJ343" s="1744"/>
      <c r="BK343" s="1744"/>
      <c r="BL343" s="1744"/>
      <c r="BM343" s="1744"/>
      <c r="BN343" s="1744"/>
      <c r="BO343" s="1744"/>
      <c r="BP343" s="1744"/>
      <c r="BQ343" s="1744"/>
      <c r="BR343" s="1744"/>
      <c r="BS343" s="1744"/>
      <c r="BT343" s="1744"/>
      <c r="BU343" s="1744"/>
      <c r="BV343" s="1744"/>
      <c r="BW343" s="1744"/>
      <c r="BX343" s="1744"/>
      <c r="BY343" s="1744"/>
      <c r="BZ343" s="1744"/>
      <c r="CA343" s="1744"/>
      <c r="CB343" s="1744"/>
      <c r="CC343" s="1744"/>
      <c r="CD343" s="1744"/>
      <c r="CE343" s="1744"/>
      <c r="CF343" s="1744"/>
      <c r="CG343" s="1744"/>
      <c r="CH343" s="1744"/>
      <c r="CI343" s="1744"/>
      <c r="CJ343" s="1744"/>
      <c r="CK343" s="1744"/>
      <c r="CL343" s="1744"/>
      <c r="CM343" s="1744"/>
      <c r="CN343" s="1744"/>
      <c r="CO343" s="1744"/>
      <c r="CP343" s="1744"/>
      <c r="CQ343" s="1744"/>
      <c r="CR343" s="1744"/>
      <c r="CS343" s="1744"/>
      <c r="CT343" s="1744"/>
      <c r="CU343" s="1744"/>
      <c r="CV343" s="1744"/>
      <c r="CW343" s="1744"/>
      <c r="CX343" s="1744"/>
      <c r="CY343" s="1744"/>
      <c r="CZ343" s="1744"/>
      <c r="DA343" s="1744"/>
      <c r="DB343" s="1744"/>
      <c r="DC343" s="1744"/>
      <c r="DD343" s="1744"/>
      <c r="DE343" s="1744"/>
      <c r="DF343" s="1744"/>
      <c r="DG343" s="1744"/>
      <c r="DH343" s="1744"/>
      <c r="DI343" s="1744"/>
      <c r="DJ343" s="1744"/>
      <c r="DK343" s="1744"/>
      <c r="DL343" s="1744"/>
      <c r="DM343" s="1744"/>
      <c r="DN343" s="1744"/>
      <c r="DO343" s="1744"/>
      <c r="DP343" s="1744"/>
      <c r="DQ343" s="1744"/>
      <c r="DR343" s="1744"/>
      <c r="DS343" s="1744"/>
      <c r="DT343" s="1744"/>
      <c r="DU343" s="1744"/>
      <c r="DV343" s="1744"/>
      <c r="DW343" s="1744"/>
      <c r="DX343" s="1744"/>
      <c r="DY343" s="1744"/>
      <c r="DZ343" s="1744"/>
      <c r="EA343" s="1744"/>
      <c r="EB343" s="1744"/>
      <c r="EC343" s="1744"/>
      <c r="ED343" s="1744"/>
      <c r="EE343" s="1744"/>
      <c r="EF343" s="1744"/>
      <c r="EG343" s="1744"/>
      <c r="EH343" s="1744"/>
      <c r="EI343" s="1744"/>
      <c r="EJ343" s="1744"/>
      <c r="EK343" s="1744"/>
      <c r="EL343" s="1744"/>
      <c r="EM343" s="1744"/>
      <c r="EN343" s="1744"/>
      <c r="EO343" s="1744"/>
      <c r="EP343" s="1744"/>
      <c r="EQ343" s="1744"/>
      <c r="ER343" s="1744"/>
      <c r="ES343" s="1744"/>
      <c r="ET343" s="1744"/>
      <c r="EU343" s="1744"/>
      <c r="EV343" s="1744"/>
      <c r="EW343" s="1744"/>
      <c r="EX343" s="1744"/>
      <c r="EY343" s="1744"/>
      <c r="EZ343" s="1744"/>
      <c r="FA343" s="1744"/>
      <c r="FB343" s="1744"/>
      <c r="FC343" s="1744"/>
      <c r="FD343" s="1744"/>
      <c r="FE343" s="1744"/>
      <c r="FF343" s="1744"/>
    </row>
    <row r="345" spans="6:162" s="1746" customFormat="1" ht="15.75" customHeight="1">
      <c r="F345" s="1744"/>
      <c r="G345" s="1744"/>
      <c r="H345" s="1744"/>
      <c r="I345" s="1744"/>
      <c r="J345" s="1744"/>
      <c r="K345" s="1744"/>
      <c r="L345" s="1744"/>
      <c r="M345" s="1744"/>
      <c r="N345" s="1744"/>
      <c r="O345" s="1744"/>
      <c r="P345" s="1744"/>
      <c r="Q345" s="1744"/>
      <c r="R345" s="1744"/>
      <c r="S345" s="1744"/>
      <c r="T345" s="1744"/>
      <c r="U345" s="1744"/>
      <c r="V345" s="1744"/>
      <c r="W345" s="1744"/>
      <c r="X345" s="1744"/>
      <c r="Y345" s="1744"/>
      <c r="AA345" s="1744"/>
      <c r="AC345" s="1744"/>
      <c r="AD345" s="1744"/>
      <c r="AE345" s="1744"/>
      <c r="AF345" s="1744"/>
      <c r="AG345" s="1744"/>
      <c r="AH345" s="1745"/>
      <c r="AI345" s="1745"/>
      <c r="AJ345" s="1744"/>
      <c r="AK345" s="1744"/>
      <c r="AL345" s="1744"/>
      <c r="AM345" s="1744"/>
      <c r="AN345" s="1744"/>
      <c r="AO345" s="1744"/>
      <c r="AP345" s="1744"/>
      <c r="AQ345" s="1744"/>
      <c r="AR345" s="1744"/>
      <c r="AS345" s="1744"/>
      <c r="AT345" s="1744"/>
      <c r="AU345" s="1744"/>
      <c r="AV345" s="1744"/>
      <c r="AW345" s="1744"/>
      <c r="AX345" s="1744"/>
      <c r="AY345" s="1744"/>
      <c r="AZ345" s="1744"/>
      <c r="BA345" s="1744"/>
      <c r="BB345" s="1744"/>
      <c r="BC345" s="1744"/>
      <c r="BD345" s="1744"/>
      <c r="BE345" s="1744"/>
      <c r="BF345" s="1744"/>
      <c r="BG345" s="1744"/>
      <c r="BH345" s="1744"/>
      <c r="BI345" s="1744"/>
      <c r="BJ345" s="1744"/>
      <c r="BK345" s="1744"/>
      <c r="BL345" s="1744"/>
      <c r="BM345" s="1744"/>
      <c r="BN345" s="1744"/>
      <c r="BO345" s="1744"/>
      <c r="BP345" s="1744"/>
      <c r="BQ345" s="1744"/>
      <c r="BR345" s="1744"/>
      <c r="BS345" s="1744"/>
      <c r="BT345" s="1744"/>
      <c r="BU345" s="1744"/>
      <c r="BV345" s="1744"/>
      <c r="BW345" s="1744"/>
      <c r="BX345" s="1744"/>
      <c r="BY345" s="1744"/>
      <c r="BZ345" s="1744"/>
      <c r="CA345" s="1744"/>
      <c r="CB345" s="1744"/>
      <c r="CC345" s="1744"/>
      <c r="CD345" s="1744"/>
      <c r="CE345" s="1744"/>
      <c r="CF345" s="1744"/>
      <c r="CG345" s="1744"/>
      <c r="CH345" s="1744"/>
      <c r="CI345" s="1744"/>
      <c r="CJ345" s="1744"/>
      <c r="CK345" s="1744"/>
      <c r="CL345" s="1744"/>
      <c r="CM345" s="1744"/>
      <c r="CN345" s="1744"/>
      <c r="CO345" s="1744"/>
      <c r="CP345" s="1744"/>
      <c r="CQ345" s="1744"/>
      <c r="CR345" s="1744"/>
      <c r="CS345" s="1744"/>
      <c r="CT345" s="1744"/>
      <c r="CU345" s="1744"/>
      <c r="CV345" s="1744"/>
      <c r="CW345" s="1744"/>
      <c r="CX345" s="1744"/>
      <c r="CY345" s="1744"/>
      <c r="CZ345" s="1744"/>
      <c r="DA345" s="1744"/>
      <c r="DB345" s="1744"/>
      <c r="DC345" s="1744"/>
      <c r="DD345" s="1744"/>
      <c r="DE345" s="1744"/>
      <c r="DF345" s="1744"/>
      <c r="DG345" s="1744"/>
      <c r="DH345" s="1744"/>
      <c r="DI345" s="1744"/>
      <c r="DJ345" s="1744"/>
      <c r="DK345" s="1744"/>
      <c r="DL345" s="1744"/>
      <c r="DM345" s="1744"/>
      <c r="DN345" s="1744"/>
      <c r="DO345" s="1744"/>
      <c r="DP345" s="1744"/>
      <c r="DQ345" s="1744"/>
      <c r="DR345" s="1744"/>
      <c r="DS345" s="1744"/>
      <c r="DT345" s="1744"/>
      <c r="DU345" s="1744"/>
      <c r="DV345" s="1744"/>
      <c r="DW345" s="1744"/>
      <c r="DX345" s="1744"/>
      <c r="DY345" s="1744"/>
      <c r="DZ345" s="1744"/>
      <c r="EA345" s="1744"/>
      <c r="EB345" s="1744"/>
      <c r="EC345" s="1744"/>
      <c r="ED345" s="1744"/>
      <c r="EE345" s="1744"/>
      <c r="EF345" s="1744"/>
      <c r="EG345" s="1744"/>
      <c r="EH345" s="1744"/>
      <c r="EI345" s="1744"/>
      <c r="EJ345" s="1744"/>
      <c r="EK345" s="1744"/>
      <c r="EL345" s="1744"/>
      <c r="EM345" s="1744"/>
      <c r="EN345" s="1744"/>
      <c r="EO345" s="1744"/>
      <c r="EP345" s="1744"/>
      <c r="EQ345" s="1744"/>
      <c r="ER345" s="1744"/>
      <c r="ES345" s="1744"/>
      <c r="ET345" s="1744"/>
      <c r="EU345" s="1744"/>
      <c r="EV345" s="1744"/>
      <c r="EW345" s="1744"/>
      <c r="EX345" s="1744"/>
      <c r="EY345" s="1744"/>
      <c r="EZ345" s="1744"/>
      <c r="FA345" s="1744"/>
      <c r="FB345" s="1744"/>
      <c r="FC345" s="1744"/>
      <c r="FD345" s="1744"/>
      <c r="FE345" s="1744"/>
      <c r="FF345" s="1744"/>
    </row>
    <row r="347" spans="6:162" s="1746" customFormat="1" ht="15.75" customHeight="1">
      <c r="F347" s="1744"/>
      <c r="G347" s="1744"/>
      <c r="H347" s="1744"/>
      <c r="I347" s="1744"/>
      <c r="J347" s="1744"/>
      <c r="K347" s="1744"/>
      <c r="L347" s="1744"/>
      <c r="M347" s="1744"/>
      <c r="N347" s="1744"/>
      <c r="O347" s="1744"/>
      <c r="P347" s="1744"/>
      <c r="Q347" s="1744"/>
      <c r="R347" s="1744"/>
      <c r="S347" s="1744"/>
      <c r="T347" s="1744"/>
      <c r="U347" s="1744"/>
      <c r="V347" s="1744"/>
      <c r="W347" s="1744"/>
      <c r="X347" s="1744"/>
      <c r="Y347" s="1744"/>
      <c r="AA347" s="1744"/>
      <c r="AC347" s="1744"/>
      <c r="AD347" s="1744"/>
      <c r="AE347" s="1744"/>
      <c r="AF347" s="1744"/>
      <c r="AG347" s="1744"/>
      <c r="AH347" s="1745"/>
      <c r="AI347" s="1745"/>
      <c r="AJ347" s="1744"/>
      <c r="AK347" s="1744"/>
      <c r="AL347" s="1744"/>
      <c r="AM347" s="1744"/>
      <c r="AN347" s="1744"/>
      <c r="AO347" s="1744"/>
      <c r="AP347" s="1744"/>
      <c r="AQ347" s="1744"/>
      <c r="AR347" s="1744"/>
      <c r="AS347" s="1744"/>
      <c r="AT347" s="1744"/>
      <c r="AU347" s="1744"/>
      <c r="AV347" s="1744"/>
      <c r="AW347" s="1744"/>
      <c r="AX347" s="1744"/>
      <c r="AY347" s="1744"/>
      <c r="AZ347" s="1744"/>
      <c r="BA347" s="1744"/>
      <c r="BB347" s="1744"/>
      <c r="BC347" s="1744"/>
      <c r="BD347" s="1744"/>
      <c r="BE347" s="1744"/>
      <c r="BF347" s="1744"/>
      <c r="BG347" s="1744"/>
      <c r="BH347" s="1744"/>
      <c r="BI347" s="1744"/>
      <c r="BJ347" s="1744"/>
      <c r="BK347" s="1744"/>
      <c r="BL347" s="1744"/>
      <c r="BM347" s="1744"/>
      <c r="BN347" s="1744"/>
      <c r="BO347" s="1744"/>
      <c r="BP347" s="1744"/>
      <c r="BQ347" s="1744"/>
      <c r="BR347" s="1744"/>
      <c r="BS347" s="1744"/>
      <c r="BT347" s="1744"/>
      <c r="BU347" s="1744"/>
      <c r="BV347" s="1744"/>
      <c r="BW347" s="1744"/>
      <c r="BX347" s="1744"/>
      <c r="BY347" s="1744"/>
      <c r="BZ347" s="1744"/>
      <c r="CA347" s="1744"/>
      <c r="CB347" s="1744"/>
      <c r="CC347" s="1744"/>
      <c r="CD347" s="1744"/>
      <c r="CE347" s="1744"/>
      <c r="CF347" s="1744"/>
      <c r="CG347" s="1744"/>
      <c r="CH347" s="1744"/>
      <c r="CI347" s="1744"/>
      <c r="CJ347" s="1744"/>
      <c r="CK347" s="1744"/>
      <c r="CL347" s="1744"/>
      <c r="CM347" s="1744"/>
      <c r="CN347" s="1744"/>
      <c r="CO347" s="1744"/>
      <c r="CP347" s="1744"/>
      <c r="CQ347" s="1744"/>
      <c r="CR347" s="1744"/>
      <c r="CS347" s="1744"/>
      <c r="CT347" s="1744"/>
      <c r="CU347" s="1744"/>
      <c r="CV347" s="1744"/>
      <c r="CW347" s="1744"/>
      <c r="CX347" s="1744"/>
      <c r="CY347" s="1744"/>
      <c r="CZ347" s="1744"/>
      <c r="DA347" s="1744"/>
      <c r="DB347" s="1744"/>
      <c r="DC347" s="1744"/>
      <c r="DD347" s="1744"/>
      <c r="DE347" s="1744"/>
      <c r="DF347" s="1744"/>
      <c r="DG347" s="1744"/>
      <c r="DH347" s="1744"/>
      <c r="DI347" s="1744"/>
      <c r="DJ347" s="1744"/>
      <c r="DK347" s="1744"/>
      <c r="DL347" s="1744"/>
      <c r="DM347" s="1744"/>
      <c r="DN347" s="1744"/>
      <c r="DO347" s="1744"/>
      <c r="DP347" s="1744"/>
      <c r="DQ347" s="1744"/>
      <c r="DR347" s="1744"/>
      <c r="DS347" s="1744"/>
      <c r="DT347" s="1744"/>
      <c r="DU347" s="1744"/>
      <c r="DV347" s="1744"/>
      <c r="DW347" s="1744"/>
      <c r="DX347" s="1744"/>
      <c r="DY347" s="1744"/>
      <c r="DZ347" s="1744"/>
      <c r="EA347" s="1744"/>
      <c r="EB347" s="1744"/>
      <c r="EC347" s="1744"/>
      <c r="ED347" s="1744"/>
      <c r="EE347" s="1744"/>
      <c r="EF347" s="1744"/>
      <c r="EG347" s="1744"/>
      <c r="EH347" s="1744"/>
      <c r="EI347" s="1744"/>
      <c r="EJ347" s="1744"/>
      <c r="EK347" s="1744"/>
      <c r="EL347" s="1744"/>
      <c r="EM347" s="1744"/>
      <c r="EN347" s="1744"/>
      <c r="EO347" s="1744"/>
      <c r="EP347" s="1744"/>
      <c r="EQ347" s="1744"/>
      <c r="ER347" s="1744"/>
      <c r="ES347" s="1744"/>
      <c r="ET347" s="1744"/>
      <c r="EU347" s="1744"/>
      <c r="EV347" s="1744"/>
      <c r="EW347" s="1744"/>
      <c r="EX347" s="1744"/>
      <c r="EY347" s="1744"/>
      <c r="EZ347" s="1744"/>
      <c r="FA347" s="1744"/>
      <c r="FB347" s="1744"/>
      <c r="FC347" s="1744"/>
      <c r="FD347" s="1744"/>
      <c r="FE347" s="1744"/>
      <c r="FF347" s="1744"/>
    </row>
    <row r="349" spans="6:162" s="1746" customFormat="1" ht="15.75" customHeight="1">
      <c r="F349" s="1744"/>
      <c r="G349" s="1744"/>
      <c r="H349" s="1744"/>
      <c r="I349" s="1744"/>
      <c r="J349" s="1744"/>
      <c r="K349" s="1744"/>
      <c r="L349" s="1744"/>
      <c r="M349" s="1744"/>
      <c r="N349" s="1744"/>
      <c r="O349" s="1744"/>
      <c r="P349" s="1744"/>
      <c r="Q349" s="1744"/>
      <c r="R349" s="1744"/>
      <c r="S349" s="1744"/>
      <c r="T349" s="1744"/>
      <c r="U349" s="1744"/>
      <c r="V349" s="1744"/>
      <c r="W349" s="1744"/>
      <c r="X349" s="1744"/>
      <c r="Y349" s="1744"/>
      <c r="AA349" s="1744"/>
      <c r="AC349" s="1744"/>
      <c r="AD349" s="1744"/>
      <c r="AE349" s="1744"/>
      <c r="AF349" s="1744"/>
      <c r="AG349" s="1744"/>
      <c r="AH349" s="1745"/>
      <c r="AI349" s="1745"/>
      <c r="AJ349" s="1744"/>
      <c r="AK349" s="1744"/>
      <c r="AL349" s="1744"/>
      <c r="AM349" s="1744"/>
      <c r="AN349" s="1744"/>
      <c r="AO349" s="1744"/>
      <c r="AP349" s="1744"/>
      <c r="AQ349" s="1744"/>
      <c r="AR349" s="1744"/>
      <c r="AS349" s="1744"/>
      <c r="AT349" s="1744"/>
      <c r="AU349" s="1744"/>
      <c r="AV349" s="1744"/>
      <c r="AW349" s="1744"/>
      <c r="AX349" s="1744"/>
      <c r="AY349" s="1744"/>
      <c r="AZ349" s="1744"/>
      <c r="BA349" s="1744"/>
      <c r="BB349" s="1744"/>
      <c r="BC349" s="1744"/>
      <c r="BD349" s="1744"/>
      <c r="BE349" s="1744"/>
      <c r="BF349" s="1744"/>
      <c r="BG349" s="1744"/>
      <c r="BH349" s="1744"/>
      <c r="BI349" s="1744"/>
      <c r="BJ349" s="1744"/>
      <c r="BK349" s="1744"/>
      <c r="BL349" s="1744"/>
      <c r="BM349" s="1744"/>
      <c r="BN349" s="1744"/>
      <c r="BO349" s="1744"/>
      <c r="BP349" s="1744"/>
      <c r="BQ349" s="1744"/>
      <c r="BR349" s="1744"/>
      <c r="BS349" s="1744"/>
      <c r="BT349" s="1744"/>
      <c r="BU349" s="1744"/>
      <c r="BV349" s="1744"/>
      <c r="BW349" s="1744"/>
      <c r="BX349" s="1744"/>
      <c r="BY349" s="1744"/>
      <c r="BZ349" s="1744"/>
      <c r="CA349" s="1744"/>
      <c r="CB349" s="1744"/>
      <c r="CC349" s="1744"/>
      <c r="CD349" s="1744"/>
      <c r="CE349" s="1744"/>
      <c r="CF349" s="1744"/>
      <c r="CG349" s="1744"/>
      <c r="CH349" s="1744"/>
      <c r="CI349" s="1744"/>
      <c r="CJ349" s="1744"/>
      <c r="CK349" s="1744"/>
      <c r="CL349" s="1744"/>
      <c r="CM349" s="1744"/>
      <c r="CN349" s="1744"/>
      <c r="CO349" s="1744"/>
      <c r="CP349" s="1744"/>
      <c r="CQ349" s="1744"/>
      <c r="CR349" s="1744"/>
      <c r="CS349" s="1744"/>
      <c r="CT349" s="1744"/>
      <c r="CU349" s="1744"/>
      <c r="CV349" s="1744"/>
      <c r="CW349" s="1744"/>
      <c r="CX349" s="1744"/>
      <c r="CY349" s="1744"/>
      <c r="CZ349" s="1744"/>
      <c r="DA349" s="1744"/>
      <c r="DB349" s="1744"/>
      <c r="DC349" s="1744"/>
      <c r="DD349" s="1744"/>
      <c r="DE349" s="1744"/>
      <c r="DF349" s="1744"/>
      <c r="DG349" s="1744"/>
      <c r="DH349" s="1744"/>
      <c r="DI349" s="1744"/>
      <c r="DJ349" s="1744"/>
      <c r="DK349" s="1744"/>
      <c r="DL349" s="1744"/>
      <c r="DM349" s="1744"/>
      <c r="DN349" s="1744"/>
      <c r="DO349" s="1744"/>
      <c r="DP349" s="1744"/>
      <c r="DQ349" s="1744"/>
      <c r="DR349" s="1744"/>
      <c r="DS349" s="1744"/>
      <c r="DT349" s="1744"/>
      <c r="DU349" s="1744"/>
      <c r="DV349" s="1744"/>
      <c r="DW349" s="1744"/>
      <c r="DX349" s="1744"/>
      <c r="DY349" s="1744"/>
      <c r="DZ349" s="1744"/>
      <c r="EA349" s="1744"/>
      <c r="EB349" s="1744"/>
      <c r="EC349" s="1744"/>
      <c r="ED349" s="1744"/>
      <c r="EE349" s="1744"/>
      <c r="EF349" s="1744"/>
      <c r="EG349" s="1744"/>
      <c r="EH349" s="1744"/>
      <c r="EI349" s="1744"/>
      <c r="EJ349" s="1744"/>
      <c r="EK349" s="1744"/>
      <c r="EL349" s="1744"/>
      <c r="EM349" s="1744"/>
      <c r="EN349" s="1744"/>
      <c r="EO349" s="1744"/>
      <c r="EP349" s="1744"/>
      <c r="EQ349" s="1744"/>
      <c r="ER349" s="1744"/>
      <c r="ES349" s="1744"/>
      <c r="ET349" s="1744"/>
      <c r="EU349" s="1744"/>
      <c r="EV349" s="1744"/>
      <c r="EW349" s="1744"/>
      <c r="EX349" s="1744"/>
      <c r="EY349" s="1744"/>
      <c r="EZ349" s="1744"/>
      <c r="FA349" s="1744"/>
      <c r="FB349" s="1744"/>
      <c r="FC349" s="1744"/>
      <c r="FD349" s="1744"/>
      <c r="FE349" s="1744"/>
      <c r="FF349" s="1744"/>
    </row>
    <row r="351" spans="6:162" s="1746" customFormat="1" ht="15.75" customHeight="1">
      <c r="F351" s="1744"/>
      <c r="G351" s="1744"/>
      <c r="H351" s="1744"/>
      <c r="I351" s="1744"/>
      <c r="J351" s="1744"/>
      <c r="K351" s="1744"/>
      <c r="L351" s="1744"/>
      <c r="M351" s="1744"/>
      <c r="N351" s="1744"/>
      <c r="O351" s="1744"/>
      <c r="P351" s="1744"/>
      <c r="Q351" s="1744"/>
      <c r="R351" s="1744"/>
      <c r="S351" s="1744"/>
      <c r="T351" s="1744"/>
      <c r="U351" s="1744"/>
      <c r="V351" s="1744"/>
      <c r="W351" s="1744"/>
      <c r="X351" s="1744"/>
      <c r="Y351" s="1744"/>
      <c r="AA351" s="1744"/>
      <c r="AC351" s="1744"/>
      <c r="AD351" s="1744"/>
      <c r="AE351" s="1744"/>
      <c r="AF351" s="1744"/>
      <c r="AG351" s="1744"/>
      <c r="AH351" s="1745"/>
      <c r="AI351" s="1745"/>
      <c r="AJ351" s="1744"/>
      <c r="AK351" s="1744"/>
      <c r="AL351" s="1744"/>
      <c r="AM351" s="1744"/>
      <c r="AN351" s="1744"/>
      <c r="AO351" s="1744"/>
      <c r="AP351" s="1744"/>
      <c r="AQ351" s="1744"/>
      <c r="AR351" s="1744"/>
      <c r="AS351" s="1744"/>
      <c r="AT351" s="1744"/>
      <c r="AU351" s="1744"/>
      <c r="AV351" s="1744"/>
      <c r="AW351" s="1744"/>
      <c r="AX351" s="1744"/>
      <c r="AY351" s="1744"/>
      <c r="AZ351" s="1744"/>
      <c r="BA351" s="1744"/>
      <c r="BB351" s="1744"/>
      <c r="BC351" s="1744"/>
      <c r="BD351" s="1744"/>
      <c r="BE351" s="1744"/>
      <c r="BF351" s="1744"/>
      <c r="BG351" s="1744"/>
      <c r="BH351" s="1744"/>
      <c r="BI351" s="1744"/>
      <c r="BJ351" s="1744"/>
      <c r="BK351" s="1744"/>
      <c r="BL351" s="1744"/>
      <c r="BM351" s="1744"/>
      <c r="BN351" s="1744"/>
      <c r="BO351" s="1744"/>
      <c r="BP351" s="1744"/>
      <c r="BQ351" s="1744"/>
      <c r="BR351" s="1744"/>
      <c r="BS351" s="1744"/>
      <c r="BT351" s="1744"/>
      <c r="BU351" s="1744"/>
      <c r="BV351" s="1744"/>
      <c r="BW351" s="1744"/>
      <c r="BX351" s="1744"/>
      <c r="BY351" s="1744"/>
      <c r="BZ351" s="1744"/>
      <c r="CA351" s="1744"/>
      <c r="CB351" s="1744"/>
      <c r="CC351" s="1744"/>
      <c r="CD351" s="1744"/>
      <c r="CE351" s="1744"/>
      <c r="CF351" s="1744"/>
      <c r="CG351" s="1744"/>
      <c r="CH351" s="1744"/>
      <c r="CI351" s="1744"/>
      <c r="CJ351" s="1744"/>
      <c r="CK351" s="1744"/>
      <c r="CL351" s="1744"/>
      <c r="CM351" s="1744"/>
      <c r="CN351" s="1744"/>
      <c r="CO351" s="1744"/>
      <c r="CP351" s="1744"/>
      <c r="CQ351" s="1744"/>
      <c r="CR351" s="1744"/>
      <c r="CS351" s="1744"/>
      <c r="CT351" s="1744"/>
      <c r="CU351" s="1744"/>
      <c r="CV351" s="1744"/>
      <c r="CW351" s="1744"/>
      <c r="CX351" s="1744"/>
      <c r="CY351" s="1744"/>
      <c r="CZ351" s="1744"/>
      <c r="DA351" s="1744"/>
      <c r="DB351" s="1744"/>
      <c r="DC351" s="1744"/>
      <c r="DD351" s="1744"/>
      <c r="DE351" s="1744"/>
      <c r="DF351" s="1744"/>
      <c r="DG351" s="1744"/>
      <c r="DH351" s="1744"/>
      <c r="DI351" s="1744"/>
      <c r="DJ351" s="1744"/>
      <c r="DK351" s="1744"/>
      <c r="DL351" s="1744"/>
      <c r="DM351" s="1744"/>
      <c r="DN351" s="1744"/>
      <c r="DO351" s="1744"/>
      <c r="DP351" s="1744"/>
      <c r="DQ351" s="1744"/>
      <c r="DR351" s="1744"/>
      <c r="DS351" s="1744"/>
      <c r="DT351" s="1744"/>
      <c r="DU351" s="1744"/>
      <c r="DV351" s="1744"/>
      <c r="DW351" s="1744"/>
      <c r="DX351" s="1744"/>
      <c r="DY351" s="1744"/>
      <c r="DZ351" s="1744"/>
      <c r="EA351" s="1744"/>
      <c r="EB351" s="1744"/>
      <c r="EC351" s="1744"/>
      <c r="ED351" s="1744"/>
      <c r="EE351" s="1744"/>
      <c r="EF351" s="1744"/>
      <c r="EG351" s="1744"/>
      <c r="EH351" s="1744"/>
      <c r="EI351" s="1744"/>
      <c r="EJ351" s="1744"/>
      <c r="EK351" s="1744"/>
      <c r="EL351" s="1744"/>
      <c r="EM351" s="1744"/>
      <c r="EN351" s="1744"/>
      <c r="EO351" s="1744"/>
      <c r="EP351" s="1744"/>
      <c r="EQ351" s="1744"/>
      <c r="ER351" s="1744"/>
      <c r="ES351" s="1744"/>
      <c r="ET351" s="1744"/>
      <c r="EU351" s="1744"/>
      <c r="EV351" s="1744"/>
      <c r="EW351" s="1744"/>
      <c r="EX351" s="1744"/>
      <c r="EY351" s="1744"/>
      <c r="EZ351" s="1744"/>
      <c r="FA351" s="1744"/>
      <c r="FB351" s="1744"/>
      <c r="FC351" s="1744"/>
      <c r="FD351" s="1744"/>
      <c r="FE351" s="1744"/>
      <c r="FF351" s="1744"/>
    </row>
    <row r="353" spans="6:162" s="1746" customFormat="1" ht="15.75" customHeight="1">
      <c r="F353" s="1744"/>
      <c r="G353" s="1744"/>
      <c r="H353" s="1744"/>
      <c r="I353" s="1744"/>
      <c r="J353" s="1744"/>
      <c r="K353" s="1744"/>
      <c r="L353" s="1744"/>
      <c r="M353" s="1744"/>
      <c r="N353" s="1744"/>
      <c r="O353" s="1744"/>
      <c r="P353" s="1744"/>
      <c r="Q353" s="1744"/>
      <c r="R353" s="1744"/>
      <c r="S353" s="1744"/>
      <c r="T353" s="1744"/>
      <c r="U353" s="1744"/>
      <c r="V353" s="1744"/>
      <c r="W353" s="1744"/>
      <c r="X353" s="1744"/>
      <c r="Y353" s="1744"/>
      <c r="AA353" s="1744"/>
      <c r="AC353" s="1744"/>
      <c r="AD353" s="1744"/>
      <c r="AE353" s="1744"/>
      <c r="AF353" s="1744"/>
      <c r="AG353" s="1744"/>
      <c r="AH353" s="1745"/>
      <c r="AI353" s="1745"/>
      <c r="AJ353" s="1744"/>
      <c r="AK353" s="1744"/>
      <c r="AL353" s="1744"/>
      <c r="AM353" s="1744"/>
      <c r="AN353" s="1744"/>
      <c r="AO353" s="1744"/>
      <c r="AP353" s="1744"/>
      <c r="AQ353" s="1744"/>
      <c r="AR353" s="1744"/>
      <c r="AS353" s="1744"/>
      <c r="AT353" s="1744"/>
      <c r="AU353" s="1744"/>
      <c r="AV353" s="1744"/>
      <c r="AW353" s="1744"/>
      <c r="AX353" s="1744"/>
      <c r="AY353" s="1744"/>
      <c r="AZ353" s="1744"/>
      <c r="BA353" s="1744"/>
      <c r="BB353" s="1744"/>
      <c r="BC353" s="1744"/>
      <c r="BD353" s="1744"/>
      <c r="BE353" s="1744"/>
      <c r="BF353" s="1744"/>
      <c r="BG353" s="1744"/>
      <c r="BH353" s="1744"/>
      <c r="BI353" s="1744"/>
      <c r="BJ353" s="1744"/>
      <c r="BK353" s="1744"/>
      <c r="BL353" s="1744"/>
      <c r="BM353" s="1744"/>
      <c r="BN353" s="1744"/>
      <c r="BO353" s="1744"/>
      <c r="BP353" s="1744"/>
      <c r="BQ353" s="1744"/>
      <c r="BR353" s="1744"/>
      <c r="BS353" s="1744"/>
      <c r="BT353" s="1744"/>
      <c r="BU353" s="1744"/>
      <c r="BV353" s="1744"/>
      <c r="BW353" s="1744"/>
      <c r="BX353" s="1744"/>
      <c r="BY353" s="1744"/>
      <c r="BZ353" s="1744"/>
      <c r="CA353" s="1744"/>
      <c r="CB353" s="1744"/>
      <c r="CC353" s="1744"/>
      <c r="CD353" s="1744"/>
      <c r="CE353" s="1744"/>
      <c r="CF353" s="1744"/>
      <c r="CG353" s="1744"/>
      <c r="CH353" s="1744"/>
      <c r="CI353" s="1744"/>
      <c r="CJ353" s="1744"/>
      <c r="CK353" s="1744"/>
      <c r="CL353" s="1744"/>
      <c r="CM353" s="1744"/>
      <c r="CN353" s="1744"/>
      <c r="CO353" s="1744"/>
      <c r="CP353" s="1744"/>
      <c r="CQ353" s="1744"/>
      <c r="CR353" s="1744"/>
      <c r="CS353" s="1744"/>
      <c r="CT353" s="1744"/>
      <c r="CU353" s="1744"/>
      <c r="CV353" s="1744"/>
      <c r="CW353" s="1744"/>
      <c r="CX353" s="1744"/>
      <c r="CY353" s="1744"/>
      <c r="CZ353" s="1744"/>
      <c r="DA353" s="1744"/>
      <c r="DB353" s="1744"/>
      <c r="DC353" s="1744"/>
      <c r="DD353" s="1744"/>
      <c r="DE353" s="1744"/>
      <c r="DF353" s="1744"/>
      <c r="DG353" s="1744"/>
      <c r="DH353" s="1744"/>
      <c r="DI353" s="1744"/>
      <c r="DJ353" s="1744"/>
      <c r="DK353" s="1744"/>
      <c r="DL353" s="1744"/>
      <c r="DM353" s="1744"/>
      <c r="DN353" s="1744"/>
      <c r="DO353" s="1744"/>
      <c r="DP353" s="1744"/>
      <c r="DQ353" s="1744"/>
      <c r="DR353" s="1744"/>
      <c r="DS353" s="1744"/>
      <c r="DT353" s="1744"/>
      <c r="DU353" s="1744"/>
      <c r="DV353" s="1744"/>
      <c r="DW353" s="1744"/>
      <c r="DX353" s="1744"/>
      <c r="DY353" s="1744"/>
      <c r="DZ353" s="1744"/>
      <c r="EA353" s="1744"/>
      <c r="EB353" s="1744"/>
      <c r="EC353" s="1744"/>
      <c r="ED353" s="1744"/>
      <c r="EE353" s="1744"/>
      <c r="EF353" s="1744"/>
      <c r="EG353" s="1744"/>
      <c r="EH353" s="1744"/>
      <c r="EI353" s="1744"/>
      <c r="EJ353" s="1744"/>
      <c r="EK353" s="1744"/>
      <c r="EL353" s="1744"/>
      <c r="EM353" s="1744"/>
      <c r="EN353" s="1744"/>
      <c r="EO353" s="1744"/>
      <c r="EP353" s="1744"/>
      <c r="EQ353" s="1744"/>
      <c r="ER353" s="1744"/>
      <c r="ES353" s="1744"/>
      <c r="ET353" s="1744"/>
      <c r="EU353" s="1744"/>
      <c r="EV353" s="1744"/>
      <c r="EW353" s="1744"/>
      <c r="EX353" s="1744"/>
      <c r="EY353" s="1744"/>
      <c r="EZ353" s="1744"/>
      <c r="FA353" s="1744"/>
      <c r="FB353" s="1744"/>
      <c r="FC353" s="1744"/>
      <c r="FD353" s="1744"/>
      <c r="FE353" s="1744"/>
      <c r="FF353" s="1744"/>
    </row>
    <row r="355" spans="6:162" s="1746" customFormat="1" ht="15.75" customHeight="1">
      <c r="F355" s="1744"/>
      <c r="G355" s="1744"/>
      <c r="H355" s="1744"/>
      <c r="I355" s="1744"/>
      <c r="J355" s="1744"/>
      <c r="K355" s="1744"/>
      <c r="L355" s="1744"/>
      <c r="M355" s="1744"/>
      <c r="N355" s="1744"/>
      <c r="O355" s="1744"/>
      <c r="P355" s="1744"/>
      <c r="Q355" s="1744"/>
      <c r="R355" s="1744"/>
      <c r="S355" s="1744"/>
      <c r="T355" s="1744"/>
      <c r="U355" s="1744"/>
      <c r="V355" s="1744"/>
      <c r="W355" s="1744"/>
      <c r="X355" s="1744"/>
      <c r="Y355" s="1744"/>
      <c r="AA355" s="1744"/>
      <c r="AC355" s="1744"/>
      <c r="AD355" s="1744"/>
      <c r="AE355" s="1744"/>
      <c r="AF355" s="1744"/>
      <c r="AG355" s="1744"/>
      <c r="AH355" s="1745"/>
      <c r="AI355" s="1745"/>
      <c r="AJ355" s="1744"/>
      <c r="AK355" s="1744"/>
      <c r="AL355" s="1744"/>
      <c r="AM355" s="1744"/>
      <c r="AN355" s="1744"/>
      <c r="AO355" s="1744"/>
      <c r="AP355" s="1744"/>
      <c r="AQ355" s="1744"/>
      <c r="AR355" s="1744"/>
      <c r="AS355" s="1744"/>
      <c r="AT355" s="1744"/>
      <c r="AU355" s="1744"/>
      <c r="AV355" s="1744"/>
      <c r="AW355" s="1744"/>
      <c r="AX355" s="1744"/>
      <c r="AY355" s="1744"/>
      <c r="AZ355" s="1744"/>
      <c r="BA355" s="1744"/>
      <c r="BB355" s="1744"/>
      <c r="BC355" s="1744"/>
      <c r="BD355" s="1744"/>
      <c r="BE355" s="1744"/>
      <c r="BF355" s="1744"/>
      <c r="BG355" s="1744"/>
      <c r="BH355" s="1744"/>
      <c r="BI355" s="1744"/>
      <c r="BJ355" s="1744"/>
      <c r="BK355" s="1744"/>
      <c r="BL355" s="1744"/>
      <c r="BM355" s="1744"/>
      <c r="BN355" s="1744"/>
      <c r="BO355" s="1744"/>
      <c r="BP355" s="1744"/>
      <c r="BQ355" s="1744"/>
      <c r="BR355" s="1744"/>
      <c r="BS355" s="1744"/>
      <c r="BT355" s="1744"/>
      <c r="BU355" s="1744"/>
      <c r="BV355" s="1744"/>
      <c r="BW355" s="1744"/>
      <c r="BX355" s="1744"/>
      <c r="BY355" s="1744"/>
      <c r="BZ355" s="1744"/>
      <c r="CA355" s="1744"/>
      <c r="CB355" s="1744"/>
      <c r="CC355" s="1744"/>
      <c r="CD355" s="1744"/>
      <c r="CE355" s="1744"/>
      <c r="CF355" s="1744"/>
      <c r="CG355" s="1744"/>
      <c r="CH355" s="1744"/>
      <c r="CI355" s="1744"/>
      <c r="CJ355" s="1744"/>
      <c r="CK355" s="1744"/>
      <c r="CL355" s="1744"/>
      <c r="CM355" s="1744"/>
      <c r="CN355" s="1744"/>
      <c r="CO355" s="1744"/>
      <c r="CP355" s="1744"/>
      <c r="CQ355" s="1744"/>
      <c r="CR355" s="1744"/>
      <c r="CS355" s="1744"/>
      <c r="CT355" s="1744"/>
      <c r="CU355" s="1744"/>
      <c r="CV355" s="1744"/>
      <c r="CW355" s="1744"/>
      <c r="CX355" s="1744"/>
      <c r="CY355" s="1744"/>
      <c r="CZ355" s="1744"/>
      <c r="DA355" s="1744"/>
      <c r="DB355" s="1744"/>
      <c r="DC355" s="1744"/>
      <c r="DD355" s="1744"/>
      <c r="DE355" s="1744"/>
      <c r="DF355" s="1744"/>
      <c r="DG355" s="1744"/>
      <c r="DH355" s="1744"/>
      <c r="DI355" s="1744"/>
      <c r="DJ355" s="1744"/>
      <c r="DK355" s="1744"/>
      <c r="DL355" s="1744"/>
      <c r="DM355" s="1744"/>
      <c r="DN355" s="1744"/>
      <c r="DO355" s="1744"/>
      <c r="DP355" s="1744"/>
      <c r="DQ355" s="1744"/>
      <c r="DR355" s="1744"/>
      <c r="DS355" s="1744"/>
      <c r="DT355" s="1744"/>
      <c r="DU355" s="1744"/>
      <c r="DV355" s="1744"/>
      <c r="DW355" s="1744"/>
      <c r="DX355" s="1744"/>
      <c r="DY355" s="1744"/>
      <c r="DZ355" s="1744"/>
      <c r="EA355" s="1744"/>
      <c r="EB355" s="1744"/>
      <c r="EC355" s="1744"/>
      <c r="ED355" s="1744"/>
      <c r="EE355" s="1744"/>
      <c r="EF355" s="1744"/>
      <c r="EG355" s="1744"/>
      <c r="EH355" s="1744"/>
      <c r="EI355" s="1744"/>
      <c r="EJ355" s="1744"/>
      <c r="EK355" s="1744"/>
      <c r="EL355" s="1744"/>
      <c r="EM355" s="1744"/>
      <c r="EN355" s="1744"/>
      <c r="EO355" s="1744"/>
      <c r="EP355" s="1744"/>
      <c r="EQ355" s="1744"/>
      <c r="ER355" s="1744"/>
      <c r="ES355" s="1744"/>
      <c r="ET355" s="1744"/>
      <c r="EU355" s="1744"/>
      <c r="EV355" s="1744"/>
      <c r="EW355" s="1744"/>
      <c r="EX355" s="1744"/>
      <c r="EY355" s="1744"/>
      <c r="EZ355" s="1744"/>
      <c r="FA355" s="1744"/>
      <c r="FB355" s="1744"/>
      <c r="FC355" s="1744"/>
      <c r="FD355" s="1744"/>
      <c r="FE355" s="1744"/>
      <c r="FF355" s="1744"/>
    </row>
    <row r="357" spans="6:162" s="1746" customFormat="1" ht="15.75" customHeight="1">
      <c r="F357" s="1744"/>
      <c r="G357" s="1744"/>
      <c r="H357" s="1744"/>
      <c r="I357" s="1744"/>
      <c r="J357" s="1744"/>
      <c r="K357" s="1744"/>
      <c r="L357" s="1744"/>
      <c r="M357" s="1744"/>
      <c r="N357" s="1744"/>
      <c r="O357" s="1744"/>
      <c r="P357" s="1744"/>
      <c r="Q357" s="1744"/>
      <c r="R357" s="1744"/>
      <c r="S357" s="1744"/>
      <c r="T357" s="1744"/>
      <c r="U357" s="1744"/>
      <c r="V357" s="1744"/>
      <c r="W357" s="1744"/>
      <c r="X357" s="1744"/>
      <c r="Y357" s="1744"/>
      <c r="AA357" s="1744"/>
      <c r="AC357" s="1744"/>
      <c r="AD357" s="1744"/>
      <c r="AE357" s="1744"/>
      <c r="AF357" s="1744"/>
      <c r="AG357" s="1744"/>
      <c r="AH357" s="1745"/>
      <c r="AI357" s="1745"/>
      <c r="AJ357" s="1744"/>
      <c r="AK357" s="1744"/>
      <c r="AL357" s="1744"/>
      <c r="AM357" s="1744"/>
      <c r="AN357" s="1744"/>
      <c r="AO357" s="1744"/>
      <c r="AP357" s="1744"/>
      <c r="AQ357" s="1744"/>
      <c r="AR357" s="1744"/>
      <c r="AS357" s="1744"/>
      <c r="AT357" s="1744"/>
      <c r="AU357" s="1744"/>
      <c r="AV357" s="1744"/>
      <c r="AW357" s="1744"/>
      <c r="AX357" s="1744"/>
      <c r="AY357" s="1744"/>
      <c r="AZ357" s="1744"/>
      <c r="BA357" s="1744"/>
      <c r="BB357" s="1744"/>
      <c r="BC357" s="1744"/>
      <c r="BD357" s="1744"/>
      <c r="BE357" s="1744"/>
      <c r="BF357" s="1744"/>
      <c r="BG357" s="1744"/>
      <c r="BH357" s="1744"/>
      <c r="BI357" s="1744"/>
      <c r="BJ357" s="1744"/>
      <c r="BK357" s="1744"/>
      <c r="BL357" s="1744"/>
      <c r="BM357" s="1744"/>
      <c r="BN357" s="1744"/>
      <c r="BO357" s="1744"/>
      <c r="BP357" s="1744"/>
      <c r="BQ357" s="1744"/>
      <c r="BR357" s="1744"/>
      <c r="BS357" s="1744"/>
      <c r="BT357" s="1744"/>
      <c r="BU357" s="1744"/>
      <c r="BV357" s="1744"/>
      <c r="BW357" s="1744"/>
      <c r="BX357" s="1744"/>
      <c r="BY357" s="1744"/>
      <c r="BZ357" s="1744"/>
      <c r="CA357" s="1744"/>
      <c r="CB357" s="1744"/>
      <c r="CC357" s="1744"/>
      <c r="CD357" s="1744"/>
      <c r="CE357" s="1744"/>
      <c r="CF357" s="1744"/>
      <c r="CG357" s="1744"/>
      <c r="CH357" s="1744"/>
      <c r="CI357" s="1744"/>
      <c r="CJ357" s="1744"/>
      <c r="CK357" s="1744"/>
      <c r="CL357" s="1744"/>
      <c r="CM357" s="1744"/>
      <c r="CN357" s="1744"/>
      <c r="CO357" s="1744"/>
      <c r="CP357" s="1744"/>
      <c r="CQ357" s="1744"/>
      <c r="CR357" s="1744"/>
      <c r="CS357" s="1744"/>
      <c r="CT357" s="1744"/>
      <c r="CU357" s="1744"/>
      <c r="CV357" s="1744"/>
      <c r="CW357" s="1744"/>
      <c r="CX357" s="1744"/>
      <c r="CY357" s="1744"/>
      <c r="CZ357" s="1744"/>
      <c r="DA357" s="1744"/>
      <c r="DB357" s="1744"/>
      <c r="DC357" s="1744"/>
      <c r="DD357" s="1744"/>
      <c r="DE357" s="1744"/>
      <c r="DF357" s="1744"/>
      <c r="DG357" s="1744"/>
      <c r="DH357" s="1744"/>
      <c r="DI357" s="1744"/>
      <c r="DJ357" s="1744"/>
      <c r="DK357" s="1744"/>
      <c r="DL357" s="1744"/>
      <c r="DM357" s="1744"/>
      <c r="DN357" s="1744"/>
      <c r="DO357" s="1744"/>
      <c r="DP357" s="1744"/>
      <c r="DQ357" s="1744"/>
      <c r="DR357" s="1744"/>
      <c r="DS357" s="1744"/>
      <c r="DT357" s="1744"/>
      <c r="DU357" s="1744"/>
      <c r="DV357" s="1744"/>
      <c r="DW357" s="1744"/>
      <c r="DX357" s="1744"/>
      <c r="DY357" s="1744"/>
      <c r="DZ357" s="1744"/>
      <c r="EA357" s="1744"/>
      <c r="EB357" s="1744"/>
      <c r="EC357" s="1744"/>
      <c r="ED357" s="1744"/>
      <c r="EE357" s="1744"/>
      <c r="EF357" s="1744"/>
      <c r="EG357" s="1744"/>
      <c r="EH357" s="1744"/>
      <c r="EI357" s="1744"/>
      <c r="EJ357" s="1744"/>
      <c r="EK357" s="1744"/>
      <c r="EL357" s="1744"/>
      <c r="EM357" s="1744"/>
      <c r="EN357" s="1744"/>
      <c r="EO357" s="1744"/>
      <c r="EP357" s="1744"/>
      <c r="EQ357" s="1744"/>
      <c r="ER357" s="1744"/>
      <c r="ES357" s="1744"/>
      <c r="ET357" s="1744"/>
      <c r="EU357" s="1744"/>
      <c r="EV357" s="1744"/>
      <c r="EW357" s="1744"/>
      <c r="EX357" s="1744"/>
      <c r="EY357" s="1744"/>
      <c r="EZ357" s="1744"/>
      <c r="FA357" s="1744"/>
      <c r="FB357" s="1744"/>
      <c r="FC357" s="1744"/>
      <c r="FD357" s="1744"/>
      <c r="FE357" s="1744"/>
      <c r="FF357" s="1744"/>
    </row>
    <row r="359" spans="6:162" s="1746" customFormat="1" ht="15.75" customHeight="1">
      <c r="F359" s="1744"/>
      <c r="G359" s="1744"/>
      <c r="H359" s="1744"/>
      <c r="I359" s="1744"/>
      <c r="J359" s="1744"/>
      <c r="K359" s="1744"/>
      <c r="L359" s="1744"/>
      <c r="M359" s="1744"/>
      <c r="N359" s="1744"/>
      <c r="O359" s="1744"/>
      <c r="P359" s="1744"/>
      <c r="Q359" s="1744"/>
      <c r="R359" s="1744"/>
      <c r="S359" s="1744"/>
      <c r="T359" s="1744"/>
      <c r="U359" s="1744"/>
      <c r="V359" s="1744"/>
      <c r="W359" s="1744"/>
      <c r="X359" s="1744"/>
      <c r="Y359" s="1744"/>
      <c r="AA359" s="1744"/>
      <c r="AC359" s="1744"/>
      <c r="AD359" s="1744"/>
      <c r="AE359" s="1744"/>
      <c r="AF359" s="1744"/>
      <c r="AG359" s="1744"/>
      <c r="AH359" s="1745"/>
      <c r="AI359" s="1745"/>
      <c r="AJ359" s="1744"/>
      <c r="AK359" s="1744"/>
      <c r="AL359" s="1744"/>
      <c r="AM359" s="1744"/>
      <c r="AN359" s="1744"/>
      <c r="AO359" s="1744"/>
      <c r="AP359" s="1744"/>
      <c r="AQ359" s="1744"/>
      <c r="AR359" s="1744"/>
      <c r="AS359" s="1744"/>
      <c r="AT359" s="1744"/>
      <c r="AU359" s="1744"/>
      <c r="AV359" s="1744"/>
      <c r="AW359" s="1744"/>
      <c r="AX359" s="1744"/>
      <c r="AY359" s="1744"/>
      <c r="AZ359" s="1744"/>
      <c r="BA359" s="1744"/>
      <c r="BB359" s="1744"/>
      <c r="BC359" s="1744"/>
      <c r="BD359" s="1744"/>
      <c r="BE359" s="1744"/>
      <c r="BF359" s="1744"/>
      <c r="BG359" s="1744"/>
      <c r="BH359" s="1744"/>
      <c r="BI359" s="1744"/>
      <c r="BJ359" s="1744"/>
      <c r="BK359" s="1744"/>
      <c r="BL359" s="1744"/>
      <c r="BM359" s="1744"/>
      <c r="BN359" s="1744"/>
      <c r="BO359" s="1744"/>
      <c r="BP359" s="1744"/>
      <c r="BQ359" s="1744"/>
      <c r="BR359" s="1744"/>
      <c r="BS359" s="1744"/>
      <c r="BT359" s="1744"/>
      <c r="BU359" s="1744"/>
      <c r="BV359" s="1744"/>
      <c r="BW359" s="1744"/>
      <c r="BX359" s="1744"/>
      <c r="BY359" s="1744"/>
      <c r="BZ359" s="1744"/>
      <c r="CA359" s="1744"/>
      <c r="CB359" s="1744"/>
      <c r="CC359" s="1744"/>
      <c r="CD359" s="1744"/>
      <c r="CE359" s="1744"/>
      <c r="CF359" s="1744"/>
      <c r="CG359" s="1744"/>
      <c r="CH359" s="1744"/>
      <c r="CI359" s="1744"/>
      <c r="CJ359" s="1744"/>
      <c r="CK359" s="1744"/>
      <c r="CL359" s="1744"/>
      <c r="CM359" s="1744"/>
      <c r="CN359" s="1744"/>
      <c r="CO359" s="1744"/>
      <c r="CP359" s="1744"/>
      <c r="CQ359" s="1744"/>
      <c r="CR359" s="1744"/>
      <c r="CS359" s="1744"/>
      <c r="CT359" s="1744"/>
      <c r="CU359" s="1744"/>
      <c r="CV359" s="1744"/>
      <c r="CW359" s="1744"/>
      <c r="CX359" s="1744"/>
      <c r="CY359" s="1744"/>
      <c r="CZ359" s="1744"/>
      <c r="DA359" s="1744"/>
      <c r="DB359" s="1744"/>
      <c r="DC359" s="1744"/>
      <c r="DD359" s="1744"/>
      <c r="DE359" s="1744"/>
      <c r="DF359" s="1744"/>
      <c r="DG359" s="1744"/>
      <c r="DH359" s="1744"/>
      <c r="DI359" s="1744"/>
      <c r="DJ359" s="1744"/>
      <c r="DK359" s="1744"/>
      <c r="DL359" s="1744"/>
      <c r="DM359" s="1744"/>
      <c r="DN359" s="1744"/>
      <c r="DO359" s="1744"/>
      <c r="DP359" s="1744"/>
      <c r="DQ359" s="1744"/>
      <c r="DR359" s="1744"/>
      <c r="DS359" s="1744"/>
      <c r="DT359" s="1744"/>
      <c r="DU359" s="1744"/>
      <c r="DV359" s="1744"/>
      <c r="DW359" s="1744"/>
      <c r="DX359" s="1744"/>
      <c r="DY359" s="1744"/>
      <c r="DZ359" s="1744"/>
      <c r="EA359" s="1744"/>
      <c r="EB359" s="1744"/>
      <c r="EC359" s="1744"/>
      <c r="ED359" s="1744"/>
      <c r="EE359" s="1744"/>
      <c r="EF359" s="1744"/>
      <c r="EG359" s="1744"/>
      <c r="EH359" s="1744"/>
      <c r="EI359" s="1744"/>
      <c r="EJ359" s="1744"/>
      <c r="EK359" s="1744"/>
      <c r="EL359" s="1744"/>
      <c r="EM359" s="1744"/>
      <c r="EN359" s="1744"/>
      <c r="EO359" s="1744"/>
      <c r="EP359" s="1744"/>
      <c r="EQ359" s="1744"/>
      <c r="ER359" s="1744"/>
      <c r="ES359" s="1744"/>
      <c r="ET359" s="1744"/>
      <c r="EU359" s="1744"/>
      <c r="EV359" s="1744"/>
      <c r="EW359" s="1744"/>
      <c r="EX359" s="1744"/>
      <c r="EY359" s="1744"/>
      <c r="EZ359" s="1744"/>
      <c r="FA359" s="1744"/>
      <c r="FB359" s="1744"/>
      <c r="FC359" s="1744"/>
      <c r="FD359" s="1744"/>
      <c r="FE359" s="1744"/>
      <c r="FF359" s="1744"/>
    </row>
    <row r="361" spans="6:162" s="1746" customFormat="1" ht="15.75" customHeight="1">
      <c r="F361" s="1744"/>
      <c r="G361" s="1744"/>
      <c r="H361" s="1744"/>
      <c r="I361" s="1744"/>
      <c r="J361" s="1744"/>
      <c r="K361" s="1744"/>
      <c r="L361" s="1744"/>
      <c r="M361" s="1744"/>
      <c r="N361" s="1744"/>
      <c r="O361" s="1744"/>
      <c r="P361" s="1744"/>
      <c r="Q361" s="1744"/>
      <c r="R361" s="1744"/>
      <c r="S361" s="1744"/>
      <c r="T361" s="1744"/>
      <c r="U361" s="1744"/>
      <c r="V361" s="1744"/>
      <c r="W361" s="1744"/>
      <c r="X361" s="1744"/>
      <c r="Y361" s="1744"/>
      <c r="AA361" s="1744"/>
      <c r="AC361" s="1744"/>
      <c r="AD361" s="1744"/>
      <c r="AE361" s="1744"/>
      <c r="AF361" s="1744"/>
      <c r="AG361" s="1744"/>
      <c r="AH361" s="1745"/>
      <c r="AI361" s="1745"/>
      <c r="AJ361" s="1744"/>
      <c r="AK361" s="1744"/>
      <c r="AL361" s="1744"/>
      <c r="AM361" s="1744"/>
      <c r="AN361" s="1744"/>
      <c r="AO361" s="1744"/>
      <c r="AP361" s="1744"/>
      <c r="AQ361" s="1744"/>
      <c r="AR361" s="1744"/>
      <c r="AS361" s="1744"/>
      <c r="AT361" s="1744"/>
      <c r="AU361" s="1744"/>
      <c r="AV361" s="1744"/>
      <c r="AW361" s="1744"/>
      <c r="AX361" s="1744"/>
      <c r="AY361" s="1744"/>
      <c r="AZ361" s="1744"/>
      <c r="BA361" s="1744"/>
      <c r="BB361" s="1744"/>
      <c r="BC361" s="1744"/>
      <c r="BD361" s="1744"/>
      <c r="BE361" s="1744"/>
      <c r="BF361" s="1744"/>
      <c r="BG361" s="1744"/>
      <c r="BH361" s="1744"/>
      <c r="BI361" s="1744"/>
      <c r="BJ361" s="1744"/>
      <c r="BK361" s="1744"/>
      <c r="BL361" s="1744"/>
      <c r="BM361" s="1744"/>
      <c r="BN361" s="1744"/>
      <c r="BO361" s="1744"/>
      <c r="BP361" s="1744"/>
      <c r="BQ361" s="1744"/>
      <c r="BR361" s="1744"/>
      <c r="BS361" s="1744"/>
      <c r="BT361" s="1744"/>
      <c r="BU361" s="1744"/>
      <c r="BV361" s="1744"/>
      <c r="BW361" s="1744"/>
      <c r="BX361" s="1744"/>
      <c r="BY361" s="1744"/>
      <c r="BZ361" s="1744"/>
      <c r="CA361" s="1744"/>
      <c r="CB361" s="1744"/>
      <c r="CC361" s="1744"/>
      <c r="CD361" s="1744"/>
      <c r="CE361" s="1744"/>
      <c r="CF361" s="1744"/>
      <c r="CG361" s="1744"/>
      <c r="CH361" s="1744"/>
      <c r="CI361" s="1744"/>
      <c r="CJ361" s="1744"/>
      <c r="CK361" s="1744"/>
      <c r="CL361" s="1744"/>
      <c r="CM361" s="1744"/>
      <c r="CN361" s="1744"/>
      <c r="CO361" s="1744"/>
      <c r="CP361" s="1744"/>
      <c r="CQ361" s="1744"/>
      <c r="CR361" s="1744"/>
      <c r="CS361" s="1744"/>
      <c r="CT361" s="1744"/>
      <c r="CU361" s="1744"/>
      <c r="CV361" s="1744"/>
      <c r="CW361" s="1744"/>
      <c r="CX361" s="1744"/>
      <c r="CY361" s="1744"/>
      <c r="CZ361" s="1744"/>
      <c r="DA361" s="1744"/>
      <c r="DB361" s="1744"/>
      <c r="DC361" s="1744"/>
      <c r="DD361" s="1744"/>
      <c r="DE361" s="1744"/>
      <c r="DF361" s="1744"/>
      <c r="DG361" s="1744"/>
      <c r="DH361" s="1744"/>
      <c r="DI361" s="1744"/>
      <c r="DJ361" s="1744"/>
      <c r="DK361" s="1744"/>
      <c r="DL361" s="1744"/>
      <c r="DM361" s="1744"/>
      <c r="DN361" s="1744"/>
      <c r="DO361" s="1744"/>
      <c r="DP361" s="1744"/>
      <c r="DQ361" s="1744"/>
      <c r="DR361" s="1744"/>
      <c r="DS361" s="1744"/>
      <c r="DT361" s="1744"/>
      <c r="DU361" s="1744"/>
      <c r="DV361" s="1744"/>
      <c r="DW361" s="1744"/>
      <c r="DX361" s="1744"/>
      <c r="DY361" s="1744"/>
      <c r="DZ361" s="1744"/>
      <c r="EA361" s="1744"/>
      <c r="EB361" s="1744"/>
      <c r="EC361" s="1744"/>
      <c r="ED361" s="1744"/>
      <c r="EE361" s="1744"/>
      <c r="EF361" s="1744"/>
      <c r="EG361" s="1744"/>
      <c r="EH361" s="1744"/>
      <c r="EI361" s="1744"/>
      <c r="EJ361" s="1744"/>
      <c r="EK361" s="1744"/>
      <c r="EL361" s="1744"/>
      <c r="EM361" s="1744"/>
      <c r="EN361" s="1744"/>
      <c r="EO361" s="1744"/>
      <c r="EP361" s="1744"/>
      <c r="EQ361" s="1744"/>
      <c r="ER361" s="1744"/>
      <c r="ES361" s="1744"/>
      <c r="ET361" s="1744"/>
      <c r="EU361" s="1744"/>
      <c r="EV361" s="1744"/>
      <c r="EW361" s="1744"/>
      <c r="EX361" s="1744"/>
      <c r="EY361" s="1744"/>
      <c r="EZ361" s="1744"/>
      <c r="FA361" s="1744"/>
      <c r="FB361" s="1744"/>
      <c r="FC361" s="1744"/>
      <c r="FD361" s="1744"/>
      <c r="FE361" s="1744"/>
      <c r="FF361" s="1744"/>
    </row>
    <row r="363" spans="6:162" s="1746" customFormat="1" ht="15.75" customHeight="1">
      <c r="F363" s="1744"/>
      <c r="G363" s="1744"/>
      <c r="H363" s="1744"/>
      <c r="I363" s="1744"/>
      <c r="J363" s="1744"/>
      <c r="K363" s="1744"/>
      <c r="L363" s="1744"/>
      <c r="M363" s="1744"/>
      <c r="N363" s="1744"/>
      <c r="O363" s="1744"/>
      <c r="P363" s="1744"/>
      <c r="Q363" s="1744"/>
      <c r="R363" s="1744"/>
      <c r="S363" s="1744"/>
      <c r="T363" s="1744"/>
      <c r="U363" s="1744"/>
      <c r="V363" s="1744"/>
      <c r="W363" s="1744"/>
      <c r="X363" s="1744"/>
      <c r="Y363" s="1744"/>
      <c r="AA363" s="1744"/>
      <c r="AC363" s="1744"/>
      <c r="AD363" s="1744"/>
      <c r="AE363" s="1744"/>
      <c r="AF363" s="1744"/>
      <c r="AG363" s="1744"/>
      <c r="AH363" s="1745"/>
      <c r="AI363" s="1745"/>
      <c r="AJ363" s="1744"/>
      <c r="AK363" s="1744"/>
      <c r="AL363" s="1744"/>
      <c r="AM363" s="1744"/>
      <c r="AN363" s="1744"/>
      <c r="AO363" s="1744"/>
      <c r="AP363" s="1744"/>
      <c r="AQ363" s="1744"/>
      <c r="AR363" s="1744"/>
      <c r="AS363" s="1744"/>
      <c r="AT363" s="1744"/>
      <c r="AU363" s="1744"/>
      <c r="AV363" s="1744"/>
      <c r="AW363" s="1744"/>
      <c r="AX363" s="1744"/>
      <c r="AY363" s="1744"/>
      <c r="AZ363" s="1744"/>
      <c r="BA363" s="1744"/>
      <c r="BB363" s="1744"/>
      <c r="BC363" s="1744"/>
      <c r="BD363" s="1744"/>
      <c r="BE363" s="1744"/>
      <c r="BF363" s="1744"/>
      <c r="BG363" s="1744"/>
      <c r="BH363" s="1744"/>
      <c r="BI363" s="1744"/>
      <c r="BJ363" s="1744"/>
      <c r="BK363" s="1744"/>
      <c r="BL363" s="1744"/>
      <c r="BM363" s="1744"/>
      <c r="BN363" s="1744"/>
      <c r="BO363" s="1744"/>
      <c r="BP363" s="1744"/>
      <c r="BQ363" s="1744"/>
      <c r="BR363" s="1744"/>
      <c r="BS363" s="1744"/>
      <c r="BT363" s="1744"/>
      <c r="BU363" s="1744"/>
      <c r="BV363" s="1744"/>
      <c r="BW363" s="1744"/>
      <c r="BX363" s="1744"/>
      <c r="BY363" s="1744"/>
      <c r="BZ363" s="1744"/>
      <c r="CA363" s="1744"/>
      <c r="CB363" s="1744"/>
      <c r="CC363" s="1744"/>
      <c r="CD363" s="1744"/>
      <c r="CE363" s="1744"/>
      <c r="CF363" s="1744"/>
      <c r="CG363" s="1744"/>
      <c r="CH363" s="1744"/>
      <c r="CI363" s="1744"/>
      <c r="CJ363" s="1744"/>
      <c r="CK363" s="1744"/>
      <c r="CL363" s="1744"/>
      <c r="CM363" s="1744"/>
      <c r="CN363" s="1744"/>
      <c r="CO363" s="1744"/>
      <c r="CP363" s="1744"/>
      <c r="CQ363" s="1744"/>
      <c r="CR363" s="1744"/>
      <c r="CS363" s="1744"/>
      <c r="CT363" s="1744"/>
      <c r="CU363" s="1744"/>
      <c r="CV363" s="1744"/>
      <c r="CW363" s="1744"/>
      <c r="CX363" s="1744"/>
      <c r="CY363" s="1744"/>
      <c r="CZ363" s="1744"/>
      <c r="DA363" s="1744"/>
      <c r="DB363" s="1744"/>
      <c r="DC363" s="1744"/>
      <c r="DD363" s="1744"/>
      <c r="DE363" s="1744"/>
      <c r="DF363" s="1744"/>
      <c r="DG363" s="1744"/>
      <c r="DH363" s="1744"/>
      <c r="DI363" s="1744"/>
      <c r="DJ363" s="1744"/>
      <c r="DK363" s="1744"/>
      <c r="DL363" s="1744"/>
      <c r="DM363" s="1744"/>
      <c r="DN363" s="1744"/>
      <c r="DO363" s="1744"/>
      <c r="DP363" s="1744"/>
      <c r="DQ363" s="1744"/>
      <c r="DR363" s="1744"/>
      <c r="DS363" s="1744"/>
      <c r="DT363" s="1744"/>
      <c r="DU363" s="1744"/>
      <c r="DV363" s="1744"/>
      <c r="DW363" s="1744"/>
      <c r="DX363" s="1744"/>
      <c r="DY363" s="1744"/>
      <c r="DZ363" s="1744"/>
      <c r="EA363" s="1744"/>
      <c r="EB363" s="1744"/>
      <c r="EC363" s="1744"/>
      <c r="ED363" s="1744"/>
      <c r="EE363" s="1744"/>
      <c r="EF363" s="1744"/>
      <c r="EG363" s="1744"/>
      <c r="EH363" s="1744"/>
      <c r="EI363" s="1744"/>
      <c r="EJ363" s="1744"/>
      <c r="EK363" s="1744"/>
      <c r="EL363" s="1744"/>
      <c r="EM363" s="1744"/>
      <c r="EN363" s="1744"/>
      <c r="EO363" s="1744"/>
      <c r="EP363" s="1744"/>
      <c r="EQ363" s="1744"/>
      <c r="ER363" s="1744"/>
      <c r="ES363" s="1744"/>
      <c r="ET363" s="1744"/>
      <c r="EU363" s="1744"/>
      <c r="EV363" s="1744"/>
      <c r="EW363" s="1744"/>
      <c r="EX363" s="1744"/>
      <c r="EY363" s="1744"/>
      <c r="EZ363" s="1744"/>
      <c r="FA363" s="1744"/>
      <c r="FB363" s="1744"/>
      <c r="FC363" s="1744"/>
      <c r="FD363" s="1744"/>
      <c r="FE363" s="1744"/>
      <c r="FF363" s="1744"/>
    </row>
    <row r="365" spans="6:162" s="1746" customFormat="1" ht="15.75" customHeight="1">
      <c r="F365" s="1744"/>
      <c r="G365" s="1744"/>
      <c r="H365" s="1744"/>
      <c r="I365" s="1744"/>
      <c r="J365" s="1744"/>
      <c r="K365" s="1744"/>
      <c r="L365" s="1744"/>
      <c r="M365" s="1744"/>
      <c r="N365" s="1744"/>
      <c r="O365" s="1744"/>
      <c r="P365" s="1744"/>
      <c r="Q365" s="1744"/>
      <c r="R365" s="1744"/>
      <c r="S365" s="1744"/>
      <c r="T365" s="1744"/>
      <c r="U365" s="1744"/>
      <c r="V365" s="1744"/>
      <c r="W365" s="1744"/>
      <c r="X365" s="1744"/>
      <c r="Y365" s="1744"/>
      <c r="AA365" s="1744"/>
      <c r="AC365" s="1744"/>
      <c r="AD365" s="1744"/>
      <c r="AE365" s="1744"/>
      <c r="AF365" s="1744"/>
      <c r="AG365" s="1744"/>
      <c r="AH365" s="1745"/>
      <c r="AI365" s="1745"/>
      <c r="AJ365" s="1744"/>
      <c r="AK365" s="1744"/>
      <c r="AL365" s="1744"/>
      <c r="AM365" s="1744"/>
      <c r="AN365" s="1744"/>
      <c r="AO365" s="1744"/>
      <c r="AP365" s="1744"/>
      <c r="AQ365" s="1744"/>
      <c r="AR365" s="1744"/>
      <c r="AS365" s="1744"/>
      <c r="AT365" s="1744"/>
      <c r="AU365" s="1744"/>
      <c r="AV365" s="1744"/>
      <c r="AW365" s="1744"/>
      <c r="AX365" s="1744"/>
      <c r="AY365" s="1744"/>
      <c r="AZ365" s="1744"/>
      <c r="BA365" s="1744"/>
      <c r="BB365" s="1744"/>
      <c r="BC365" s="1744"/>
      <c r="BD365" s="1744"/>
      <c r="BE365" s="1744"/>
      <c r="BF365" s="1744"/>
      <c r="BG365" s="1744"/>
      <c r="BH365" s="1744"/>
      <c r="BI365" s="1744"/>
      <c r="BJ365" s="1744"/>
      <c r="BK365" s="1744"/>
      <c r="BL365" s="1744"/>
      <c r="BM365" s="1744"/>
      <c r="BN365" s="1744"/>
      <c r="BO365" s="1744"/>
      <c r="BP365" s="1744"/>
      <c r="BQ365" s="1744"/>
      <c r="BR365" s="1744"/>
      <c r="BS365" s="1744"/>
      <c r="BT365" s="1744"/>
      <c r="BU365" s="1744"/>
      <c r="BV365" s="1744"/>
      <c r="BW365" s="1744"/>
      <c r="BX365" s="1744"/>
      <c r="BY365" s="1744"/>
      <c r="BZ365" s="1744"/>
      <c r="CA365" s="1744"/>
      <c r="CB365" s="1744"/>
      <c r="CC365" s="1744"/>
      <c r="CD365" s="1744"/>
      <c r="CE365" s="1744"/>
      <c r="CF365" s="1744"/>
      <c r="CG365" s="1744"/>
      <c r="CH365" s="1744"/>
      <c r="CI365" s="1744"/>
      <c r="CJ365" s="1744"/>
      <c r="CK365" s="1744"/>
      <c r="CL365" s="1744"/>
      <c r="CM365" s="1744"/>
      <c r="CN365" s="1744"/>
      <c r="CO365" s="1744"/>
      <c r="CP365" s="1744"/>
      <c r="CQ365" s="1744"/>
      <c r="CR365" s="1744"/>
      <c r="CS365" s="1744"/>
      <c r="CT365" s="1744"/>
      <c r="CU365" s="1744"/>
      <c r="CV365" s="1744"/>
      <c r="CW365" s="1744"/>
      <c r="CX365" s="1744"/>
      <c r="CY365" s="1744"/>
      <c r="CZ365" s="1744"/>
      <c r="DA365" s="1744"/>
      <c r="DB365" s="1744"/>
      <c r="DC365" s="1744"/>
      <c r="DD365" s="1744"/>
      <c r="DE365" s="1744"/>
      <c r="DF365" s="1744"/>
      <c r="DG365" s="1744"/>
      <c r="DH365" s="1744"/>
      <c r="DI365" s="1744"/>
      <c r="DJ365" s="1744"/>
      <c r="DK365" s="1744"/>
      <c r="DL365" s="1744"/>
      <c r="DM365" s="1744"/>
      <c r="DN365" s="1744"/>
      <c r="DO365" s="1744"/>
      <c r="DP365" s="1744"/>
      <c r="DQ365" s="1744"/>
      <c r="DR365" s="1744"/>
      <c r="DS365" s="1744"/>
      <c r="DT365" s="1744"/>
      <c r="DU365" s="1744"/>
      <c r="DV365" s="1744"/>
      <c r="DW365" s="1744"/>
      <c r="DX365" s="1744"/>
      <c r="DY365" s="1744"/>
      <c r="DZ365" s="1744"/>
      <c r="EA365" s="1744"/>
      <c r="EB365" s="1744"/>
      <c r="EC365" s="1744"/>
      <c r="ED365" s="1744"/>
      <c r="EE365" s="1744"/>
      <c r="EF365" s="1744"/>
      <c r="EG365" s="1744"/>
      <c r="EH365" s="1744"/>
      <c r="EI365" s="1744"/>
      <c r="EJ365" s="1744"/>
      <c r="EK365" s="1744"/>
      <c r="EL365" s="1744"/>
      <c r="EM365" s="1744"/>
      <c r="EN365" s="1744"/>
      <c r="EO365" s="1744"/>
      <c r="EP365" s="1744"/>
      <c r="EQ365" s="1744"/>
      <c r="ER365" s="1744"/>
      <c r="ES365" s="1744"/>
      <c r="ET365" s="1744"/>
      <c r="EU365" s="1744"/>
      <c r="EV365" s="1744"/>
      <c r="EW365" s="1744"/>
      <c r="EX365" s="1744"/>
      <c r="EY365" s="1744"/>
      <c r="EZ365" s="1744"/>
      <c r="FA365" s="1744"/>
      <c r="FB365" s="1744"/>
      <c r="FC365" s="1744"/>
      <c r="FD365" s="1744"/>
      <c r="FE365" s="1744"/>
      <c r="FF365" s="1744"/>
    </row>
    <row r="367" spans="6:162" s="1746" customFormat="1" ht="15.75" customHeight="1">
      <c r="F367" s="1744"/>
      <c r="G367" s="1744"/>
      <c r="H367" s="1744"/>
      <c r="I367" s="1744"/>
      <c r="J367" s="1744"/>
      <c r="K367" s="1744"/>
      <c r="L367" s="1744"/>
      <c r="M367" s="1744"/>
      <c r="N367" s="1744"/>
      <c r="O367" s="1744"/>
      <c r="P367" s="1744"/>
      <c r="Q367" s="1744"/>
      <c r="R367" s="1744"/>
      <c r="S367" s="1744"/>
      <c r="T367" s="1744"/>
      <c r="U367" s="1744"/>
      <c r="V367" s="1744"/>
      <c r="W367" s="1744"/>
      <c r="X367" s="1744"/>
      <c r="Y367" s="1744"/>
      <c r="AA367" s="1744"/>
      <c r="AC367" s="1744"/>
      <c r="AD367" s="1744"/>
      <c r="AE367" s="1744"/>
      <c r="AF367" s="1744"/>
      <c r="AG367" s="1744"/>
      <c r="AH367" s="1745"/>
      <c r="AI367" s="1745"/>
      <c r="AJ367" s="1744"/>
      <c r="AK367" s="1744"/>
      <c r="AL367" s="1744"/>
      <c r="AM367" s="1744"/>
      <c r="AN367" s="1744"/>
      <c r="AO367" s="1744"/>
      <c r="AP367" s="1744"/>
      <c r="AQ367" s="1744"/>
      <c r="AR367" s="1744"/>
      <c r="AS367" s="1744"/>
      <c r="AT367" s="1744"/>
      <c r="AU367" s="1744"/>
      <c r="AV367" s="1744"/>
      <c r="AW367" s="1744"/>
      <c r="AX367" s="1744"/>
      <c r="AY367" s="1744"/>
      <c r="AZ367" s="1744"/>
      <c r="BA367" s="1744"/>
      <c r="BB367" s="1744"/>
      <c r="BC367" s="1744"/>
      <c r="BD367" s="1744"/>
      <c r="BE367" s="1744"/>
      <c r="BF367" s="1744"/>
      <c r="BG367" s="1744"/>
      <c r="BH367" s="1744"/>
      <c r="BI367" s="1744"/>
      <c r="BJ367" s="1744"/>
      <c r="BK367" s="1744"/>
      <c r="BL367" s="1744"/>
      <c r="BM367" s="1744"/>
      <c r="BN367" s="1744"/>
      <c r="BO367" s="1744"/>
      <c r="BP367" s="1744"/>
      <c r="BQ367" s="1744"/>
      <c r="BR367" s="1744"/>
      <c r="BS367" s="1744"/>
      <c r="BT367" s="1744"/>
      <c r="BU367" s="1744"/>
      <c r="BV367" s="1744"/>
      <c r="BW367" s="1744"/>
      <c r="BX367" s="1744"/>
      <c r="BY367" s="1744"/>
      <c r="BZ367" s="1744"/>
      <c r="CA367" s="1744"/>
      <c r="CB367" s="1744"/>
      <c r="CC367" s="1744"/>
      <c r="CD367" s="1744"/>
      <c r="CE367" s="1744"/>
      <c r="CF367" s="1744"/>
      <c r="CG367" s="1744"/>
      <c r="CH367" s="1744"/>
      <c r="CI367" s="1744"/>
      <c r="CJ367" s="1744"/>
      <c r="CK367" s="1744"/>
      <c r="CL367" s="1744"/>
      <c r="CM367" s="1744"/>
      <c r="CN367" s="1744"/>
      <c r="CO367" s="1744"/>
      <c r="CP367" s="1744"/>
      <c r="CQ367" s="1744"/>
      <c r="CR367" s="1744"/>
      <c r="CS367" s="1744"/>
      <c r="CT367" s="1744"/>
      <c r="CU367" s="1744"/>
      <c r="CV367" s="1744"/>
      <c r="CW367" s="1744"/>
      <c r="CX367" s="1744"/>
      <c r="CY367" s="1744"/>
      <c r="CZ367" s="1744"/>
      <c r="DA367" s="1744"/>
      <c r="DB367" s="1744"/>
      <c r="DC367" s="1744"/>
      <c r="DD367" s="1744"/>
      <c r="DE367" s="1744"/>
      <c r="DF367" s="1744"/>
      <c r="DG367" s="1744"/>
      <c r="DH367" s="1744"/>
      <c r="DI367" s="1744"/>
      <c r="DJ367" s="1744"/>
      <c r="DK367" s="1744"/>
      <c r="DL367" s="1744"/>
      <c r="DM367" s="1744"/>
      <c r="DN367" s="1744"/>
      <c r="DO367" s="1744"/>
      <c r="DP367" s="1744"/>
      <c r="DQ367" s="1744"/>
      <c r="DR367" s="1744"/>
      <c r="DS367" s="1744"/>
      <c r="DT367" s="1744"/>
      <c r="DU367" s="1744"/>
      <c r="DV367" s="1744"/>
      <c r="DW367" s="1744"/>
      <c r="DX367" s="1744"/>
      <c r="DY367" s="1744"/>
      <c r="DZ367" s="1744"/>
      <c r="EA367" s="1744"/>
      <c r="EB367" s="1744"/>
      <c r="EC367" s="1744"/>
      <c r="ED367" s="1744"/>
      <c r="EE367" s="1744"/>
      <c r="EF367" s="1744"/>
      <c r="EG367" s="1744"/>
      <c r="EH367" s="1744"/>
      <c r="EI367" s="1744"/>
      <c r="EJ367" s="1744"/>
      <c r="EK367" s="1744"/>
      <c r="EL367" s="1744"/>
      <c r="EM367" s="1744"/>
      <c r="EN367" s="1744"/>
      <c r="EO367" s="1744"/>
      <c r="EP367" s="1744"/>
      <c r="EQ367" s="1744"/>
      <c r="ER367" s="1744"/>
      <c r="ES367" s="1744"/>
      <c r="ET367" s="1744"/>
      <c r="EU367" s="1744"/>
      <c r="EV367" s="1744"/>
      <c r="EW367" s="1744"/>
      <c r="EX367" s="1744"/>
      <c r="EY367" s="1744"/>
      <c r="EZ367" s="1744"/>
      <c r="FA367" s="1744"/>
      <c r="FB367" s="1744"/>
      <c r="FC367" s="1744"/>
      <c r="FD367" s="1744"/>
      <c r="FE367" s="1744"/>
      <c r="FF367" s="1744"/>
    </row>
    <row r="369" spans="6:162" s="1746" customFormat="1" ht="15.75" customHeight="1">
      <c r="F369" s="1744"/>
      <c r="G369" s="1744"/>
      <c r="H369" s="1744"/>
      <c r="I369" s="1744"/>
      <c r="J369" s="1744"/>
      <c r="K369" s="1744"/>
      <c r="L369" s="1744"/>
      <c r="M369" s="1744"/>
      <c r="N369" s="1744"/>
      <c r="O369" s="1744"/>
      <c r="P369" s="1744"/>
      <c r="Q369" s="1744"/>
      <c r="R369" s="1744"/>
      <c r="S369" s="1744"/>
      <c r="T369" s="1744"/>
      <c r="U369" s="1744"/>
      <c r="V369" s="1744"/>
      <c r="W369" s="1744"/>
      <c r="X369" s="1744"/>
      <c r="Y369" s="1744"/>
      <c r="AA369" s="1744"/>
      <c r="AC369" s="1744"/>
      <c r="AD369" s="1744"/>
      <c r="AE369" s="1744"/>
      <c r="AF369" s="1744"/>
      <c r="AG369" s="1744"/>
      <c r="AH369" s="1745"/>
      <c r="AI369" s="1745"/>
      <c r="AJ369" s="1744"/>
      <c r="AK369" s="1744"/>
      <c r="AL369" s="1744"/>
      <c r="AM369" s="1744"/>
      <c r="AN369" s="1744"/>
      <c r="AO369" s="1744"/>
      <c r="AP369" s="1744"/>
      <c r="AQ369" s="1744"/>
      <c r="AR369" s="1744"/>
      <c r="AS369" s="1744"/>
      <c r="AT369" s="1744"/>
      <c r="AU369" s="1744"/>
      <c r="AV369" s="1744"/>
      <c r="AW369" s="1744"/>
      <c r="AX369" s="1744"/>
      <c r="AY369" s="1744"/>
      <c r="AZ369" s="1744"/>
      <c r="BA369" s="1744"/>
      <c r="BB369" s="1744"/>
      <c r="BC369" s="1744"/>
      <c r="BD369" s="1744"/>
      <c r="BE369" s="1744"/>
      <c r="BF369" s="1744"/>
      <c r="BG369" s="1744"/>
      <c r="BH369" s="1744"/>
      <c r="BI369" s="1744"/>
      <c r="BJ369" s="1744"/>
      <c r="BK369" s="1744"/>
      <c r="BL369" s="1744"/>
      <c r="BM369" s="1744"/>
      <c r="BN369" s="1744"/>
      <c r="BO369" s="1744"/>
      <c r="BP369" s="1744"/>
      <c r="BQ369" s="1744"/>
      <c r="BR369" s="1744"/>
      <c r="BS369" s="1744"/>
      <c r="BT369" s="1744"/>
      <c r="BU369" s="1744"/>
      <c r="BV369" s="1744"/>
      <c r="BW369" s="1744"/>
      <c r="BX369" s="1744"/>
      <c r="BY369" s="1744"/>
      <c r="BZ369" s="1744"/>
      <c r="CA369" s="1744"/>
      <c r="CB369" s="1744"/>
      <c r="CC369" s="1744"/>
      <c r="CD369" s="1744"/>
      <c r="CE369" s="1744"/>
      <c r="CF369" s="1744"/>
      <c r="CG369" s="1744"/>
      <c r="CH369" s="1744"/>
      <c r="CI369" s="1744"/>
      <c r="CJ369" s="1744"/>
      <c r="CK369" s="1744"/>
      <c r="CL369" s="1744"/>
      <c r="CM369" s="1744"/>
      <c r="CN369" s="1744"/>
      <c r="CO369" s="1744"/>
      <c r="CP369" s="1744"/>
      <c r="CQ369" s="1744"/>
      <c r="CR369" s="1744"/>
      <c r="CS369" s="1744"/>
      <c r="CT369" s="1744"/>
      <c r="CU369" s="1744"/>
      <c r="CV369" s="1744"/>
      <c r="CW369" s="1744"/>
      <c r="CX369" s="1744"/>
      <c r="CY369" s="1744"/>
      <c r="CZ369" s="1744"/>
      <c r="DA369" s="1744"/>
      <c r="DB369" s="1744"/>
      <c r="DC369" s="1744"/>
      <c r="DD369" s="1744"/>
      <c r="DE369" s="1744"/>
      <c r="DF369" s="1744"/>
      <c r="DG369" s="1744"/>
      <c r="DH369" s="1744"/>
      <c r="DI369" s="1744"/>
      <c r="DJ369" s="1744"/>
      <c r="DK369" s="1744"/>
      <c r="DL369" s="1744"/>
      <c r="DM369" s="1744"/>
      <c r="DN369" s="1744"/>
      <c r="DO369" s="1744"/>
      <c r="DP369" s="1744"/>
      <c r="DQ369" s="1744"/>
      <c r="DR369" s="1744"/>
      <c r="DS369" s="1744"/>
      <c r="DT369" s="1744"/>
      <c r="DU369" s="1744"/>
      <c r="DV369" s="1744"/>
      <c r="DW369" s="1744"/>
      <c r="DX369" s="1744"/>
      <c r="DY369" s="1744"/>
      <c r="DZ369" s="1744"/>
      <c r="EA369" s="1744"/>
      <c r="EB369" s="1744"/>
      <c r="EC369" s="1744"/>
      <c r="ED369" s="1744"/>
      <c r="EE369" s="1744"/>
      <c r="EF369" s="1744"/>
      <c r="EG369" s="1744"/>
      <c r="EH369" s="1744"/>
      <c r="EI369" s="1744"/>
      <c r="EJ369" s="1744"/>
      <c r="EK369" s="1744"/>
      <c r="EL369" s="1744"/>
      <c r="EM369" s="1744"/>
      <c r="EN369" s="1744"/>
      <c r="EO369" s="1744"/>
      <c r="EP369" s="1744"/>
      <c r="EQ369" s="1744"/>
      <c r="ER369" s="1744"/>
      <c r="ES369" s="1744"/>
      <c r="ET369" s="1744"/>
      <c r="EU369" s="1744"/>
      <c r="EV369" s="1744"/>
      <c r="EW369" s="1744"/>
      <c r="EX369" s="1744"/>
      <c r="EY369" s="1744"/>
      <c r="EZ369" s="1744"/>
      <c r="FA369" s="1744"/>
      <c r="FB369" s="1744"/>
      <c r="FC369" s="1744"/>
      <c r="FD369" s="1744"/>
      <c r="FE369" s="1744"/>
      <c r="FF369" s="1744"/>
    </row>
    <row r="371" spans="6:162" s="1746" customFormat="1" ht="15.75" customHeight="1">
      <c r="F371" s="1744"/>
      <c r="G371" s="1744"/>
      <c r="H371" s="1744"/>
      <c r="I371" s="1744"/>
      <c r="J371" s="1744"/>
      <c r="K371" s="1744"/>
      <c r="L371" s="1744"/>
      <c r="M371" s="1744"/>
      <c r="N371" s="1744"/>
      <c r="O371" s="1744"/>
      <c r="P371" s="1744"/>
      <c r="Q371" s="1744"/>
      <c r="R371" s="1744"/>
      <c r="S371" s="1744"/>
      <c r="T371" s="1744"/>
      <c r="U371" s="1744"/>
      <c r="V371" s="1744"/>
      <c r="W371" s="1744"/>
      <c r="X371" s="1744"/>
      <c r="Y371" s="1744"/>
      <c r="AA371" s="1744"/>
      <c r="AC371" s="1744"/>
      <c r="AD371" s="1744"/>
      <c r="AE371" s="1744"/>
      <c r="AF371" s="1744"/>
      <c r="AG371" s="1744"/>
      <c r="AH371" s="1745"/>
      <c r="AI371" s="1745"/>
      <c r="AJ371" s="1744"/>
      <c r="AK371" s="1744"/>
      <c r="AL371" s="1744"/>
      <c r="AM371" s="1744"/>
      <c r="AN371" s="1744"/>
      <c r="AO371" s="1744"/>
      <c r="AP371" s="1744"/>
      <c r="AQ371" s="1744"/>
      <c r="AR371" s="1744"/>
      <c r="AS371" s="1744"/>
      <c r="AT371" s="1744"/>
      <c r="AU371" s="1744"/>
      <c r="AV371" s="1744"/>
      <c r="AW371" s="1744"/>
      <c r="AX371" s="1744"/>
      <c r="AY371" s="1744"/>
      <c r="AZ371" s="1744"/>
      <c r="BA371" s="1744"/>
      <c r="BB371" s="1744"/>
      <c r="BC371" s="1744"/>
      <c r="BD371" s="1744"/>
      <c r="BE371" s="1744"/>
      <c r="BF371" s="1744"/>
      <c r="BG371" s="1744"/>
      <c r="BH371" s="1744"/>
      <c r="BI371" s="1744"/>
      <c r="BJ371" s="1744"/>
      <c r="BK371" s="1744"/>
      <c r="BL371" s="1744"/>
      <c r="BM371" s="1744"/>
      <c r="BN371" s="1744"/>
      <c r="BO371" s="1744"/>
      <c r="BP371" s="1744"/>
      <c r="BQ371" s="1744"/>
      <c r="BR371" s="1744"/>
      <c r="BS371" s="1744"/>
      <c r="BT371" s="1744"/>
      <c r="BU371" s="1744"/>
      <c r="BV371" s="1744"/>
      <c r="BW371" s="1744"/>
      <c r="BX371" s="1744"/>
      <c r="BY371" s="1744"/>
      <c r="BZ371" s="1744"/>
      <c r="CA371" s="1744"/>
      <c r="CB371" s="1744"/>
      <c r="CC371" s="1744"/>
      <c r="CD371" s="1744"/>
      <c r="CE371" s="1744"/>
      <c r="CF371" s="1744"/>
      <c r="CG371" s="1744"/>
      <c r="CH371" s="1744"/>
      <c r="CI371" s="1744"/>
      <c r="CJ371" s="1744"/>
      <c r="CK371" s="1744"/>
      <c r="CL371" s="1744"/>
      <c r="CM371" s="1744"/>
      <c r="CN371" s="1744"/>
      <c r="CO371" s="1744"/>
      <c r="CP371" s="1744"/>
      <c r="CQ371" s="1744"/>
      <c r="CR371" s="1744"/>
      <c r="CS371" s="1744"/>
      <c r="CT371" s="1744"/>
      <c r="CU371" s="1744"/>
      <c r="CV371" s="1744"/>
      <c r="CW371" s="1744"/>
      <c r="CX371" s="1744"/>
      <c r="CY371" s="1744"/>
      <c r="CZ371" s="1744"/>
      <c r="DA371" s="1744"/>
      <c r="DB371" s="1744"/>
      <c r="DC371" s="1744"/>
      <c r="DD371" s="1744"/>
      <c r="DE371" s="1744"/>
      <c r="DF371" s="1744"/>
      <c r="DG371" s="1744"/>
      <c r="DH371" s="1744"/>
      <c r="DI371" s="1744"/>
      <c r="DJ371" s="1744"/>
      <c r="DK371" s="1744"/>
      <c r="DL371" s="1744"/>
      <c r="DM371" s="1744"/>
      <c r="DN371" s="1744"/>
      <c r="DO371" s="1744"/>
      <c r="DP371" s="1744"/>
      <c r="DQ371" s="1744"/>
      <c r="DR371" s="1744"/>
      <c r="DS371" s="1744"/>
      <c r="DT371" s="1744"/>
      <c r="DU371" s="1744"/>
      <c r="DV371" s="1744"/>
      <c r="DW371" s="1744"/>
      <c r="DX371" s="1744"/>
      <c r="DY371" s="1744"/>
      <c r="DZ371" s="1744"/>
      <c r="EA371" s="1744"/>
      <c r="EB371" s="1744"/>
      <c r="EC371" s="1744"/>
      <c r="ED371" s="1744"/>
      <c r="EE371" s="1744"/>
      <c r="EF371" s="1744"/>
      <c r="EG371" s="1744"/>
      <c r="EH371" s="1744"/>
      <c r="EI371" s="1744"/>
      <c r="EJ371" s="1744"/>
      <c r="EK371" s="1744"/>
      <c r="EL371" s="1744"/>
      <c r="EM371" s="1744"/>
      <c r="EN371" s="1744"/>
      <c r="EO371" s="1744"/>
      <c r="EP371" s="1744"/>
      <c r="EQ371" s="1744"/>
      <c r="ER371" s="1744"/>
      <c r="ES371" s="1744"/>
      <c r="ET371" s="1744"/>
      <c r="EU371" s="1744"/>
      <c r="EV371" s="1744"/>
      <c r="EW371" s="1744"/>
      <c r="EX371" s="1744"/>
      <c r="EY371" s="1744"/>
      <c r="EZ371" s="1744"/>
      <c r="FA371" s="1744"/>
      <c r="FB371" s="1744"/>
      <c r="FC371" s="1744"/>
      <c r="FD371" s="1744"/>
      <c r="FE371" s="1744"/>
      <c r="FF371" s="1744"/>
    </row>
    <row r="373" spans="6:162" s="1746" customFormat="1" ht="15.75" customHeight="1">
      <c r="F373" s="1744"/>
      <c r="G373" s="1744"/>
      <c r="H373" s="1744"/>
      <c r="I373" s="1744"/>
      <c r="J373" s="1744"/>
      <c r="K373" s="1744"/>
      <c r="L373" s="1744"/>
      <c r="M373" s="1744"/>
      <c r="N373" s="1744"/>
      <c r="O373" s="1744"/>
      <c r="P373" s="1744"/>
      <c r="Q373" s="1744"/>
      <c r="R373" s="1744"/>
      <c r="S373" s="1744"/>
      <c r="T373" s="1744"/>
      <c r="U373" s="1744"/>
      <c r="V373" s="1744"/>
      <c r="W373" s="1744"/>
      <c r="X373" s="1744"/>
      <c r="Y373" s="1744"/>
      <c r="AA373" s="1744"/>
      <c r="AC373" s="1744"/>
      <c r="AD373" s="1744"/>
      <c r="AE373" s="1744"/>
      <c r="AF373" s="1744"/>
      <c r="AG373" s="1744"/>
      <c r="AH373" s="1745"/>
      <c r="AI373" s="1745"/>
      <c r="AJ373" s="1744"/>
      <c r="AK373" s="1744"/>
      <c r="AL373" s="1744"/>
      <c r="AM373" s="1744"/>
      <c r="AN373" s="1744"/>
      <c r="AO373" s="1744"/>
      <c r="AP373" s="1744"/>
      <c r="AQ373" s="1744"/>
      <c r="AR373" s="1744"/>
      <c r="AS373" s="1744"/>
      <c r="AT373" s="1744"/>
      <c r="AU373" s="1744"/>
      <c r="AV373" s="1744"/>
      <c r="AW373" s="1744"/>
      <c r="AX373" s="1744"/>
      <c r="AY373" s="1744"/>
      <c r="AZ373" s="1744"/>
      <c r="BA373" s="1744"/>
      <c r="BB373" s="1744"/>
      <c r="BC373" s="1744"/>
      <c r="BD373" s="1744"/>
      <c r="BE373" s="1744"/>
      <c r="BF373" s="1744"/>
      <c r="BG373" s="1744"/>
      <c r="BH373" s="1744"/>
      <c r="BI373" s="1744"/>
      <c r="BJ373" s="1744"/>
      <c r="BK373" s="1744"/>
      <c r="BL373" s="1744"/>
      <c r="BM373" s="1744"/>
      <c r="BN373" s="1744"/>
      <c r="BO373" s="1744"/>
      <c r="BP373" s="1744"/>
      <c r="BQ373" s="1744"/>
      <c r="BR373" s="1744"/>
      <c r="BS373" s="1744"/>
      <c r="BT373" s="1744"/>
      <c r="BU373" s="1744"/>
      <c r="BV373" s="1744"/>
      <c r="BW373" s="1744"/>
      <c r="BX373" s="1744"/>
      <c r="BY373" s="1744"/>
      <c r="BZ373" s="1744"/>
      <c r="CA373" s="1744"/>
      <c r="CB373" s="1744"/>
      <c r="CC373" s="1744"/>
      <c r="CD373" s="1744"/>
      <c r="CE373" s="1744"/>
      <c r="CF373" s="1744"/>
      <c r="CG373" s="1744"/>
      <c r="CH373" s="1744"/>
      <c r="CI373" s="1744"/>
      <c r="CJ373" s="1744"/>
      <c r="CK373" s="1744"/>
      <c r="CL373" s="1744"/>
      <c r="CM373" s="1744"/>
      <c r="CN373" s="1744"/>
      <c r="CO373" s="1744"/>
      <c r="CP373" s="1744"/>
      <c r="CQ373" s="1744"/>
      <c r="CR373" s="1744"/>
      <c r="CS373" s="1744"/>
      <c r="CT373" s="1744"/>
      <c r="CU373" s="1744"/>
      <c r="CV373" s="1744"/>
      <c r="CW373" s="1744"/>
      <c r="CX373" s="1744"/>
      <c r="CY373" s="1744"/>
      <c r="CZ373" s="1744"/>
      <c r="DA373" s="1744"/>
      <c r="DB373" s="1744"/>
      <c r="DC373" s="1744"/>
      <c r="DD373" s="1744"/>
      <c r="DE373" s="1744"/>
      <c r="DF373" s="1744"/>
      <c r="DG373" s="1744"/>
      <c r="DH373" s="1744"/>
      <c r="DI373" s="1744"/>
      <c r="DJ373" s="1744"/>
      <c r="DK373" s="1744"/>
      <c r="DL373" s="1744"/>
      <c r="DM373" s="1744"/>
      <c r="DN373" s="1744"/>
      <c r="DO373" s="1744"/>
      <c r="DP373" s="1744"/>
      <c r="DQ373" s="1744"/>
      <c r="DR373" s="1744"/>
      <c r="DS373" s="1744"/>
      <c r="DT373" s="1744"/>
      <c r="DU373" s="1744"/>
      <c r="DV373" s="1744"/>
      <c r="DW373" s="1744"/>
      <c r="DX373" s="1744"/>
      <c r="DY373" s="1744"/>
      <c r="DZ373" s="1744"/>
      <c r="EA373" s="1744"/>
      <c r="EB373" s="1744"/>
      <c r="EC373" s="1744"/>
      <c r="ED373" s="1744"/>
      <c r="EE373" s="1744"/>
      <c r="EF373" s="1744"/>
      <c r="EG373" s="1744"/>
      <c r="EH373" s="1744"/>
      <c r="EI373" s="1744"/>
      <c r="EJ373" s="1744"/>
      <c r="EK373" s="1744"/>
      <c r="EL373" s="1744"/>
      <c r="EM373" s="1744"/>
      <c r="EN373" s="1744"/>
      <c r="EO373" s="1744"/>
      <c r="EP373" s="1744"/>
      <c r="EQ373" s="1744"/>
      <c r="ER373" s="1744"/>
      <c r="ES373" s="1744"/>
      <c r="ET373" s="1744"/>
      <c r="EU373" s="1744"/>
      <c r="EV373" s="1744"/>
      <c r="EW373" s="1744"/>
      <c r="EX373" s="1744"/>
      <c r="EY373" s="1744"/>
      <c r="EZ373" s="1744"/>
      <c r="FA373" s="1744"/>
      <c r="FB373" s="1744"/>
      <c r="FC373" s="1744"/>
      <c r="FD373" s="1744"/>
      <c r="FE373" s="1744"/>
      <c r="FF373" s="1744"/>
    </row>
    <row r="375" spans="6:162" s="1746" customFormat="1" ht="15.75" customHeight="1">
      <c r="F375" s="1744"/>
      <c r="G375" s="1744"/>
      <c r="H375" s="1744"/>
      <c r="I375" s="1744"/>
      <c r="J375" s="1744"/>
      <c r="K375" s="1744"/>
      <c r="L375" s="1744"/>
      <c r="M375" s="1744"/>
      <c r="N375" s="1744"/>
      <c r="O375" s="1744"/>
      <c r="P375" s="1744"/>
      <c r="Q375" s="1744"/>
      <c r="R375" s="1744"/>
      <c r="S375" s="1744"/>
      <c r="T375" s="1744"/>
      <c r="U375" s="1744"/>
      <c r="V375" s="1744"/>
      <c r="W375" s="1744"/>
      <c r="X375" s="1744"/>
      <c r="Y375" s="1744"/>
      <c r="AA375" s="1744"/>
      <c r="AC375" s="1744"/>
      <c r="AD375" s="1744"/>
      <c r="AE375" s="1744"/>
      <c r="AF375" s="1744"/>
      <c r="AG375" s="1744"/>
      <c r="AH375" s="1745"/>
      <c r="AI375" s="1745"/>
      <c r="AJ375" s="1744"/>
      <c r="AK375" s="1744"/>
      <c r="AL375" s="1744"/>
      <c r="AM375" s="1744"/>
      <c r="AN375" s="1744"/>
      <c r="AO375" s="1744"/>
      <c r="AP375" s="1744"/>
      <c r="AQ375" s="1744"/>
      <c r="AR375" s="1744"/>
      <c r="AS375" s="1744"/>
      <c r="AT375" s="1744"/>
      <c r="AU375" s="1744"/>
      <c r="AV375" s="1744"/>
      <c r="AW375" s="1744"/>
      <c r="AX375" s="1744"/>
      <c r="AY375" s="1744"/>
      <c r="AZ375" s="1744"/>
      <c r="BA375" s="1744"/>
      <c r="BB375" s="1744"/>
      <c r="BC375" s="1744"/>
      <c r="BD375" s="1744"/>
      <c r="BE375" s="1744"/>
      <c r="BF375" s="1744"/>
      <c r="BG375" s="1744"/>
      <c r="BH375" s="1744"/>
      <c r="BI375" s="1744"/>
      <c r="BJ375" s="1744"/>
      <c r="BK375" s="1744"/>
      <c r="BL375" s="1744"/>
      <c r="BM375" s="1744"/>
      <c r="BN375" s="1744"/>
      <c r="BO375" s="1744"/>
      <c r="BP375" s="1744"/>
      <c r="BQ375" s="1744"/>
      <c r="BR375" s="1744"/>
      <c r="BS375" s="1744"/>
      <c r="BT375" s="1744"/>
      <c r="BU375" s="1744"/>
      <c r="BV375" s="1744"/>
      <c r="BW375" s="1744"/>
      <c r="BX375" s="1744"/>
      <c r="BY375" s="1744"/>
      <c r="BZ375" s="1744"/>
      <c r="CA375" s="1744"/>
      <c r="CB375" s="1744"/>
      <c r="CC375" s="1744"/>
      <c r="CD375" s="1744"/>
      <c r="CE375" s="1744"/>
      <c r="CF375" s="1744"/>
      <c r="CG375" s="1744"/>
      <c r="CH375" s="1744"/>
      <c r="CI375" s="1744"/>
      <c r="CJ375" s="1744"/>
      <c r="CK375" s="1744"/>
      <c r="CL375" s="1744"/>
      <c r="CM375" s="1744"/>
      <c r="CN375" s="1744"/>
      <c r="CO375" s="1744"/>
      <c r="CP375" s="1744"/>
      <c r="CQ375" s="1744"/>
      <c r="CR375" s="1744"/>
      <c r="CS375" s="1744"/>
      <c r="CT375" s="1744"/>
      <c r="CU375" s="1744"/>
      <c r="CV375" s="1744"/>
      <c r="CW375" s="1744"/>
      <c r="CX375" s="1744"/>
      <c r="CY375" s="1744"/>
      <c r="CZ375" s="1744"/>
      <c r="DA375" s="1744"/>
      <c r="DB375" s="1744"/>
      <c r="DC375" s="1744"/>
      <c r="DD375" s="1744"/>
      <c r="DE375" s="1744"/>
      <c r="DF375" s="1744"/>
      <c r="DG375" s="1744"/>
      <c r="DH375" s="1744"/>
      <c r="DI375" s="1744"/>
      <c r="DJ375" s="1744"/>
      <c r="DK375" s="1744"/>
      <c r="DL375" s="1744"/>
      <c r="DM375" s="1744"/>
      <c r="DN375" s="1744"/>
      <c r="DO375" s="1744"/>
      <c r="DP375" s="1744"/>
      <c r="DQ375" s="1744"/>
      <c r="DR375" s="1744"/>
      <c r="DS375" s="1744"/>
      <c r="DT375" s="1744"/>
      <c r="DU375" s="1744"/>
      <c r="DV375" s="1744"/>
      <c r="DW375" s="1744"/>
      <c r="DX375" s="1744"/>
      <c r="DY375" s="1744"/>
      <c r="DZ375" s="1744"/>
      <c r="EA375" s="1744"/>
      <c r="EB375" s="1744"/>
      <c r="EC375" s="1744"/>
      <c r="ED375" s="1744"/>
      <c r="EE375" s="1744"/>
      <c r="EF375" s="1744"/>
      <c r="EG375" s="1744"/>
      <c r="EH375" s="1744"/>
      <c r="EI375" s="1744"/>
      <c r="EJ375" s="1744"/>
      <c r="EK375" s="1744"/>
      <c r="EL375" s="1744"/>
      <c r="EM375" s="1744"/>
      <c r="EN375" s="1744"/>
      <c r="EO375" s="1744"/>
      <c r="EP375" s="1744"/>
      <c r="EQ375" s="1744"/>
      <c r="ER375" s="1744"/>
      <c r="ES375" s="1744"/>
      <c r="ET375" s="1744"/>
      <c r="EU375" s="1744"/>
      <c r="EV375" s="1744"/>
      <c r="EW375" s="1744"/>
      <c r="EX375" s="1744"/>
      <c r="EY375" s="1744"/>
      <c r="EZ375" s="1744"/>
      <c r="FA375" s="1744"/>
      <c r="FB375" s="1744"/>
      <c r="FC375" s="1744"/>
      <c r="FD375" s="1744"/>
      <c r="FE375" s="1744"/>
      <c r="FF375" s="1744"/>
    </row>
    <row r="377" spans="6:162" s="1746" customFormat="1" ht="15.75" customHeight="1">
      <c r="F377" s="1744"/>
      <c r="G377" s="1744"/>
      <c r="H377" s="1744"/>
      <c r="I377" s="1744"/>
      <c r="J377" s="1744"/>
      <c r="K377" s="1744"/>
      <c r="L377" s="1744"/>
      <c r="M377" s="1744"/>
      <c r="N377" s="1744"/>
      <c r="O377" s="1744"/>
      <c r="P377" s="1744"/>
      <c r="Q377" s="1744"/>
      <c r="R377" s="1744"/>
      <c r="S377" s="1744"/>
      <c r="T377" s="1744"/>
      <c r="U377" s="1744"/>
      <c r="V377" s="1744"/>
      <c r="W377" s="1744"/>
      <c r="X377" s="1744"/>
      <c r="Y377" s="1744"/>
      <c r="AA377" s="1744"/>
      <c r="AC377" s="1744"/>
      <c r="AD377" s="1744"/>
      <c r="AE377" s="1744"/>
      <c r="AF377" s="1744"/>
      <c r="AG377" s="1744"/>
      <c r="AH377" s="1745"/>
      <c r="AI377" s="1745"/>
      <c r="AJ377" s="1744"/>
      <c r="AK377" s="1744"/>
      <c r="AL377" s="1744"/>
      <c r="AM377" s="1744"/>
      <c r="AN377" s="1744"/>
      <c r="AO377" s="1744"/>
      <c r="AP377" s="1744"/>
      <c r="AQ377" s="1744"/>
      <c r="AR377" s="1744"/>
      <c r="AS377" s="1744"/>
      <c r="AT377" s="1744"/>
      <c r="AU377" s="1744"/>
      <c r="AV377" s="1744"/>
      <c r="AW377" s="1744"/>
      <c r="AX377" s="1744"/>
      <c r="AY377" s="1744"/>
      <c r="AZ377" s="1744"/>
      <c r="BA377" s="1744"/>
      <c r="BB377" s="1744"/>
      <c r="BC377" s="1744"/>
      <c r="BD377" s="1744"/>
      <c r="BE377" s="1744"/>
      <c r="BF377" s="1744"/>
      <c r="BG377" s="1744"/>
      <c r="BH377" s="1744"/>
      <c r="BI377" s="1744"/>
      <c r="BJ377" s="1744"/>
      <c r="BK377" s="1744"/>
      <c r="BL377" s="1744"/>
      <c r="BM377" s="1744"/>
      <c r="BN377" s="1744"/>
      <c r="BO377" s="1744"/>
      <c r="BP377" s="1744"/>
      <c r="BQ377" s="1744"/>
      <c r="BR377" s="1744"/>
      <c r="BS377" s="1744"/>
      <c r="BT377" s="1744"/>
      <c r="BU377" s="1744"/>
      <c r="BV377" s="1744"/>
      <c r="BW377" s="1744"/>
      <c r="BX377" s="1744"/>
      <c r="BY377" s="1744"/>
      <c r="BZ377" s="1744"/>
      <c r="CA377" s="1744"/>
      <c r="CB377" s="1744"/>
      <c r="CC377" s="1744"/>
      <c r="CD377" s="1744"/>
      <c r="CE377" s="1744"/>
      <c r="CF377" s="1744"/>
      <c r="CG377" s="1744"/>
      <c r="CH377" s="1744"/>
      <c r="CI377" s="1744"/>
      <c r="CJ377" s="1744"/>
      <c r="CK377" s="1744"/>
      <c r="CL377" s="1744"/>
      <c r="CM377" s="1744"/>
      <c r="CN377" s="1744"/>
      <c r="CO377" s="1744"/>
      <c r="CP377" s="1744"/>
      <c r="CQ377" s="1744"/>
      <c r="CR377" s="1744"/>
      <c r="CS377" s="1744"/>
      <c r="CT377" s="1744"/>
      <c r="CU377" s="1744"/>
      <c r="CV377" s="1744"/>
      <c r="CW377" s="1744"/>
      <c r="CX377" s="1744"/>
      <c r="CY377" s="1744"/>
      <c r="CZ377" s="1744"/>
      <c r="DA377" s="1744"/>
      <c r="DB377" s="1744"/>
      <c r="DC377" s="1744"/>
      <c r="DD377" s="1744"/>
      <c r="DE377" s="1744"/>
      <c r="DF377" s="1744"/>
      <c r="DG377" s="1744"/>
      <c r="DH377" s="1744"/>
      <c r="DI377" s="1744"/>
      <c r="DJ377" s="1744"/>
      <c r="DK377" s="1744"/>
      <c r="DL377" s="1744"/>
      <c r="DM377" s="1744"/>
      <c r="DN377" s="1744"/>
      <c r="DO377" s="1744"/>
      <c r="DP377" s="1744"/>
      <c r="DQ377" s="1744"/>
      <c r="DR377" s="1744"/>
      <c r="DS377" s="1744"/>
      <c r="DT377" s="1744"/>
      <c r="DU377" s="1744"/>
      <c r="DV377" s="1744"/>
      <c r="DW377" s="1744"/>
      <c r="DX377" s="1744"/>
      <c r="DY377" s="1744"/>
      <c r="DZ377" s="1744"/>
      <c r="EA377" s="1744"/>
      <c r="EB377" s="1744"/>
      <c r="EC377" s="1744"/>
      <c r="ED377" s="1744"/>
      <c r="EE377" s="1744"/>
      <c r="EF377" s="1744"/>
      <c r="EG377" s="1744"/>
      <c r="EH377" s="1744"/>
      <c r="EI377" s="1744"/>
      <c r="EJ377" s="1744"/>
      <c r="EK377" s="1744"/>
      <c r="EL377" s="1744"/>
      <c r="EM377" s="1744"/>
      <c r="EN377" s="1744"/>
      <c r="EO377" s="1744"/>
      <c r="EP377" s="1744"/>
      <c r="EQ377" s="1744"/>
      <c r="ER377" s="1744"/>
      <c r="ES377" s="1744"/>
      <c r="ET377" s="1744"/>
      <c r="EU377" s="1744"/>
      <c r="EV377" s="1744"/>
      <c r="EW377" s="1744"/>
      <c r="EX377" s="1744"/>
      <c r="EY377" s="1744"/>
      <c r="EZ377" s="1744"/>
      <c r="FA377" s="1744"/>
      <c r="FB377" s="1744"/>
      <c r="FC377" s="1744"/>
      <c r="FD377" s="1744"/>
      <c r="FE377" s="1744"/>
      <c r="FF377" s="1744"/>
    </row>
    <row r="379" spans="6:162" s="1746" customFormat="1" ht="15.75" customHeight="1">
      <c r="F379" s="1744"/>
      <c r="G379" s="1744"/>
      <c r="H379" s="1744"/>
      <c r="I379" s="1744"/>
      <c r="J379" s="1744"/>
      <c r="K379" s="1744"/>
      <c r="L379" s="1744"/>
      <c r="M379" s="1744"/>
      <c r="N379" s="1744"/>
      <c r="O379" s="1744"/>
      <c r="P379" s="1744"/>
      <c r="Q379" s="1744"/>
      <c r="R379" s="1744"/>
      <c r="S379" s="1744"/>
      <c r="T379" s="1744"/>
      <c r="U379" s="1744"/>
      <c r="V379" s="1744"/>
      <c r="W379" s="1744"/>
      <c r="X379" s="1744"/>
      <c r="Y379" s="1744"/>
      <c r="AA379" s="1744"/>
      <c r="AC379" s="1744"/>
      <c r="AD379" s="1744"/>
      <c r="AE379" s="1744"/>
      <c r="AF379" s="1744"/>
      <c r="AG379" s="1744"/>
      <c r="AH379" s="1745"/>
      <c r="AI379" s="1745"/>
      <c r="AJ379" s="1744"/>
      <c r="AK379" s="1744"/>
      <c r="AL379" s="1744"/>
      <c r="AM379" s="1744"/>
      <c r="AN379" s="1744"/>
      <c r="AO379" s="1744"/>
      <c r="AP379" s="1744"/>
      <c r="AQ379" s="1744"/>
      <c r="AR379" s="1744"/>
      <c r="AS379" s="1744"/>
      <c r="AT379" s="1744"/>
      <c r="AU379" s="1744"/>
      <c r="AV379" s="1744"/>
      <c r="AW379" s="1744"/>
      <c r="AX379" s="1744"/>
      <c r="AY379" s="1744"/>
      <c r="AZ379" s="1744"/>
      <c r="BA379" s="1744"/>
      <c r="BB379" s="1744"/>
      <c r="BC379" s="1744"/>
      <c r="BD379" s="1744"/>
      <c r="BE379" s="1744"/>
      <c r="BF379" s="1744"/>
      <c r="BG379" s="1744"/>
      <c r="BH379" s="1744"/>
      <c r="BI379" s="1744"/>
      <c r="BJ379" s="1744"/>
      <c r="BK379" s="1744"/>
      <c r="BL379" s="1744"/>
      <c r="BM379" s="1744"/>
      <c r="BN379" s="1744"/>
      <c r="BO379" s="1744"/>
      <c r="BP379" s="1744"/>
      <c r="BQ379" s="1744"/>
      <c r="BR379" s="1744"/>
      <c r="BS379" s="1744"/>
      <c r="BT379" s="1744"/>
      <c r="BU379" s="1744"/>
      <c r="BV379" s="1744"/>
      <c r="BW379" s="1744"/>
      <c r="BX379" s="1744"/>
      <c r="BY379" s="1744"/>
      <c r="BZ379" s="1744"/>
      <c r="CA379" s="1744"/>
      <c r="CB379" s="1744"/>
      <c r="CC379" s="1744"/>
      <c r="CD379" s="1744"/>
      <c r="CE379" s="1744"/>
      <c r="CF379" s="1744"/>
      <c r="CG379" s="1744"/>
      <c r="CH379" s="1744"/>
      <c r="CI379" s="1744"/>
      <c r="CJ379" s="1744"/>
      <c r="CK379" s="1744"/>
      <c r="CL379" s="1744"/>
      <c r="CM379" s="1744"/>
      <c r="CN379" s="1744"/>
      <c r="CO379" s="1744"/>
      <c r="CP379" s="1744"/>
      <c r="CQ379" s="1744"/>
      <c r="CR379" s="1744"/>
      <c r="CS379" s="1744"/>
      <c r="CT379" s="1744"/>
      <c r="CU379" s="1744"/>
      <c r="CV379" s="1744"/>
      <c r="CW379" s="1744"/>
      <c r="CX379" s="1744"/>
      <c r="CY379" s="1744"/>
      <c r="CZ379" s="1744"/>
      <c r="DA379" s="1744"/>
      <c r="DB379" s="1744"/>
      <c r="DC379" s="1744"/>
      <c r="DD379" s="1744"/>
      <c r="DE379" s="1744"/>
      <c r="DF379" s="1744"/>
      <c r="DG379" s="1744"/>
      <c r="DH379" s="1744"/>
      <c r="DI379" s="1744"/>
      <c r="DJ379" s="1744"/>
      <c r="DK379" s="1744"/>
      <c r="DL379" s="1744"/>
      <c r="DM379" s="1744"/>
      <c r="DN379" s="1744"/>
      <c r="DO379" s="1744"/>
      <c r="DP379" s="1744"/>
      <c r="DQ379" s="1744"/>
      <c r="DR379" s="1744"/>
      <c r="DS379" s="1744"/>
      <c r="DT379" s="1744"/>
      <c r="DU379" s="1744"/>
      <c r="DV379" s="1744"/>
      <c r="DW379" s="1744"/>
      <c r="DX379" s="1744"/>
      <c r="DY379" s="1744"/>
      <c r="DZ379" s="1744"/>
      <c r="EA379" s="1744"/>
      <c r="EB379" s="1744"/>
      <c r="EC379" s="1744"/>
      <c r="ED379" s="1744"/>
      <c r="EE379" s="1744"/>
      <c r="EF379" s="1744"/>
      <c r="EG379" s="1744"/>
      <c r="EH379" s="1744"/>
      <c r="EI379" s="1744"/>
      <c r="EJ379" s="1744"/>
      <c r="EK379" s="1744"/>
      <c r="EL379" s="1744"/>
      <c r="EM379" s="1744"/>
      <c r="EN379" s="1744"/>
      <c r="EO379" s="1744"/>
      <c r="EP379" s="1744"/>
      <c r="EQ379" s="1744"/>
      <c r="ER379" s="1744"/>
      <c r="ES379" s="1744"/>
      <c r="ET379" s="1744"/>
      <c r="EU379" s="1744"/>
      <c r="EV379" s="1744"/>
      <c r="EW379" s="1744"/>
      <c r="EX379" s="1744"/>
      <c r="EY379" s="1744"/>
      <c r="EZ379" s="1744"/>
      <c r="FA379" s="1744"/>
      <c r="FB379" s="1744"/>
      <c r="FC379" s="1744"/>
      <c r="FD379" s="1744"/>
      <c r="FE379" s="1744"/>
      <c r="FF379" s="1744"/>
    </row>
    <row r="381" spans="6:162" s="1746" customFormat="1" ht="15.75" customHeight="1">
      <c r="F381" s="1744"/>
      <c r="G381" s="1744"/>
      <c r="H381" s="1744"/>
      <c r="I381" s="1744"/>
      <c r="J381" s="1744"/>
      <c r="K381" s="1744"/>
      <c r="L381" s="1744"/>
      <c r="M381" s="1744"/>
      <c r="N381" s="1744"/>
      <c r="O381" s="1744"/>
      <c r="P381" s="1744"/>
      <c r="Q381" s="1744"/>
      <c r="R381" s="1744"/>
      <c r="S381" s="1744"/>
      <c r="T381" s="1744"/>
      <c r="U381" s="1744"/>
      <c r="V381" s="1744"/>
      <c r="W381" s="1744"/>
      <c r="X381" s="1744"/>
      <c r="Y381" s="1744"/>
      <c r="AA381" s="1744"/>
      <c r="AC381" s="1744"/>
      <c r="AD381" s="1744"/>
      <c r="AE381" s="1744"/>
      <c r="AF381" s="1744"/>
      <c r="AG381" s="1744"/>
      <c r="AH381" s="1745"/>
      <c r="AI381" s="1745"/>
      <c r="AJ381" s="1744"/>
      <c r="AK381" s="1744"/>
      <c r="AL381" s="1744"/>
      <c r="AM381" s="1744"/>
      <c r="AN381" s="1744"/>
      <c r="AO381" s="1744"/>
      <c r="AP381" s="1744"/>
      <c r="AQ381" s="1744"/>
      <c r="AR381" s="1744"/>
      <c r="AS381" s="1744"/>
      <c r="AT381" s="1744"/>
      <c r="AU381" s="1744"/>
      <c r="AV381" s="1744"/>
      <c r="AW381" s="1744"/>
      <c r="AX381" s="1744"/>
      <c r="AY381" s="1744"/>
      <c r="AZ381" s="1744"/>
      <c r="BA381" s="1744"/>
      <c r="BB381" s="1744"/>
      <c r="BC381" s="1744"/>
      <c r="BD381" s="1744"/>
      <c r="BE381" s="1744"/>
      <c r="BF381" s="1744"/>
      <c r="BG381" s="1744"/>
      <c r="BH381" s="1744"/>
      <c r="BI381" s="1744"/>
      <c r="BJ381" s="1744"/>
      <c r="BK381" s="1744"/>
      <c r="BL381" s="1744"/>
      <c r="BM381" s="1744"/>
      <c r="BN381" s="1744"/>
      <c r="BO381" s="1744"/>
      <c r="BP381" s="1744"/>
      <c r="BQ381" s="1744"/>
      <c r="BR381" s="1744"/>
      <c r="BS381" s="1744"/>
      <c r="BT381" s="1744"/>
      <c r="BU381" s="1744"/>
      <c r="BV381" s="1744"/>
      <c r="BW381" s="1744"/>
      <c r="BX381" s="1744"/>
      <c r="BY381" s="1744"/>
      <c r="BZ381" s="1744"/>
      <c r="CA381" s="1744"/>
      <c r="CB381" s="1744"/>
      <c r="CC381" s="1744"/>
      <c r="CD381" s="1744"/>
      <c r="CE381" s="1744"/>
      <c r="CF381" s="1744"/>
      <c r="CG381" s="1744"/>
      <c r="CH381" s="1744"/>
      <c r="CI381" s="1744"/>
      <c r="CJ381" s="1744"/>
      <c r="CK381" s="1744"/>
      <c r="CL381" s="1744"/>
      <c r="CM381" s="1744"/>
      <c r="CN381" s="1744"/>
      <c r="CO381" s="1744"/>
      <c r="CP381" s="1744"/>
      <c r="CQ381" s="1744"/>
      <c r="CR381" s="1744"/>
      <c r="CS381" s="1744"/>
      <c r="CT381" s="1744"/>
      <c r="CU381" s="1744"/>
      <c r="CV381" s="1744"/>
      <c r="CW381" s="1744"/>
      <c r="CX381" s="1744"/>
      <c r="CY381" s="1744"/>
      <c r="CZ381" s="1744"/>
      <c r="DA381" s="1744"/>
      <c r="DB381" s="1744"/>
      <c r="DC381" s="1744"/>
      <c r="DD381" s="1744"/>
      <c r="DE381" s="1744"/>
      <c r="DF381" s="1744"/>
      <c r="DG381" s="1744"/>
      <c r="DH381" s="1744"/>
      <c r="DI381" s="1744"/>
      <c r="DJ381" s="1744"/>
      <c r="DK381" s="1744"/>
      <c r="DL381" s="1744"/>
      <c r="DM381" s="1744"/>
      <c r="DN381" s="1744"/>
      <c r="DO381" s="1744"/>
      <c r="DP381" s="1744"/>
      <c r="DQ381" s="1744"/>
      <c r="DR381" s="1744"/>
      <c r="DS381" s="1744"/>
      <c r="DT381" s="1744"/>
      <c r="DU381" s="1744"/>
      <c r="DV381" s="1744"/>
      <c r="DW381" s="1744"/>
      <c r="DX381" s="1744"/>
      <c r="DY381" s="1744"/>
      <c r="DZ381" s="1744"/>
      <c r="EA381" s="1744"/>
      <c r="EB381" s="1744"/>
      <c r="EC381" s="1744"/>
      <c r="ED381" s="1744"/>
      <c r="EE381" s="1744"/>
      <c r="EF381" s="1744"/>
      <c r="EG381" s="1744"/>
      <c r="EH381" s="1744"/>
      <c r="EI381" s="1744"/>
      <c r="EJ381" s="1744"/>
      <c r="EK381" s="1744"/>
      <c r="EL381" s="1744"/>
      <c r="EM381" s="1744"/>
      <c r="EN381" s="1744"/>
      <c r="EO381" s="1744"/>
      <c r="EP381" s="1744"/>
      <c r="EQ381" s="1744"/>
      <c r="ER381" s="1744"/>
      <c r="ES381" s="1744"/>
      <c r="ET381" s="1744"/>
      <c r="EU381" s="1744"/>
      <c r="EV381" s="1744"/>
      <c r="EW381" s="1744"/>
      <c r="EX381" s="1744"/>
      <c r="EY381" s="1744"/>
      <c r="EZ381" s="1744"/>
      <c r="FA381" s="1744"/>
      <c r="FB381" s="1744"/>
      <c r="FC381" s="1744"/>
      <c r="FD381" s="1744"/>
      <c r="FE381" s="1744"/>
      <c r="FF381" s="1744"/>
    </row>
    <row r="383" spans="6:162" s="1746" customFormat="1" ht="15.75" customHeight="1">
      <c r="F383" s="1744"/>
      <c r="G383" s="1744"/>
      <c r="H383" s="1744"/>
      <c r="I383" s="1744"/>
      <c r="J383" s="1744"/>
      <c r="K383" s="1744"/>
      <c r="L383" s="1744"/>
      <c r="M383" s="1744"/>
      <c r="N383" s="1744"/>
      <c r="O383" s="1744"/>
      <c r="P383" s="1744"/>
      <c r="Q383" s="1744"/>
      <c r="R383" s="1744"/>
      <c r="S383" s="1744"/>
      <c r="T383" s="1744"/>
      <c r="U383" s="1744"/>
      <c r="V383" s="1744"/>
      <c r="W383" s="1744"/>
      <c r="X383" s="1744"/>
      <c r="Y383" s="1744"/>
      <c r="AA383" s="1744"/>
      <c r="AC383" s="1744"/>
      <c r="AD383" s="1744"/>
      <c r="AE383" s="1744"/>
      <c r="AF383" s="1744"/>
      <c r="AG383" s="1744"/>
      <c r="AH383" s="1745"/>
      <c r="AI383" s="1745"/>
      <c r="AJ383" s="1744"/>
      <c r="AK383" s="1744"/>
      <c r="AL383" s="1744"/>
      <c r="AM383" s="1744"/>
      <c r="AN383" s="1744"/>
      <c r="AO383" s="1744"/>
      <c r="AP383" s="1744"/>
      <c r="AQ383" s="1744"/>
      <c r="AR383" s="1744"/>
      <c r="AS383" s="1744"/>
      <c r="AT383" s="1744"/>
      <c r="AU383" s="1744"/>
      <c r="AV383" s="1744"/>
      <c r="AW383" s="1744"/>
      <c r="AX383" s="1744"/>
      <c r="AY383" s="1744"/>
      <c r="AZ383" s="1744"/>
      <c r="BA383" s="1744"/>
      <c r="BB383" s="1744"/>
      <c r="BC383" s="1744"/>
      <c r="BD383" s="1744"/>
      <c r="BE383" s="1744"/>
      <c r="BF383" s="1744"/>
      <c r="BG383" s="1744"/>
      <c r="BH383" s="1744"/>
      <c r="BI383" s="1744"/>
      <c r="BJ383" s="1744"/>
      <c r="BK383" s="1744"/>
      <c r="BL383" s="1744"/>
      <c r="BM383" s="1744"/>
      <c r="BN383" s="1744"/>
      <c r="BO383" s="1744"/>
      <c r="BP383" s="1744"/>
      <c r="BQ383" s="1744"/>
      <c r="BR383" s="1744"/>
      <c r="BS383" s="1744"/>
      <c r="BT383" s="1744"/>
      <c r="BU383" s="1744"/>
      <c r="BV383" s="1744"/>
      <c r="BW383" s="1744"/>
      <c r="BX383" s="1744"/>
      <c r="BY383" s="1744"/>
      <c r="BZ383" s="1744"/>
      <c r="CA383" s="1744"/>
      <c r="CB383" s="1744"/>
      <c r="CC383" s="1744"/>
      <c r="CD383" s="1744"/>
      <c r="CE383" s="1744"/>
      <c r="CF383" s="1744"/>
      <c r="CG383" s="1744"/>
      <c r="CH383" s="1744"/>
      <c r="CI383" s="1744"/>
      <c r="CJ383" s="1744"/>
      <c r="CK383" s="1744"/>
      <c r="CL383" s="1744"/>
      <c r="CM383" s="1744"/>
      <c r="CN383" s="1744"/>
      <c r="CO383" s="1744"/>
      <c r="CP383" s="1744"/>
      <c r="CQ383" s="1744"/>
      <c r="CR383" s="1744"/>
      <c r="CS383" s="1744"/>
      <c r="CT383" s="1744"/>
      <c r="CU383" s="1744"/>
      <c r="CV383" s="1744"/>
      <c r="CW383" s="1744"/>
      <c r="CX383" s="1744"/>
      <c r="CY383" s="1744"/>
      <c r="CZ383" s="1744"/>
      <c r="DA383" s="1744"/>
      <c r="DB383" s="1744"/>
      <c r="DC383" s="1744"/>
      <c r="DD383" s="1744"/>
      <c r="DE383" s="1744"/>
      <c r="DF383" s="1744"/>
      <c r="DG383" s="1744"/>
      <c r="DH383" s="1744"/>
      <c r="DI383" s="1744"/>
      <c r="DJ383" s="1744"/>
      <c r="DK383" s="1744"/>
      <c r="DL383" s="1744"/>
      <c r="DM383" s="1744"/>
      <c r="DN383" s="1744"/>
      <c r="DO383" s="1744"/>
      <c r="DP383" s="1744"/>
      <c r="DQ383" s="1744"/>
      <c r="DR383" s="1744"/>
      <c r="DS383" s="1744"/>
      <c r="DT383" s="1744"/>
      <c r="DU383" s="1744"/>
      <c r="DV383" s="1744"/>
      <c r="DW383" s="1744"/>
      <c r="DX383" s="1744"/>
      <c r="DY383" s="1744"/>
      <c r="DZ383" s="1744"/>
      <c r="EA383" s="1744"/>
      <c r="EB383" s="1744"/>
      <c r="EC383" s="1744"/>
      <c r="ED383" s="1744"/>
      <c r="EE383" s="1744"/>
      <c r="EF383" s="1744"/>
      <c r="EG383" s="1744"/>
      <c r="EH383" s="1744"/>
      <c r="EI383" s="1744"/>
      <c r="EJ383" s="1744"/>
      <c r="EK383" s="1744"/>
      <c r="EL383" s="1744"/>
      <c r="EM383" s="1744"/>
      <c r="EN383" s="1744"/>
      <c r="EO383" s="1744"/>
      <c r="EP383" s="1744"/>
      <c r="EQ383" s="1744"/>
      <c r="ER383" s="1744"/>
      <c r="ES383" s="1744"/>
      <c r="ET383" s="1744"/>
      <c r="EU383" s="1744"/>
      <c r="EV383" s="1744"/>
      <c r="EW383" s="1744"/>
      <c r="EX383" s="1744"/>
      <c r="EY383" s="1744"/>
      <c r="EZ383" s="1744"/>
      <c r="FA383" s="1744"/>
      <c r="FB383" s="1744"/>
      <c r="FC383" s="1744"/>
      <c r="FD383" s="1744"/>
      <c r="FE383" s="1744"/>
      <c r="FF383" s="1744"/>
    </row>
    <row r="385" spans="6:162" s="1746" customFormat="1" ht="15.75" customHeight="1">
      <c r="F385" s="1744"/>
      <c r="G385" s="1744"/>
      <c r="H385" s="1744"/>
      <c r="I385" s="1744"/>
      <c r="J385" s="1744"/>
      <c r="K385" s="1744"/>
      <c r="L385" s="1744"/>
      <c r="M385" s="1744"/>
      <c r="N385" s="1744"/>
      <c r="O385" s="1744"/>
      <c r="P385" s="1744"/>
      <c r="Q385" s="1744"/>
      <c r="R385" s="1744"/>
      <c r="S385" s="1744"/>
      <c r="T385" s="1744"/>
      <c r="U385" s="1744"/>
      <c r="V385" s="1744"/>
      <c r="W385" s="1744"/>
      <c r="X385" s="1744"/>
      <c r="Y385" s="1744"/>
      <c r="AA385" s="1744"/>
      <c r="AC385" s="1744"/>
      <c r="AD385" s="1744"/>
      <c r="AE385" s="1744"/>
      <c r="AF385" s="1744"/>
      <c r="AG385" s="1744"/>
      <c r="AH385" s="1745"/>
      <c r="AI385" s="1745"/>
      <c r="AJ385" s="1744"/>
      <c r="AK385" s="1744"/>
      <c r="AL385" s="1744"/>
      <c r="AM385" s="1744"/>
      <c r="AN385" s="1744"/>
      <c r="AO385" s="1744"/>
      <c r="AP385" s="1744"/>
      <c r="AQ385" s="1744"/>
      <c r="AR385" s="1744"/>
      <c r="AS385" s="1744"/>
      <c r="AT385" s="1744"/>
      <c r="AU385" s="1744"/>
      <c r="AV385" s="1744"/>
      <c r="AW385" s="1744"/>
      <c r="AX385" s="1744"/>
      <c r="AY385" s="1744"/>
      <c r="AZ385" s="1744"/>
      <c r="BA385" s="1744"/>
      <c r="BB385" s="1744"/>
      <c r="BC385" s="1744"/>
      <c r="BD385" s="1744"/>
      <c r="BE385" s="1744"/>
      <c r="BF385" s="1744"/>
      <c r="BG385" s="1744"/>
      <c r="BH385" s="1744"/>
      <c r="BI385" s="1744"/>
      <c r="BJ385" s="1744"/>
      <c r="BK385" s="1744"/>
      <c r="BL385" s="1744"/>
      <c r="BM385" s="1744"/>
      <c r="BN385" s="1744"/>
      <c r="BO385" s="1744"/>
      <c r="BP385" s="1744"/>
      <c r="BQ385" s="1744"/>
      <c r="BR385" s="1744"/>
      <c r="BS385" s="1744"/>
      <c r="BT385" s="1744"/>
      <c r="BU385" s="1744"/>
      <c r="BV385" s="1744"/>
      <c r="BW385" s="1744"/>
      <c r="BX385" s="1744"/>
      <c r="BY385" s="1744"/>
      <c r="BZ385" s="1744"/>
      <c r="CA385" s="1744"/>
      <c r="CB385" s="1744"/>
      <c r="CC385" s="1744"/>
      <c r="CD385" s="1744"/>
      <c r="CE385" s="1744"/>
      <c r="CF385" s="1744"/>
      <c r="CG385" s="1744"/>
      <c r="CH385" s="1744"/>
      <c r="CI385" s="1744"/>
      <c r="CJ385" s="1744"/>
      <c r="CK385" s="1744"/>
      <c r="CL385" s="1744"/>
      <c r="CM385" s="1744"/>
      <c r="CN385" s="1744"/>
      <c r="CO385" s="1744"/>
      <c r="CP385" s="1744"/>
      <c r="CQ385" s="1744"/>
      <c r="CR385" s="1744"/>
      <c r="CS385" s="1744"/>
      <c r="CT385" s="1744"/>
      <c r="CU385" s="1744"/>
      <c r="CV385" s="1744"/>
      <c r="CW385" s="1744"/>
      <c r="CX385" s="1744"/>
      <c r="CY385" s="1744"/>
      <c r="CZ385" s="1744"/>
      <c r="DA385" s="1744"/>
      <c r="DB385" s="1744"/>
      <c r="DC385" s="1744"/>
      <c r="DD385" s="1744"/>
      <c r="DE385" s="1744"/>
      <c r="DF385" s="1744"/>
      <c r="DG385" s="1744"/>
      <c r="DH385" s="1744"/>
      <c r="DI385" s="1744"/>
      <c r="DJ385" s="1744"/>
      <c r="DK385" s="1744"/>
      <c r="DL385" s="1744"/>
      <c r="DM385" s="1744"/>
      <c r="DN385" s="1744"/>
      <c r="DO385" s="1744"/>
      <c r="DP385" s="1744"/>
      <c r="DQ385" s="1744"/>
      <c r="DR385" s="1744"/>
      <c r="DS385" s="1744"/>
      <c r="DT385" s="1744"/>
      <c r="DU385" s="1744"/>
      <c r="DV385" s="1744"/>
      <c r="DW385" s="1744"/>
      <c r="DX385" s="1744"/>
      <c r="DY385" s="1744"/>
      <c r="DZ385" s="1744"/>
      <c r="EA385" s="1744"/>
      <c r="EB385" s="1744"/>
      <c r="EC385" s="1744"/>
      <c r="ED385" s="1744"/>
      <c r="EE385" s="1744"/>
      <c r="EF385" s="1744"/>
      <c r="EG385" s="1744"/>
      <c r="EH385" s="1744"/>
      <c r="EI385" s="1744"/>
      <c r="EJ385" s="1744"/>
      <c r="EK385" s="1744"/>
      <c r="EL385" s="1744"/>
      <c r="EM385" s="1744"/>
      <c r="EN385" s="1744"/>
      <c r="EO385" s="1744"/>
      <c r="EP385" s="1744"/>
      <c r="EQ385" s="1744"/>
      <c r="ER385" s="1744"/>
      <c r="ES385" s="1744"/>
      <c r="ET385" s="1744"/>
      <c r="EU385" s="1744"/>
      <c r="EV385" s="1744"/>
      <c r="EW385" s="1744"/>
      <c r="EX385" s="1744"/>
      <c r="EY385" s="1744"/>
      <c r="EZ385" s="1744"/>
      <c r="FA385" s="1744"/>
      <c r="FB385" s="1744"/>
      <c r="FC385" s="1744"/>
      <c r="FD385" s="1744"/>
      <c r="FE385" s="1744"/>
      <c r="FF385" s="1744"/>
    </row>
    <row r="387" spans="6:162" s="1746" customFormat="1" ht="15.75" customHeight="1">
      <c r="F387" s="1744"/>
      <c r="G387" s="1744"/>
      <c r="H387" s="1744"/>
      <c r="I387" s="1744"/>
      <c r="J387" s="1744"/>
      <c r="K387" s="1744"/>
      <c r="L387" s="1744"/>
      <c r="M387" s="1744"/>
      <c r="N387" s="1744"/>
      <c r="O387" s="1744"/>
      <c r="P387" s="1744"/>
      <c r="Q387" s="1744"/>
      <c r="R387" s="1744"/>
      <c r="S387" s="1744"/>
      <c r="T387" s="1744"/>
      <c r="U387" s="1744"/>
      <c r="V387" s="1744"/>
      <c r="W387" s="1744"/>
      <c r="X387" s="1744"/>
      <c r="Y387" s="1744"/>
      <c r="AA387" s="1744"/>
      <c r="AC387" s="1744"/>
      <c r="AD387" s="1744"/>
      <c r="AE387" s="1744"/>
      <c r="AF387" s="1744"/>
      <c r="AG387" s="1744"/>
      <c r="AH387" s="1745"/>
      <c r="AI387" s="1745"/>
      <c r="AJ387" s="1744"/>
      <c r="AK387" s="1744"/>
      <c r="AL387" s="1744"/>
      <c r="AM387" s="1744"/>
      <c r="AN387" s="1744"/>
      <c r="AO387" s="1744"/>
      <c r="AP387" s="1744"/>
      <c r="AQ387" s="1744"/>
      <c r="AR387" s="1744"/>
      <c r="AS387" s="1744"/>
      <c r="AT387" s="1744"/>
      <c r="AU387" s="1744"/>
      <c r="AV387" s="1744"/>
      <c r="AW387" s="1744"/>
      <c r="AX387" s="1744"/>
      <c r="AY387" s="1744"/>
      <c r="AZ387" s="1744"/>
      <c r="BA387" s="1744"/>
      <c r="BB387" s="1744"/>
      <c r="BC387" s="1744"/>
      <c r="BD387" s="1744"/>
      <c r="BE387" s="1744"/>
      <c r="BF387" s="1744"/>
      <c r="BG387" s="1744"/>
      <c r="BH387" s="1744"/>
      <c r="BI387" s="1744"/>
      <c r="BJ387" s="1744"/>
      <c r="BK387" s="1744"/>
      <c r="BL387" s="1744"/>
      <c r="BM387" s="1744"/>
      <c r="BN387" s="1744"/>
      <c r="BO387" s="1744"/>
      <c r="BP387" s="1744"/>
      <c r="BQ387" s="1744"/>
      <c r="BR387" s="1744"/>
      <c r="BS387" s="1744"/>
      <c r="BT387" s="1744"/>
      <c r="BU387" s="1744"/>
      <c r="BV387" s="1744"/>
      <c r="BW387" s="1744"/>
      <c r="BX387" s="1744"/>
      <c r="BY387" s="1744"/>
      <c r="BZ387" s="1744"/>
      <c r="CA387" s="1744"/>
      <c r="CB387" s="1744"/>
      <c r="CC387" s="1744"/>
      <c r="CD387" s="1744"/>
      <c r="CE387" s="1744"/>
      <c r="CF387" s="1744"/>
      <c r="CG387" s="1744"/>
      <c r="CH387" s="1744"/>
      <c r="CI387" s="1744"/>
      <c r="CJ387" s="1744"/>
      <c r="CK387" s="1744"/>
      <c r="CL387" s="1744"/>
      <c r="CM387" s="1744"/>
      <c r="CN387" s="1744"/>
      <c r="CO387" s="1744"/>
      <c r="CP387" s="1744"/>
      <c r="CQ387" s="1744"/>
      <c r="CR387" s="1744"/>
      <c r="CS387" s="1744"/>
      <c r="CT387" s="1744"/>
      <c r="CU387" s="1744"/>
      <c r="CV387" s="1744"/>
      <c r="CW387" s="1744"/>
      <c r="CX387" s="1744"/>
      <c r="CY387" s="1744"/>
      <c r="CZ387" s="1744"/>
      <c r="DA387" s="1744"/>
      <c r="DB387" s="1744"/>
      <c r="DC387" s="1744"/>
      <c r="DD387" s="1744"/>
      <c r="DE387" s="1744"/>
      <c r="DF387" s="1744"/>
      <c r="DG387" s="1744"/>
      <c r="DH387" s="1744"/>
      <c r="DI387" s="1744"/>
      <c r="DJ387" s="1744"/>
      <c r="DK387" s="1744"/>
      <c r="DL387" s="1744"/>
      <c r="DM387" s="1744"/>
      <c r="DN387" s="1744"/>
      <c r="DO387" s="1744"/>
      <c r="DP387" s="1744"/>
      <c r="DQ387" s="1744"/>
      <c r="DR387" s="1744"/>
      <c r="DS387" s="1744"/>
      <c r="DT387" s="1744"/>
      <c r="DU387" s="1744"/>
      <c r="DV387" s="1744"/>
      <c r="DW387" s="1744"/>
      <c r="DX387" s="1744"/>
      <c r="DY387" s="1744"/>
      <c r="DZ387" s="1744"/>
      <c r="EA387" s="1744"/>
      <c r="EB387" s="1744"/>
      <c r="EC387" s="1744"/>
      <c r="ED387" s="1744"/>
      <c r="EE387" s="1744"/>
      <c r="EF387" s="1744"/>
      <c r="EG387" s="1744"/>
      <c r="EH387" s="1744"/>
      <c r="EI387" s="1744"/>
      <c r="EJ387" s="1744"/>
      <c r="EK387" s="1744"/>
      <c r="EL387" s="1744"/>
      <c r="EM387" s="1744"/>
      <c r="EN387" s="1744"/>
      <c r="EO387" s="1744"/>
      <c r="EP387" s="1744"/>
      <c r="EQ387" s="1744"/>
      <c r="ER387" s="1744"/>
      <c r="ES387" s="1744"/>
      <c r="ET387" s="1744"/>
      <c r="EU387" s="1744"/>
      <c r="EV387" s="1744"/>
      <c r="EW387" s="1744"/>
      <c r="EX387" s="1744"/>
      <c r="EY387" s="1744"/>
      <c r="EZ387" s="1744"/>
      <c r="FA387" s="1744"/>
      <c r="FB387" s="1744"/>
      <c r="FC387" s="1744"/>
      <c r="FD387" s="1744"/>
      <c r="FE387" s="1744"/>
      <c r="FF387" s="1744"/>
    </row>
    <row r="389" spans="6:162" s="1746" customFormat="1" ht="15.75" customHeight="1">
      <c r="F389" s="1744"/>
      <c r="G389" s="1744"/>
      <c r="H389" s="1744"/>
      <c r="I389" s="1744"/>
      <c r="J389" s="1744"/>
      <c r="K389" s="1744"/>
      <c r="L389" s="1744"/>
      <c r="M389" s="1744"/>
      <c r="N389" s="1744"/>
      <c r="O389" s="1744"/>
      <c r="P389" s="1744"/>
      <c r="Q389" s="1744"/>
      <c r="R389" s="1744"/>
      <c r="S389" s="1744"/>
      <c r="T389" s="1744"/>
      <c r="U389" s="1744"/>
      <c r="V389" s="1744"/>
      <c r="W389" s="1744"/>
      <c r="X389" s="1744"/>
      <c r="Y389" s="1744"/>
      <c r="AA389" s="1744"/>
      <c r="AC389" s="1744"/>
      <c r="AD389" s="1744"/>
      <c r="AE389" s="1744"/>
      <c r="AF389" s="1744"/>
      <c r="AG389" s="1744"/>
      <c r="AH389" s="1745"/>
      <c r="AI389" s="1745"/>
      <c r="AJ389" s="1744"/>
      <c r="AK389" s="1744"/>
      <c r="AL389" s="1744"/>
      <c r="AM389" s="1744"/>
      <c r="AN389" s="1744"/>
      <c r="AO389" s="1744"/>
      <c r="AP389" s="1744"/>
      <c r="AQ389" s="1744"/>
      <c r="AR389" s="1744"/>
      <c r="AS389" s="1744"/>
      <c r="AT389" s="1744"/>
      <c r="AU389" s="1744"/>
      <c r="AV389" s="1744"/>
      <c r="AW389" s="1744"/>
      <c r="AX389" s="1744"/>
      <c r="AY389" s="1744"/>
      <c r="AZ389" s="1744"/>
      <c r="BA389" s="1744"/>
      <c r="BB389" s="1744"/>
      <c r="BC389" s="1744"/>
      <c r="BD389" s="1744"/>
      <c r="BE389" s="1744"/>
      <c r="BF389" s="1744"/>
      <c r="BG389" s="1744"/>
      <c r="BH389" s="1744"/>
      <c r="BI389" s="1744"/>
      <c r="BJ389" s="1744"/>
      <c r="BK389" s="1744"/>
      <c r="BL389" s="1744"/>
      <c r="BM389" s="1744"/>
      <c r="BN389" s="1744"/>
      <c r="BO389" s="1744"/>
      <c r="BP389" s="1744"/>
      <c r="BQ389" s="1744"/>
      <c r="BR389" s="1744"/>
      <c r="BS389" s="1744"/>
      <c r="BT389" s="1744"/>
      <c r="BU389" s="1744"/>
      <c r="BV389" s="1744"/>
      <c r="BW389" s="1744"/>
      <c r="BX389" s="1744"/>
      <c r="BY389" s="1744"/>
      <c r="BZ389" s="1744"/>
      <c r="CA389" s="1744"/>
      <c r="CB389" s="1744"/>
      <c r="CC389" s="1744"/>
      <c r="CD389" s="1744"/>
      <c r="CE389" s="1744"/>
      <c r="CF389" s="1744"/>
      <c r="CG389" s="1744"/>
      <c r="CH389" s="1744"/>
      <c r="CI389" s="1744"/>
      <c r="CJ389" s="1744"/>
      <c r="CK389" s="1744"/>
      <c r="CL389" s="1744"/>
      <c r="CM389" s="1744"/>
      <c r="CN389" s="1744"/>
      <c r="CO389" s="1744"/>
      <c r="CP389" s="1744"/>
      <c r="CQ389" s="1744"/>
      <c r="CR389" s="1744"/>
      <c r="CS389" s="1744"/>
      <c r="CT389" s="1744"/>
      <c r="CU389" s="1744"/>
      <c r="CV389" s="1744"/>
      <c r="CW389" s="1744"/>
      <c r="CX389" s="1744"/>
      <c r="CY389" s="1744"/>
      <c r="CZ389" s="1744"/>
      <c r="DA389" s="1744"/>
      <c r="DB389" s="1744"/>
      <c r="DC389" s="1744"/>
      <c r="DD389" s="1744"/>
      <c r="DE389" s="1744"/>
      <c r="DF389" s="1744"/>
      <c r="DG389" s="1744"/>
      <c r="DH389" s="1744"/>
      <c r="DI389" s="1744"/>
      <c r="DJ389" s="1744"/>
      <c r="DK389" s="1744"/>
      <c r="DL389" s="1744"/>
      <c r="DM389" s="1744"/>
      <c r="DN389" s="1744"/>
      <c r="DO389" s="1744"/>
      <c r="DP389" s="1744"/>
      <c r="DQ389" s="1744"/>
      <c r="DR389" s="1744"/>
      <c r="DS389" s="1744"/>
      <c r="DT389" s="1744"/>
      <c r="DU389" s="1744"/>
      <c r="DV389" s="1744"/>
      <c r="DW389" s="1744"/>
      <c r="DX389" s="1744"/>
      <c r="DY389" s="1744"/>
      <c r="DZ389" s="1744"/>
      <c r="EA389" s="1744"/>
      <c r="EB389" s="1744"/>
      <c r="EC389" s="1744"/>
      <c r="ED389" s="1744"/>
      <c r="EE389" s="1744"/>
      <c r="EF389" s="1744"/>
      <c r="EG389" s="1744"/>
      <c r="EH389" s="1744"/>
      <c r="EI389" s="1744"/>
      <c r="EJ389" s="1744"/>
      <c r="EK389" s="1744"/>
      <c r="EL389" s="1744"/>
      <c r="EM389" s="1744"/>
      <c r="EN389" s="1744"/>
      <c r="EO389" s="1744"/>
      <c r="EP389" s="1744"/>
      <c r="EQ389" s="1744"/>
      <c r="ER389" s="1744"/>
      <c r="ES389" s="1744"/>
      <c r="ET389" s="1744"/>
      <c r="EU389" s="1744"/>
      <c r="EV389" s="1744"/>
      <c r="EW389" s="1744"/>
      <c r="EX389" s="1744"/>
      <c r="EY389" s="1744"/>
      <c r="EZ389" s="1744"/>
      <c r="FA389" s="1744"/>
      <c r="FB389" s="1744"/>
      <c r="FC389" s="1744"/>
      <c r="FD389" s="1744"/>
      <c r="FE389" s="1744"/>
      <c r="FF389" s="1744"/>
    </row>
    <row r="391" spans="6:162" s="1746" customFormat="1" ht="15.75" customHeight="1">
      <c r="F391" s="1744"/>
      <c r="G391" s="1744"/>
      <c r="H391" s="1744"/>
      <c r="I391" s="1744"/>
      <c r="J391" s="1744"/>
      <c r="K391" s="1744"/>
      <c r="L391" s="1744"/>
      <c r="M391" s="1744"/>
      <c r="N391" s="1744"/>
      <c r="O391" s="1744"/>
      <c r="P391" s="1744"/>
      <c r="Q391" s="1744"/>
      <c r="R391" s="1744"/>
      <c r="S391" s="1744"/>
      <c r="T391" s="1744"/>
      <c r="U391" s="1744"/>
      <c r="V391" s="1744"/>
      <c r="W391" s="1744"/>
      <c r="X391" s="1744"/>
      <c r="Y391" s="1744"/>
      <c r="AA391" s="1744"/>
      <c r="AC391" s="1744"/>
      <c r="AD391" s="1744"/>
      <c r="AE391" s="1744"/>
      <c r="AF391" s="1744"/>
      <c r="AG391" s="1744"/>
      <c r="AH391" s="1745"/>
      <c r="AI391" s="1745"/>
      <c r="AJ391" s="1744"/>
      <c r="AK391" s="1744"/>
      <c r="AL391" s="1744"/>
      <c r="AM391" s="1744"/>
      <c r="AN391" s="1744"/>
      <c r="AO391" s="1744"/>
      <c r="AP391" s="1744"/>
      <c r="AQ391" s="1744"/>
      <c r="AR391" s="1744"/>
      <c r="AS391" s="1744"/>
      <c r="AT391" s="1744"/>
      <c r="AU391" s="1744"/>
      <c r="AV391" s="1744"/>
      <c r="AW391" s="1744"/>
      <c r="AX391" s="1744"/>
      <c r="AY391" s="1744"/>
      <c r="AZ391" s="1744"/>
      <c r="BA391" s="1744"/>
      <c r="BB391" s="1744"/>
      <c r="BC391" s="1744"/>
      <c r="BD391" s="1744"/>
      <c r="BE391" s="1744"/>
      <c r="BF391" s="1744"/>
      <c r="BG391" s="1744"/>
      <c r="BH391" s="1744"/>
      <c r="BI391" s="1744"/>
      <c r="BJ391" s="1744"/>
      <c r="BK391" s="1744"/>
      <c r="BL391" s="1744"/>
      <c r="BM391" s="1744"/>
      <c r="BN391" s="1744"/>
      <c r="BO391" s="1744"/>
      <c r="BP391" s="1744"/>
      <c r="BQ391" s="1744"/>
      <c r="BR391" s="1744"/>
      <c r="BS391" s="1744"/>
      <c r="BT391" s="1744"/>
      <c r="BU391" s="1744"/>
      <c r="BV391" s="1744"/>
      <c r="BW391" s="1744"/>
      <c r="BX391" s="1744"/>
      <c r="BY391" s="1744"/>
      <c r="BZ391" s="1744"/>
      <c r="CA391" s="1744"/>
      <c r="CB391" s="1744"/>
      <c r="CC391" s="1744"/>
      <c r="CD391" s="1744"/>
      <c r="CE391" s="1744"/>
      <c r="CF391" s="1744"/>
      <c r="CG391" s="1744"/>
      <c r="CH391" s="1744"/>
      <c r="CI391" s="1744"/>
      <c r="CJ391" s="1744"/>
      <c r="CK391" s="1744"/>
      <c r="CL391" s="1744"/>
      <c r="CM391" s="1744"/>
      <c r="CN391" s="1744"/>
      <c r="CO391" s="1744"/>
      <c r="CP391" s="1744"/>
      <c r="CQ391" s="1744"/>
      <c r="CR391" s="1744"/>
      <c r="CS391" s="1744"/>
      <c r="CT391" s="1744"/>
      <c r="CU391" s="1744"/>
      <c r="CV391" s="1744"/>
      <c r="CW391" s="1744"/>
      <c r="CX391" s="1744"/>
      <c r="CY391" s="1744"/>
      <c r="CZ391" s="1744"/>
      <c r="DA391" s="1744"/>
      <c r="DB391" s="1744"/>
      <c r="DC391" s="1744"/>
      <c r="DD391" s="1744"/>
      <c r="DE391" s="1744"/>
      <c r="DF391" s="1744"/>
      <c r="DG391" s="1744"/>
      <c r="DH391" s="1744"/>
      <c r="DI391" s="1744"/>
      <c r="DJ391" s="1744"/>
      <c r="DK391" s="1744"/>
      <c r="DL391" s="1744"/>
      <c r="DM391" s="1744"/>
      <c r="DN391" s="1744"/>
      <c r="DO391" s="1744"/>
      <c r="DP391" s="1744"/>
      <c r="DQ391" s="1744"/>
      <c r="DR391" s="1744"/>
      <c r="DS391" s="1744"/>
      <c r="DT391" s="1744"/>
      <c r="DU391" s="1744"/>
      <c r="DV391" s="1744"/>
      <c r="DW391" s="1744"/>
      <c r="DX391" s="1744"/>
      <c r="DY391" s="1744"/>
      <c r="DZ391" s="1744"/>
      <c r="EA391" s="1744"/>
      <c r="EB391" s="1744"/>
      <c r="EC391" s="1744"/>
      <c r="ED391" s="1744"/>
      <c r="EE391" s="1744"/>
      <c r="EF391" s="1744"/>
      <c r="EG391" s="1744"/>
      <c r="EH391" s="1744"/>
      <c r="EI391" s="1744"/>
      <c r="EJ391" s="1744"/>
      <c r="EK391" s="1744"/>
      <c r="EL391" s="1744"/>
      <c r="EM391" s="1744"/>
      <c r="EN391" s="1744"/>
      <c r="EO391" s="1744"/>
      <c r="EP391" s="1744"/>
      <c r="EQ391" s="1744"/>
      <c r="ER391" s="1744"/>
      <c r="ES391" s="1744"/>
      <c r="ET391" s="1744"/>
      <c r="EU391" s="1744"/>
      <c r="EV391" s="1744"/>
      <c r="EW391" s="1744"/>
      <c r="EX391" s="1744"/>
      <c r="EY391" s="1744"/>
      <c r="EZ391" s="1744"/>
      <c r="FA391" s="1744"/>
      <c r="FB391" s="1744"/>
      <c r="FC391" s="1744"/>
      <c r="FD391" s="1744"/>
      <c r="FE391" s="1744"/>
      <c r="FF391" s="1744"/>
    </row>
    <row r="393" spans="6:162" s="1746" customFormat="1" ht="15.75" customHeight="1">
      <c r="F393" s="1744"/>
      <c r="G393" s="1744"/>
      <c r="H393" s="1744"/>
      <c r="I393" s="1744"/>
      <c r="J393" s="1744"/>
      <c r="K393" s="1744"/>
      <c r="L393" s="1744"/>
      <c r="M393" s="1744"/>
      <c r="N393" s="1744"/>
      <c r="O393" s="1744"/>
      <c r="P393" s="1744"/>
      <c r="Q393" s="1744"/>
      <c r="R393" s="1744"/>
      <c r="S393" s="1744"/>
      <c r="T393" s="1744"/>
      <c r="U393" s="1744"/>
      <c r="V393" s="1744"/>
      <c r="W393" s="1744"/>
      <c r="X393" s="1744"/>
      <c r="Y393" s="1744"/>
      <c r="AA393" s="1744"/>
      <c r="AC393" s="1744"/>
      <c r="AD393" s="1744"/>
      <c r="AE393" s="1744"/>
      <c r="AF393" s="1744"/>
      <c r="AG393" s="1744"/>
      <c r="AH393" s="1745"/>
      <c r="AI393" s="1745"/>
      <c r="AJ393" s="1744"/>
      <c r="AK393" s="1744"/>
      <c r="AL393" s="1744"/>
      <c r="AM393" s="1744"/>
      <c r="AN393" s="1744"/>
      <c r="AO393" s="1744"/>
      <c r="AP393" s="1744"/>
      <c r="AQ393" s="1744"/>
      <c r="AR393" s="1744"/>
      <c r="AS393" s="1744"/>
      <c r="AT393" s="1744"/>
      <c r="AU393" s="1744"/>
      <c r="AV393" s="1744"/>
      <c r="AW393" s="1744"/>
      <c r="AX393" s="1744"/>
      <c r="AY393" s="1744"/>
      <c r="AZ393" s="1744"/>
      <c r="BA393" s="1744"/>
      <c r="BB393" s="1744"/>
      <c r="BC393" s="1744"/>
      <c r="BD393" s="1744"/>
      <c r="BE393" s="1744"/>
      <c r="BF393" s="1744"/>
      <c r="BG393" s="1744"/>
      <c r="BH393" s="1744"/>
      <c r="BI393" s="1744"/>
      <c r="BJ393" s="1744"/>
      <c r="BK393" s="1744"/>
      <c r="BL393" s="1744"/>
      <c r="BM393" s="1744"/>
      <c r="BN393" s="1744"/>
      <c r="BO393" s="1744"/>
      <c r="BP393" s="1744"/>
      <c r="BQ393" s="1744"/>
      <c r="BR393" s="1744"/>
      <c r="BS393" s="1744"/>
      <c r="BT393" s="1744"/>
      <c r="BU393" s="1744"/>
      <c r="BV393" s="1744"/>
      <c r="BW393" s="1744"/>
      <c r="BX393" s="1744"/>
      <c r="BY393" s="1744"/>
      <c r="BZ393" s="1744"/>
      <c r="CA393" s="1744"/>
      <c r="CB393" s="1744"/>
      <c r="CC393" s="1744"/>
      <c r="CD393" s="1744"/>
      <c r="CE393" s="1744"/>
      <c r="CF393" s="1744"/>
      <c r="CG393" s="1744"/>
      <c r="CH393" s="1744"/>
      <c r="CI393" s="1744"/>
      <c r="CJ393" s="1744"/>
      <c r="CK393" s="1744"/>
      <c r="CL393" s="1744"/>
      <c r="CM393" s="1744"/>
      <c r="CN393" s="1744"/>
      <c r="CO393" s="1744"/>
      <c r="CP393" s="1744"/>
      <c r="CQ393" s="1744"/>
      <c r="CR393" s="1744"/>
      <c r="CS393" s="1744"/>
      <c r="CT393" s="1744"/>
      <c r="CU393" s="1744"/>
      <c r="CV393" s="1744"/>
      <c r="CW393" s="1744"/>
      <c r="CX393" s="1744"/>
      <c r="CY393" s="1744"/>
      <c r="CZ393" s="1744"/>
      <c r="DA393" s="1744"/>
      <c r="DB393" s="1744"/>
      <c r="DC393" s="1744"/>
      <c r="DD393" s="1744"/>
      <c r="DE393" s="1744"/>
      <c r="DF393" s="1744"/>
      <c r="DG393" s="1744"/>
      <c r="DH393" s="1744"/>
      <c r="DI393" s="1744"/>
      <c r="DJ393" s="1744"/>
      <c r="DK393" s="1744"/>
      <c r="DL393" s="1744"/>
      <c r="DM393" s="1744"/>
      <c r="DN393" s="1744"/>
      <c r="DO393" s="1744"/>
      <c r="DP393" s="1744"/>
      <c r="DQ393" s="1744"/>
      <c r="DR393" s="1744"/>
      <c r="DS393" s="1744"/>
      <c r="DT393" s="1744"/>
      <c r="DU393" s="1744"/>
      <c r="DV393" s="1744"/>
      <c r="DW393" s="1744"/>
      <c r="DX393" s="1744"/>
      <c r="DY393" s="1744"/>
      <c r="DZ393" s="1744"/>
      <c r="EA393" s="1744"/>
      <c r="EB393" s="1744"/>
      <c r="EC393" s="1744"/>
      <c r="ED393" s="1744"/>
      <c r="EE393" s="1744"/>
      <c r="EF393" s="1744"/>
      <c r="EG393" s="1744"/>
      <c r="EH393" s="1744"/>
      <c r="EI393" s="1744"/>
      <c r="EJ393" s="1744"/>
      <c r="EK393" s="1744"/>
      <c r="EL393" s="1744"/>
      <c r="EM393" s="1744"/>
      <c r="EN393" s="1744"/>
      <c r="EO393" s="1744"/>
      <c r="EP393" s="1744"/>
      <c r="EQ393" s="1744"/>
      <c r="ER393" s="1744"/>
      <c r="ES393" s="1744"/>
      <c r="ET393" s="1744"/>
      <c r="EU393" s="1744"/>
      <c r="EV393" s="1744"/>
      <c r="EW393" s="1744"/>
      <c r="EX393" s="1744"/>
      <c r="EY393" s="1744"/>
      <c r="EZ393" s="1744"/>
      <c r="FA393" s="1744"/>
      <c r="FB393" s="1744"/>
      <c r="FC393" s="1744"/>
      <c r="FD393" s="1744"/>
      <c r="FE393" s="1744"/>
      <c r="FF393" s="1744"/>
    </row>
    <row r="395" spans="6:162" s="1746" customFormat="1" ht="15.75" customHeight="1">
      <c r="F395" s="1744"/>
      <c r="G395" s="1744"/>
      <c r="H395" s="1744"/>
      <c r="I395" s="1744"/>
      <c r="J395" s="1744"/>
      <c r="K395" s="1744"/>
      <c r="L395" s="1744"/>
      <c r="M395" s="1744"/>
      <c r="N395" s="1744"/>
      <c r="O395" s="1744"/>
      <c r="P395" s="1744"/>
      <c r="Q395" s="1744"/>
      <c r="R395" s="1744"/>
      <c r="S395" s="1744"/>
      <c r="T395" s="1744"/>
      <c r="U395" s="1744"/>
      <c r="V395" s="1744"/>
      <c r="W395" s="1744"/>
      <c r="X395" s="1744"/>
      <c r="Y395" s="1744"/>
      <c r="AA395" s="1744"/>
      <c r="AC395" s="1744"/>
      <c r="AD395" s="1744"/>
      <c r="AE395" s="1744"/>
      <c r="AF395" s="1744"/>
      <c r="AG395" s="1744"/>
      <c r="AH395" s="1745"/>
      <c r="AI395" s="1745"/>
      <c r="AJ395" s="1744"/>
      <c r="AK395" s="1744"/>
      <c r="AL395" s="1744"/>
      <c r="AM395" s="1744"/>
      <c r="AN395" s="1744"/>
      <c r="AO395" s="1744"/>
      <c r="AP395" s="1744"/>
      <c r="AQ395" s="1744"/>
      <c r="AR395" s="1744"/>
      <c r="AS395" s="1744"/>
      <c r="AT395" s="1744"/>
      <c r="AU395" s="1744"/>
      <c r="AV395" s="1744"/>
      <c r="AW395" s="1744"/>
      <c r="AX395" s="1744"/>
      <c r="AY395" s="1744"/>
      <c r="AZ395" s="1744"/>
      <c r="BA395" s="1744"/>
      <c r="BB395" s="1744"/>
      <c r="BC395" s="1744"/>
      <c r="BD395" s="1744"/>
      <c r="BE395" s="1744"/>
      <c r="BF395" s="1744"/>
      <c r="BG395" s="1744"/>
      <c r="BH395" s="1744"/>
      <c r="BI395" s="1744"/>
      <c r="BJ395" s="1744"/>
      <c r="BK395" s="1744"/>
      <c r="BL395" s="1744"/>
      <c r="BM395" s="1744"/>
      <c r="BN395" s="1744"/>
      <c r="BO395" s="1744"/>
      <c r="BP395" s="1744"/>
      <c r="BQ395" s="1744"/>
      <c r="BR395" s="1744"/>
      <c r="BS395" s="1744"/>
      <c r="BT395" s="1744"/>
      <c r="BU395" s="1744"/>
      <c r="BV395" s="1744"/>
      <c r="BW395" s="1744"/>
      <c r="BX395" s="1744"/>
      <c r="BY395" s="1744"/>
      <c r="BZ395" s="1744"/>
      <c r="CA395" s="1744"/>
      <c r="CB395" s="1744"/>
      <c r="CC395" s="1744"/>
      <c r="CD395" s="1744"/>
      <c r="CE395" s="1744"/>
      <c r="CF395" s="1744"/>
      <c r="CG395" s="1744"/>
      <c r="CH395" s="1744"/>
      <c r="CI395" s="1744"/>
      <c r="CJ395" s="1744"/>
      <c r="CK395" s="1744"/>
      <c r="CL395" s="1744"/>
      <c r="CM395" s="1744"/>
      <c r="CN395" s="1744"/>
      <c r="CO395" s="1744"/>
      <c r="CP395" s="1744"/>
      <c r="CQ395" s="1744"/>
      <c r="CR395" s="1744"/>
      <c r="CS395" s="1744"/>
      <c r="CT395" s="1744"/>
      <c r="CU395" s="1744"/>
      <c r="CV395" s="1744"/>
      <c r="CW395" s="1744"/>
      <c r="CX395" s="1744"/>
      <c r="CY395" s="1744"/>
      <c r="CZ395" s="1744"/>
      <c r="DA395" s="1744"/>
      <c r="DB395" s="1744"/>
      <c r="DC395" s="1744"/>
      <c r="DD395" s="1744"/>
      <c r="DE395" s="1744"/>
      <c r="DF395" s="1744"/>
      <c r="DG395" s="1744"/>
      <c r="DH395" s="1744"/>
      <c r="DI395" s="1744"/>
      <c r="DJ395" s="1744"/>
      <c r="DK395" s="1744"/>
      <c r="DL395" s="1744"/>
      <c r="DM395" s="1744"/>
      <c r="DN395" s="1744"/>
      <c r="DO395" s="1744"/>
      <c r="DP395" s="1744"/>
      <c r="DQ395" s="1744"/>
      <c r="DR395" s="1744"/>
      <c r="DS395" s="1744"/>
      <c r="DT395" s="1744"/>
      <c r="DU395" s="1744"/>
      <c r="DV395" s="1744"/>
      <c r="DW395" s="1744"/>
      <c r="DX395" s="1744"/>
      <c r="DY395" s="1744"/>
      <c r="DZ395" s="1744"/>
      <c r="EA395" s="1744"/>
      <c r="EB395" s="1744"/>
      <c r="EC395" s="1744"/>
      <c r="ED395" s="1744"/>
      <c r="EE395" s="1744"/>
      <c r="EF395" s="1744"/>
      <c r="EG395" s="1744"/>
      <c r="EH395" s="1744"/>
      <c r="EI395" s="1744"/>
      <c r="EJ395" s="1744"/>
      <c r="EK395" s="1744"/>
      <c r="EL395" s="1744"/>
      <c r="EM395" s="1744"/>
      <c r="EN395" s="1744"/>
      <c r="EO395" s="1744"/>
      <c r="EP395" s="1744"/>
      <c r="EQ395" s="1744"/>
      <c r="ER395" s="1744"/>
      <c r="ES395" s="1744"/>
      <c r="ET395" s="1744"/>
      <c r="EU395" s="1744"/>
      <c r="EV395" s="1744"/>
      <c r="EW395" s="1744"/>
      <c r="EX395" s="1744"/>
      <c r="EY395" s="1744"/>
      <c r="EZ395" s="1744"/>
      <c r="FA395" s="1744"/>
      <c r="FB395" s="1744"/>
      <c r="FC395" s="1744"/>
      <c r="FD395" s="1744"/>
      <c r="FE395" s="1744"/>
      <c r="FF395" s="1744"/>
    </row>
    <row r="397" spans="6:162" s="1746" customFormat="1" ht="15.75" customHeight="1">
      <c r="F397" s="1744"/>
      <c r="G397" s="1744"/>
      <c r="H397" s="1744"/>
      <c r="I397" s="1744"/>
      <c r="J397" s="1744"/>
      <c r="K397" s="1744"/>
      <c r="L397" s="1744"/>
      <c r="M397" s="1744"/>
      <c r="N397" s="1744"/>
      <c r="O397" s="1744"/>
      <c r="P397" s="1744"/>
      <c r="Q397" s="1744"/>
      <c r="R397" s="1744"/>
      <c r="S397" s="1744"/>
      <c r="T397" s="1744"/>
      <c r="U397" s="1744"/>
      <c r="V397" s="1744"/>
      <c r="W397" s="1744"/>
      <c r="X397" s="1744"/>
      <c r="Y397" s="1744"/>
      <c r="AA397" s="1744"/>
      <c r="AC397" s="1744"/>
      <c r="AD397" s="1744"/>
      <c r="AE397" s="1744"/>
      <c r="AF397" s="1744"/>
      <c r="AG397" s="1744"/>
      <c r="AH397" s="1745"/>
      <c r="AI397" s="1745"/>
      <c r="AJ397" s="1744"/>
      <c r="AK397" s="1744"/>
      <c r="AL397" s="1744"/>
      <c r="AM397" s="1744"/>
      <c r="AN397" s="1744"/>
      <c r="AO397" s="1744"/>
      <c r="AP397" s="1744"/>
      <c r="AQ397" s="1744"/>
      <c r="AR397" s="1744"/>
      <c r="AS397" s="1744"/>
      <c r="AT397" s="1744"/>
      <c r="AU397" s="1744"/>
      <c r="AV397" s="1744"/>
      <c r="AW397" s="1744"/>
      <c r="AX397" s="1744"/>
      <c r="AY397" s="1744"/>
      <c r="AZ397" s="1744"/>
      <c r="BA397" s="1744"/>
      <c r="BB397" s="1744"/>
      <c r="BC397" s="1744"/>
      <c r="BD397" s="1744"/>
      <c r="BE397" s="1744"/>
      <c r="BF397" s="1744"/>
      <c r="BG397" s="1744"/>
      <c r="BH397" s="1744"/>
      <c r="BI397" s="1744"/>
      <c r="BJ397" s="1744"/>
      <c r="BK397" s="1744"/>
      <c r="BL397" s="1744"/>
      <c r="BM397" s="1744"/>
      <c r="BN397" s="1744"/>
      <c r="BO397" s="1744"/>
      <c r="BP397" s="1744"/>
      <c r="BQ397" s="1744"/>
      <c r="BR397" s="1744"/>
      <c r="BS397" s="1744"/>
      <c r="BT397" s="1744"/>
      <c r="BU397" s="1744"/>
      <c r="BV397" s="1744"/>
      <c r="BW397" s="1744"/>
      <c r="BX397" s="1744"/>
      <c r="BY397" s="1744"/>
      <c r="BZ397" s="1744"/>
      <c r="CA397" s="1744"/>
      <c r="CB397" s="1744"/>
      <c r="CC397" s="1744"/>
      <c r="CD397" s="1744"/>
      <c r="CE397" s="1744"/>
      <c r="CF397" s="1744"/>
      <c r="CG397" s="1744"/>
      <c r="CH397" s="1744"/>
      <c r="CI397" s="1744"/>
      <c r="CJ397" s="1744"/>
      <c r="CK397" s="1744"/>
      <c r="CL397" s="1744"/>
      <c r="CM397" s="1744"/>
      <c r="CN397" s="1744"/>
      <c r="CO397" s="1744"/>
      <c r="CP397" s="1744"/>
      <c r="CQ397" s="1744"/>
      <c r="CR397" s="1744"/>
      <c r="CS397" s="1744"/>
      <c r="CT397" s="1744"/>
      <c r="CU397" s="1744"/>
      <c r="CV397" s="1744"/>
      <c r="CW397" s="1744"/>
      <c r="CX397" s="1744"/>
      <c r="CY397" s="1744"/>
      <c r="CZ397" s="1744"/>
      <c r="DA397" s="1744"/>
      <c r="DB397" s="1744"/>
      <c r="DC397" s="1744"/>
      <c r="DD397" s="1744"/>
      <c r="DE397" s="1744"/>
      <c r="DF397" s="1744"/>
      <c r="DG397" s="1744"/>
      <c r="DH397" s="1744"/>
      <c r="DI397" s="1744"/>
      <c r="DJ397" s="1744"/>
      <c r="DK397" s="1744"/>
      <c r="DL397" s="1744"/>
      <c r="DM397" s="1744"/>
      <c r="DN397" s="1744"/>
      <c r="DO397" s="1744"/>
      <c r="DP397" s="1744"/>
      <c r="DQ397" s="1744"/>
      <c r="DR397" s="1744"/>
      <c r="DS397" s="1744"/>
      <c r="DT397" s="1744"/>
      <c r="DU397" s="1744"/>
      <c r="DV397" s="1744"/>
      <c r="DW397" s="1744"/>
      <c r="DX397" s="1744"/>
      <c r="DY397" s="1744"/>
      <c r="DZ397" s="1744"/>
      <c r="EA397" s="1744"/>
      <c r="EB397" s="1744"/>
      <c r="EC397" s="1744"/>
      <c r="ED397" s="1744"/>
      <c r="EE397" s="1744"/>
      <c r="EF397" s="1744"/>
      <c r="EG397" s="1744"/>
      <c r="EH397" s="1744"/>
      <c r="EI397" s="1744"/>
      <c r="EJ397" s="1744"/>
      <c r="EK397" s="1744"/>
      <c r="EL397" s="1744"/>
      <c r="EM397" s="1744"/>
      <c r="EN397" s="1744"/>
      <c r="EO397" s="1744"/>
      <c r="EP397" s="1744"/>
      <c r="EQ397" s="1744"/>
      <c r="ER397" s="1744"/>
      <c r="ES397" s="1744"/>
      <c r="ET397" s="1744"/>
      <c r="EU397" s="1744"/>
      <c r="EV397" s="1744"/>
      <c r="EW397" s="1744"/>
      <c r="EX397" s="1744"/>
      <c r="EY397" s="1744"/>
      <c r="EZ397" s="1744"/>
      <c r="FA397" s="1744"/>
      <c r="FB397" s="1744"/>
      <c r="FC397" s="1744"/>
      <c r="FD397" s="1744"/>
      <c r="FE397" s="1744"/>
      <c r="FF397" s="1744"/>
    </row>
    <row r="399" spans="6:162" s="1746" customFormat="1" ht="15.75" customHeight="1">
      <c r="F399" s="1744"/>
      <c r="G399" s="1744"/>
      <c r="H399" s="1744"/>
      <c r="I399" s="1744"/>
      <c r="J399" s="1744"/>
      <c r="K399" s="1744"/>
      <c r="L399" s="1744"/>
      <c r="M399" s="1744"/>
      <c r="N399" s="1744"/>
      <c r="O399" s="1744"/>
      <c r="P399" s="1744"/>
      <c r="Q399" s="1744"/>
      <c r="R399" s="1744"/>
      <c r="S399" s="1744"/>
      <c r="T399" s="1744"/>
      <c r="U399" s="1744"/>
      <c r="V399" s="1744"/>
      <c r="W399" s="1744"/>
      <c r="X399" s="1744"/>
      <c r="Y399" s="1744"/>
      <c r="AA399" s="1744"/>
      <c r="AC399" s="1744"/>
      <c r="AD399" s="1744"/>
      <c r="AE399" s="1744"/>
      <c r="AF399" s="1744"/>
      <c r="AG399" s="1744"/>
      <c r="AH399" s="1745"/>
      <c r="AI399" s="1745"/>
      <c r="AJ399" s="1744"/>
      <c r="AK399" s="1744"/>
      <c r="AL399" s="1744"/>
      <c r="AM399" s="1744"/>
      <c r="AN399" s="1744"/>
      <c r="AO399" s="1744"/>
      <c r="AP399" s="1744"/>
      <c r="AQ399" s="1744"/>
      <c r="AR399" s="1744"/>
      <c r="AS399" s="1744"/>
      <c r="AT399" s="1744"/>
      <c r="AU399" s="1744"/>
      <c r="AV399" s="1744"/>
      <c r="AW399" s="1744"/>
      <c r="AX399" s="1744"/>
      <c r="AY399" s="1744"/>
      <c r="AZ399" s="1744"/>
      <c r="BA399" s="1744"/>
      <c r="BB399" s="1744"/>
      <c r="BC399" s="1744"/>
      <c r="BD399" s="1744"/>
      <c r="BE399" s="1744"/>
      <c r="BF399" s="1744"/>
      <c r="BG399" s="1744"/>
      <c r="BH399" s="1744"/>
      <c r="BI399" s="1744"/>
      <c r="BJ399" s="1744"/>
      <c r="BK399" s="1744"/>
      <c r="BL399" s="1744"/>
      <c r="BM399" s="1744"/>
      <c r="BN399" s="1744"/>
      <c r="BO399" s="1744"/>
      <c r="BP399" s="1744"/>
      <c r="BQ399" s="1744"/>
      <c r="BR399" s="1744"/>
      <c r="BS399" s="1744"/>
      <c r="BT399" s="1744"/>
      <c r="BU399" s="1744"/>
      <c r="BV399" s="1744"/>
      <c r="BW399" s="1744"/>
      <c r="BX399" s="1744"/>
      <c r="BY399" s="1744"/>
      <c r="BZ399" s="1744"/>
      <c r="CA399" s="1744"/>
      <c r="CB399" s="1744"/>
      <c r="CC399" s="1744"/>
      <c r="CD399" s="1744"/>
      <c r="CE399" s="1744"/>
      <c r="CF399" s="1744"/>
      <c r="CG399" s="1744"/>
      <c r="CH399" s="1744"/>
      <c r="CI399" s="1744"/>
      <c r="CJ399" s="1744"/>
      <c r="CK399" s="1744"/>
      <c r="CL399" s="1744"/>
      <c r="CM399" s="1744"/>
      <c r="CN399" s="1744"/>
      <c r="CO399" s="1744"/>
      <c r="CP399" s="1744"/>
      <c r="CQ399" s="1744"/>
      <c r="CR399" s="1744"/>
      <c r="CS399" s="1744"/>
      <c r="CT399" s="1744"/>
      <c r="CU399" s="1744"/>
      <c r="CV399" s="1744"/>
      <c r="CW399" s="1744"/>
      <c r="CX399" s="1744"/>
      <c r="CY399" s="1744"/>
      <c r="CZ399" s="1744"/>
      <c r="DA399" s="1744"/>
      <c r="DB399" s="1744"/>
      <c r="DC399" s="1744"/>
      <c r="DD399" s="1744"/>
      <c r="DE399" s="1744"/>
      <c r="DF399" s="1744"/>
      <c r="DG399" s="1744"/>
      <c r="DH399" s="1744"/>
      <c r="DI399" s="1744"/>
      <c r="DJ399" s="1744"/>
      <c r="DK399" s="1744"/>
      <c r="DL399" s="1744"/>
      <c r="DM399" s="1744"/>
      <c r="DN399" s="1744"/>
      <c r="DO399" s="1744"/>
      <c r="DP399" s="1744"/>
      <c r="DQ399" s="1744"/>
      <c r="DR399" s="1744"/>
      <c r="DS399" s="1744"/>
      <c r="DT399" s="1744"/>
      <c r="DU399" s="1744"/>
      <c r="DV399" s="1744"/>
      <c r="DW399" s="1744"/>
      <c r="DX399" s="1744"/>
      <c r="DY399" s="1744"/>
      <c r="DZ399" s="1744"/>
      <c r="EA399" s="1744"/>
      <c r="EB399" s="1744"/>
      <c r="EC399" s="1744"/>
      <c r="ED399" s="1744"/>
      <c r="EE399" s="1744"/>
      <c r="EF399" s="1744"/>
      <c r="EG399" s="1744"/>
      <c r="EH399" s="1744"/>
      <c r="EI399" s="1744"/>
      <c r="EJ399" s="1744"/>
      <c r="EK399" s="1744"/>
      <c r="EL399" s="1744"/>
      <c r="EM399" s="1744"/>
      <c r="EN399" s="1744"/>
      <c r="EO399" s="1744"/>
      <c r="EP399" s="1744"/>
      <c r="EQ399" s="1744"/>
      <c r="ER399" s="1744"/>
      <c r="ES399" s="1744"/>
      <c r="ET399" s="1744"/>
      <c r="EU399" s="1744"/>
      <c r="EV399" s="1744"/>
      <c r="EW399" s="1744"/>
      <c r="EX399" s="1744"/>
      <c r="EY399" s="1744"/>
      <c r="EZ399" s="1744"/>
      <c r="FA399" s="1744"/>
      <c r="FB399" s="1744"/>
      <c r="FC399" s="1744"/>
      <c r="FD399" s="1744"/>
      <c r="FE399" s="1744"/>
      <c r="FF399" s="1744"/>
    </row>
    <row r="401" spans="6:162" s="1746" customFormat="1" ht="15.75" customHeight="1">
      <c r="F401" s="1744"/>
      <c r="G401" s="1744"/>
      <c r="H401" s="1744"/>
      <c r="I401" s="1744"/>
      <c r="J401" s="1744"/>
      <c r="K401" s="1744"/>
      <c r="L401" s="1744"/>
      <c r="M401" s="1744"/>
      <c r="N401" s="1744"/>
      <c r="O401" s="1744"/>
      <c r="P401" s="1744"/>
      <c r="Q401" s="1744"/>
      <c r="R401" s="1744"/>
      <c r="S401" s="1744"/>
      <c r="T401" s="1744"/>
      <c r="U401" s="1744"/>
      <c r="V401" s="1744"/>
      <c r="W401" s="1744"/>
      <c r="X401" s="1744"/>
      <c r="Y401" s="1744"/>
      <c r="AA401" s="1744"/>
      <c r="AC401" s="1744"/>
      <c r="AD401" s="1744"/>
      <c r="AE401" s="1744"/>
      <c r="AF401" s="1744"/>
      <c r="AG401" s="1744"/>
      <c r="AH401" s="1745"/>
      <c r="AI401" s="1745"/>
      <c r="AJ401" s="1744"/>
      <c r="AK401" s="1744"/>
      <c r="AL401" s="1744"/>
      <c r="AM401" s="1744"/>
      <c r="AN401" s="1744"/>
      <c r="AO401" s="1744"/>
      <c r="AP401" s="1744"/>
      <c r="AQ401" s="1744"/>
      <c r="AR401" s="1744"/>
      <c r="AS401" s="1744"/>
      <c r="AT401" s="1744"/>
      <c r="AU401" s="1744"/>
      <c r="AV401" s="1744"/>
      <c r="AW401" s="1744"/>
      <c r="AX401" s="1744"/>
      <c r="AY401" s="1744"/>
      <c r="AZ401" s="1744"/>
      <c r="BA401" s="1744"/>
      <c r="BB401" s="1744"/>
      <c r="BC401" s="1744"/>
      <c r="BD401" s="1744"/>
      <c r="BE401" s="1744"/>
      <c r="BF401" s="1744"/>
      <c r="BG401" s="1744"/>
      <c r="BH401" s="1744"/>
      <c r="BI401" s="1744"/>
      <c r="BJ401" s="1744"/>
      <c r="BK401" s="1744"/>
      <c r="BL401" s="1744"/>
      <c r="BM401" s="1744"/>
      <c r="BN401" s="1744"/>
      <c r="BO401" s="1744"/>
      <c r="BP401" s="1744"/>
      <c r="BQ401" s="1744"/>
      <c r="BR401" s="1744"/>
      <c r="BS401" s="1744"/>
      <c r="BT401" s="1744"/>
      <c r="BU401" s="1744"/>
      <c r="BV401" s="1744"/>
      <c r="BW401" s="1744"/>
      <c r="BX401" s="1744"/>
      <c r="BY401" s="1744"/>
      <c r="BZ401" s="1744"/>
      <c r="CA401" s="1744"/>
      <c r="CB401" s="1744"/>
      <c r="CC401" s="1744"/>
      <c r="CD401" s="1744"/>
      <c r="CE401" s="1744"/>
      <c r="CF401" s="1744"/>
      <c r="CG401" s="1744"/>
      <c r="CH401" s="1744"/>
      <c r="CI401" s="1744"/>
      <c r="CJ401" s="1744"/>
      <c r="CK401" s="1744"/>
      <c r="CL401" s="1744"/>
      <c r="CM401" s="1744"/>
      <c r="CN401" s="1744"/>
      <c r="CO401" s="1744"/>
      <c r="CP401" s="1744"/>
      <c r="CQ401" s="1744"/>
      <c r="CR401" s="1744"/>
      <c r="CS401" s="1744"/>
      <c r="CT401" s="1744"/>
      <c r="CU401" s="1744"/>
      <c r="CV401" s="1744"/>
      <c r="CW401" s="1744"/>
      <c r="CX401" s="1744"/>
      <c r="CY401" s="1744"/>
      <c r="CZ401" s="1744"/>
      <c r="DA401" s="1744"/>
      <c r="DB401" s="1744"/>
      <c r="DC401" s="1744"/>
      <c r="DD401" s="1744"/>
      <c r="DE401" s="1744"/>
      <c r="DF401" s="1744"/>
      <c r="DG401" s="1744"/>
      <c r="DH401" s="1744"/>
      <c r="DI401" s="1744"/>
      <c r="DJ401" s="1744"/>
      <c r="DK401" s="1744"/>
      <c r="DL401" s="1744"/>
      <c r="DM401" s="1744"/>
      <c r="DN401" s="1744"/>
      <c r="DO401" s="1744"/>
      <c r="DP401" s="1744"/>
      <c r="DQ401" s="1744"/>
      <c r="DR401" s="1744"/>
      <c r="DS401" s="1744"/>
      <c r="DT401" s="1744"/>
      <c r="DU401" s="1744"/>
      <c r="DV401" s="1744"/>
      <c r="DW401" s="1744"/>
      <c r="DX401" s="1744"/>
      <c r="DY401" s="1744"/>
      <c r="DZ401" s="1744"/>
      <c r="EA401" s="1744"/>
      <c r="EB401" s="1744"/>
      <c r="EC401" s="1744"/>
      <c r="ED401" s="1744"/>
      <c r="EE401" s="1744"/>
      <c r="EF401" s="1744"/>
      <c r="EG401" s="1744"/>
      <c r="EH401" s="1744"/>
      <c r="EI401" s="1744"/>
      <c r="EJ401" s="1744"/>
      <c r="EK401" s="1744"/>
      <c r="EL401" s="1744"/>
      <c r="EM401" s="1744"/>
      <c r="EN401" s="1744"/>
      <c r="EO401" s="1744"/>
      <c r="EP401" s="1744"/>
      <c r="EQ401" s="1744"/>
      <c r="ER401" s="1744"/>
      <c r="ES401" s="1744"/>
      <c r="ET401" s="1744"/>
      <c r="EU401" s="1744"/>
      <c r="EV401" s="1744"/>
      <c r="EW401" s="1744"/>
      <c r="EX401" s="1744"/>
      <c r="EY401" s="1744"/>
      <c r="EZ401" s="1744"/>
      <c r="FA401" s="1744"/>
      <c r="FB401" s="1744"/>
      <c r="FC401" s="1744"/>
      <c r="FD401" s="1744"/>
      <c r="FE401" s="1744"/>
      <c r="FF401" s="1744"/>
    </row>
    <row r="403" spans="6:162" s="1746" customFormat="1" ht="15.75" customHeight="1">
      <c r="F403" s="1744"/>
      <c r="G403" s="1744"/>
      <c r="H403" s="1744"/>
      <c r="I403" s="1744"/>
      <c r="J403" s="1744"/>
      <c r="K403" s="1744"/>
      <c r="L403" s="1744"/>
      <c r="M403" s="1744"/>
      <c r="N403" s="1744"/>
      <c r="O403" s="1744"/>
      <c r="P403" s="1744"/>
      <c r="Q403" s="1744"/>
      <c r="R403" s="1744"/>
      <c r="S403" s="1744"/>
      <c r="T403" s="1744"/>
      <c r="U403" s="1744"/>
      <c r="V403" s="1744"/>
      <c r="W403" s="1744"/>
      <c r="X403" s="1744"/>
      <c r="Y403" s="1744"/>
      <c r="AA403" s="1744"/>
      <c r="AC403" s="1744"/>
      <c r="AD403" s="1744"/>
      <c r="AE403" s="1744"/>
      <c r="AF403" s="1744"/>
      <c r="AG403" s="1744"/>
      <c r="AH403" s="1745"/>
      <c r="AI403" s="1745"/>
      <c r="AJ403" s="1744"/>
      <c r="AK403" s="1744"/>
      <c r="AL403" s="1744"/>
      <c r="AM403" s="1744"/>
      <c r="AN403" s="1744"/>
      <c r="AO403" s="1744"/>
      <c r="AP403" s="1744"/>
      <c r="AQ403" s="1744"/>
      <c r="AR403" s="1744"/>
      <c r="AS403" s="1744"/>
      <c r="AT403" s="1744"/>
      <c r="AU403" s="1744"/>
      <c r="AV403" s="1744"/>
      <c r="AW403" s="1744"/>
      <c r="AX403" s="1744"/>
      <c r="AY403" s="1744"/>
      <c r="AZ403" s="1744"/>
      <c r="BA403" s="1744"/>
      <c r="BB403" s="1744"/>
      <c r="BC403" s="1744"/>
      <c r="BD403" s="1744"/>
      <c r="BE403" s="1744"/>
      <c r="BF403" s="1744"/>
      <c r="BG403" s="1744"/>
      <c r="BH403" s="1744"/>
      <c r="BI403" s="1744"/>
      <c r="BJ403" s="1744"/>
      <c r="BK403" s="1744"/>
      <c r="BL403" s="1744"/>
      <c r="BM403" s="1744"/>
      <c r="BN403" s="1744"/>
      <c r="BO403" s="1744"/>
      <c r="BP403" s="1744"/>
      <c r="BQ403" s="1744"/>
      <c r="BR403" s="1744"/>
      <c r="BS403" s="1744"/>
      <c r="BT403" s="1744"/>
      <c r="BU403" s="1744"/>
      <c r="BV403" s="1744"/>
      <c r="BW403" s="1744"/>
      <c r="BX403" s="1744"/>
      <c r="BY403" s="1744"/>
      <c r="BZ403" s="1744"/>
      <c r="CA403" s="1744"/>
      <c r="CB403" s="1744"/>
      <c r="CC403" s="1744"/>
      <c r="CD403" s="1744"/>
      <c r="CE403" s="1744"/>
      <c r="CF403" s="1744"/>
      <c r="CG403" s="1744"/>
      <c r="CH403" s="1744"/>
      <c r="CI403" s="1744"/>
      <c r="CJ403" s="1744"/>
      <c r="CK403" s="1744"/>
      <c r="CL403" s="1744"/>
      <c r="CM403" s="1744"/>
      <c r="CN403" s="1744"/>
      <c r="CO403" s="1744"/>
      <c r="CP403" s="1744"/>
      <c r="CQ403" s="1744"/>
      <c r="CR403" s="1744"/>
      <c r="CS403" s="1744"/>
      <c r="CT403" s="1744"/>
      <c r="CU403" s="1744"/>
      <c r="CV403" s="1744"/>
      <c r="CW403" s="1744"/>
      <c r="CX403" s="1744"/>
      <c r="CY403" s="1744"/>
      <c r="CZ403" s="1744"/>
      <c r="DA403" s="1744"/>
      <c r="DB403" s="1744"/>
      <c r="DC403" s="1744"/>
      <c r="DD403" s="1744"/>
      <c r="DE403" s="1744"/>
      <c r="DF403" s="1744"/>
      <c r="DG403" s="1744"/>
      <c r="DH403" s="1744"/>
      <c r="DI403" s="1744"/>
      <c r="DJ403" s="1744"/>
      <c r="DK403" s="1744"/>
      <c r="DL403" s="1744"/>
      <c r="DM403" s="1744"/>
      <c r="DN403" s="1744"/>
      <c r="DO403" s="1744"/>
      <c r="DP403" s="1744"/>
      <c r="DQ403" s="1744"/>
      <c r="DR403" s="1744"/>
      <c r="DS403" s="1744"/>
      <c r="DT403" s="1744"/>
      <c r="DU403" s="1744"/>
      <c r="DV403" s="1744"/>
      <c r="DW403" s="1744"/>
      <c r="DX403" s="1744"/>
      <c r="DY403" s="1744"/>
      <c r="DZ403" s="1744"/>
      <c r="EA403" s="1744"/>
      <c r="EB403" s="1744"/>
      <c r="EC403" s="1744"/>
      <c r="ED403" s="1744"/>
      <c r="EE403" s="1744"/>
      <c r="EF403" s="1744"/>
      <c r="EG403" s="1744"/>
      <c r="EH403" s="1744"/>
      <c r="EI403" s="1744"/>
      <c r="EJ403" s="1744"/>
      <c r="EK403" s="1744"/>
      <c r="EL403" s="1744"/>
      <c r="EM403" s="1744"/>
      <c r="EN403" s="1744"/>
      <c r="EO403" s="1744"/>
      <c r="EP403" s="1744"/>
      <c r="EQ403" s="1744"/>
      <c r="ER403" s="1744"/>
      <c r="ES403" s="1744"/>
      <c r="ET403" s="1744"/>
      <c r="EU403" s="1744"/>
      <c r="EV403" s="1744"/>
      <c r="EW403" s="1744"/>
      <c r="EX403" s="1744"/>
      <c r="EY403" s="1744"/>
      <c r="EZ403" s="1744"/>
      <c r="FA403" s="1744"/>
      <c r="FB403" s="1744"/>
      <c r="FC403" s="1744"/>
      <c r="FD403" s="1744"/>
      <c r="FE403" s="1744"/>
      <c r="FF403" s="1744"/>
    </row>
    <row r="405" spans="6:162" s="1746" customFormat="1" ht="15.75" customHeight="1">
      <c r="F405" s="1744"/>
      <c r="G405" s="1744"/>
      <c r="H405" s="1744"/>
      <c r="I405" s="1744"/>
      <c r="J405" s="1744"/>
      <c r="K405" s="1744"/>
      <c r="L405" s="1744"/>
      <c r="M405" s="1744"/>
      <c r="N405" s="1744"/>
      <c r="O405" s="1744"/>
      <c r="P405" s="1744"/>
      <c r="Q405" s="1744"/>
      <c r="R405" s="1744"/>
      <c r="S405" s="1744"/>
      <c r="T405" s="1744"/>
      <c r="U405" s="1744"/>
      <c r="V405" s="1744"/>
      <c r="W405" s="1744"/>
      <c r="X405" s="1744"/>
      <c r="Y405" s="1744"/>
      <c r="AA405" s="1744"/>
      <c r="AC405" s="1744"/>
      <c r="AD405" s="1744"/>
      <c r="AE405" s="1744"/>
      <c r="AF405" s="1744"/>
      <c r="AG405" s="1744"/>
      <c r="AH405" s="1745"/>
      <c r="AI405" s="1745"/>
      <c r="AJ405" s="1744"/>
      <c r="AK405" s="1744"/>
      <c r="AL405" s="1744"/>
      <c r="AM405" s="1744"/>
      <c r="AN405" s="1744"/>
      <c r="AO405" s="1744"/>
      <c r="AP405" s="1744"/>
      <c r="AQ405" s="1744"/>
      <c r="AR405" s="1744"/>
      <c r="AS405" s="1744"/>
      <c r="AT405" s="1744"/>
      <c r="AU405" s="1744"/>
      <c r="AV405" s="1744"/>
      <c r="AW405" s="1744"/>
      <c r="AX405" s="1744"/>
      <c r="AY405" s="1744"/>
      <c r="AZ405" s="1744"/>
      <c r="BA405" s="1744"/>
      <c r="BB405" s="1744"/>
      <c r="BC405" s="1744"/>
      <c r="BD405" s="1744"/>
      <c r="BE405" s="1744"/>
      <c r="BF405" s="1744"/>
      <c r="BG405" s="1744"/>
      <c r="BH405" s="1744"/>
      <c r="BI405" s="1744"/>
      <c r="BJ405" s="1744"/>
      <c r="BK405" s="1744"/>
      <c r="BL405" s="1744"/>
      <c r="BM405" s="1744"/>
      <c r="BN405" s="1744"/>
      <c r="BO405" s="1744"/>
      <c r="BP405" s="1744"/>
      <c r="BQ405" s="1744"/>
      <c r="BR405" s="1744"/>
      <c r="BS405" s="1744"/>
      <c r="BT405" s="1744"/>
      <c r="BU405" s="1744"/>
      <c r="BV405" s="1744"/>
      <c r="BW405" s="1744"/>
      <c r="BX405" s="1744"/>
      <c r="BY405" s="1744"/>
      <c r="BZ405" s="1744"/>
      <c r="CA405" s="1744"/>
      <c r="CB405" s="1744"/>
      <c r="CC405" s="1744"/>
      <c r="CD405" s="1744"/>
      <c r="CE405" s="1744"/>
      <c r="CF405" s="1744"/>
      <c r="CG405" s="1744"/>
      <c r="CH405" s="1744"/>
      <c r="CI405" s="1744"/>
      <c r="CJ405" s="1744"/>
      <c r="CK405" s="1744"/>
      <c r="CL405" s="1744"/>
      <c r="CM405" s="1744"/>
      <c r="CN405" s="1744"/>
      <c r="CO405" s="1744"/>
      <c r="CP405" s="1744"/>
      <c r="CQ405" s="1744"/>
      <c r="CR405" s="1744"/>
      <c r="CS405" s="1744"/>
      <c r="CT405" s="1744"/>
      <c r="CU405" s="1744"/>
      <c r="CV405" s="1744"/>
      <c r="CW405" s="1744"/>
      <c r="CX405" s="1744"/>
      <c r="CY405" s="1744"/>
      <c r="CZ405" s="1744"/>
      <c r="DA405" s="1744"/>
      <c r="DB405" s="1744"/>
      <c r="DC405" s="1744"/>
      <c r="DD405" s="1744"/>
      <c r="DE405" s="1744"/>
      <c r="DF405" s="1744"/>
      <c r="DG405" s="1744"/>
      <c r="DH405" s="1744"/>
      <c r="DI405" s="1744"/>
      <c r="DJ405" s="1744"/>
      <c r="DK405" s="1744"/>
      <c r="DL405" s="1744"/>
      <c r="DM405" s="1744"/>
      <c r="DN405" s="1744"/>
      <c r="DO405" s="1744"/>
      <c r="DP405" s="1744"/>
      <c r="DQ405" s="1744"/>
      <c r="DR405" s="1744"/>
      <c r="DS405" s="1744"/>
      <c r="DT405" s="1744"/>
      <c r="DU405" s="1744"/>
      <c r="DV405" s="1744"/>
      <c r="DW405" s="1744"/>
      <c r="DX405" s="1744"/>
      <c r="DY405" s="1744"/>
      <c r="DZ405" s="1744"/>
      <c r="EA405" s="1744"/>
      <c r="EB405" s="1744"/>
      <c r="EC405" s="1744"/>
      <c r="ED405" s="1744"/>
      <c r="EE405" s="1744"/>
      <c r="EF405" s="1744"/>
      <c r="EG405" s="1744"/>
      <c r="EH405" s="1744"/>
      <c r="EI405" s="1744"/>
      <c r="EJ405" s="1744"/>
      <c r="EK405" s="1744"/>
      <c r="EL405" s="1744"/>
      <c r="EM405" s="1744"/>
      <c r="EN405" s="1744"/>
      <c r="EO405" s="1744"/>
      <c r="EP405" s="1744"/>
      <c r="EQ405" s="1744"/>
      <c r="ER405" s="1744"/>
      <c r="ES405" s="1744"/>
      <c r="ET405" s="1744"/>
      <c r="EU405" s="1744"/>
      <c r="EV405" s="1744"/>
      <c r="EW405" s="1744"/>
      <c r="EX405" s="1744"/>
      <c r="EY405" s="1744"/>
      <c r="EZ405" s="1744"/>
      <c r="FA405" s="1744"/>
      <c r="FB405" s="1744"/>
      <c r="FC405" s="1744"/>
      <c r="FD405" s="1744"/>
      <c r="FE405" s="1744"/>
      <c r="FF405" s="1744"/>
    </row>
    <row r="407" spans="6:162" s="1746" customFormat="1" ht="15.75" customHeight="1">
      <c r="F407" s="1744"/>
      <c r="G407" s="1744"/>
      <c r="H407" s="1744"/>
      <c r="I407" s="1744"/>
      <c r="J407" s="1744"/>
      <c r="K407" s="1744"/>
      <c r="L407" s="1744"/>
      <c r="M407" s="1744"/>
      <c r="N407" s="1744"/>
      <c r="O407" s="1744"/>
      <c r="P407" s="1744"/>
      <c r="Q407" s="1744"/>
      <c r="R407" s="1744"/>
      <c r="S407" s="1744"/>
      <c r="T407" s="1744"/>
      <c r="U407" s="1744"/>
      <c r="V407" s="1744"/>
      <c r="W407" s="1744"/>
      <c r="X407" s="1744"/>
      <c r="Y407" s="1744"/>
      <c r="AA407" s="1744"/>
      <c r="AC407" s="1744"/>
      <c r="AD407" s="1744"/>
      <c r="AE407" s="1744"/>
      <c r="AF407" s="1744"/>
      <c r="AG407" s="1744"/>
      <c r="AH407" s="1745"/>
      <c r="AI407" s="1745"/>
      <c r="AJ407" s="1744"/>
      <c r="AK407" s="1744"/>
      <c r="AL407" s="1744"/>
      <c r="AM407" s="1744"/>
      <c r="AN407" s="1744"/>
      <c r="AO407" s="1744"/>
      <c r="AP407" s="1744"/>
      <c r="AQ407" s="1744"/>
      <c r="AR407" s="1744"/>
      <c r="AS407" s="1744"/>
      <c r="AT407" s="1744"/>
      <c r="AU407" s="1744"/>
      <c r="AV407" s="1744"/>
      <c r="AW407" s="1744"/>
      <c r="AX407" s="1744"/>
      <c r="AY407" s="1744"/>
      <c r="AZ407" s="1744"/>
      <c r="BA407" s="1744"/>
      <c r="BB407" s="1744"/>
      <c r="BC407" s="1744"/>
      <c r="BD407" s="1744"/>
      <c r="BE407" s="1744"/>
      <c r="BF407" s="1744"/>
      <c r="BG407" s="1744"/>
      <c r="BH407" s="1744"/>
      <c r="BI407" s="1744"/>
      <c r="BJ407" s="1744"/>
      <c r="BK407" s="1744"/>
      <c r="BL407" s="1744"/>
      <c r="BM407" s="1744"/>
      <c r="BN407" s="1744"/>
      <c r="BO407" s="1744"/>
      <c r="BP407" s="1744"/>
      <c r="BQ407" s="1744"/>
      <c r="BR407" s="1744"/>
      <c r="BS407" s="1744"/>
      <c r="BT407" s="1744"/>
      <c r="BU407" s="1744"/>
      <c r="BV407" s="1744"/>
      <c r="BW407" s="1744"/>
      <c r="BX407" s="1744"/>
      <c r="BY407" s="1744"/>
      <c r="BZ407" s="1744"/>
      <c r="CA407" s="1744"/>
      <c r="CB407" s="1744"/>
      <c r="CC407" s="1744"/>
      <c r="CD407" s="1744"/>
      <c r="CE407" s="1744"/>
      <c r="CF407" s="1744"/>
      <c r="CG407" s="1744"/>
      <c r="CH407" s="1744"/>
      <c r="CI407" s="1744"/>
      <c r="CJ407" s="1744"/>
      <c r="CK407" s="1744"/>
      <c r="CL407" s="1744"/>
      <c r="CM407" s="1744"/>
      <c r="CN407" s="1744"/>
      <c r="CO407" s="1744"/>
      <c r="CP407" s="1744"/>
      <c r="CQ407" s="1744"/>
      <c r="CR407" s="1744"/>
      <c r="CS407" s="1744"/>
      <c r="CT407" s="1744"/>
      <c r="CU407" s="1744"/>
      <c r="CV407" s="1744"/>
      <c r="CW407" s="1744"/>
      <c r="CX407" s="1744"/>
      <c r="CY407" s="1744"/>
      <c r="CZ407" s="1744"/>
      <c r="DA407" s="1744"/>
      <c r="DB407" s="1744"/>
      <c r="DC407" s="1744"/>
      <c r="DD407" s="1744"/>
      <c r="DE407" s="1744"/>
      <c r="DF407" s="1744"/>
      <c r="DG407" s="1744"/>
      <c r="DH407" s="1744"/>
      <c r="DI407" s="1744"/>
      <c r="DJ407" s="1744"/>
      <c r="DK407" s="1744"/>
      <c r="DL407" s="1744"/>
      <c r="DM407" s="1744"/>
      <c r="DN407" s="1744"/>
      <c r="DO407" s="1744"/>
      <c r="DP407" s="1744"/>
      <c r="DQ407" s="1744"/>
      <c r="DR407" s="1744"/>
      <c r="DS407" s="1744"/>
      <c r="DT407" s="1744"/>
      <c r="DU407" s="1744"/>
      <c r="DV407" s="1744"/>
      <c r="DW407" s="1744"/>
      <c r="DX407" s="1744"/>
      <c r="DY407" s="1744"/>
      <c r="DZ407" s="1744"/>
      <c r="EA407" s="1744"/>
      <c r="EB407" s="1744"/>
      <c r="EC407" s="1744"/>
      <c r="ED407" s="1744"/>
      <c r="EE407" s="1744"/>
      <c r="EF407" s="1744"/>
      <c r="EG407" s="1744"/>
      <c r="EH407" s="1744"/>
      <c r="EI407" s="1744"/>
      <c r="EJ407" s="1744"/>
      <c r="EK407" s="1744"/>
      <c r="EL407" s="1744"/>
      <c r="EM407" s="1744"/>
      <c r="EN407" s="1744"/>
      <c r="EO407" s="1744"/>
      <c r="EP407" s="1744"/>
      <c r="EQ407" s="1744"/>
      <c r="ER407" s="1744"/>
      <c r="ES407" s="1744"/>
      <c r="ET407" s="1744"/>
      <c r="EU407" s="1744"/>
      <c r="EV407" s="1744"/>
      <c r="EW407" s="1744"/>
      <c r="EX407" s="1744"/>
      <c r="EY407" s="1744"/>
      <c r="EZ407" s="1744"/>
      <c r="FA407" s="1744"/>
      <c r="FB407" s="1744"/>
      <c r="FC407" s="1744"/>
      <c r="FD407" s="1744"/>
      <c r="FE407" s="1744"/>
      <c r="FF407" s="1744"/>
    </row>
    <row r="409" spans="6:162" s="1746" customFormat="1" ht="15.75" customHeight="1">
      <c r="F409" s="1744"/>
      <c r="G409" s="1744"/>
      <c r="H409" s="1744"/>
      <c r="I409" s="1744"/>
      <c r="J409" s="1744"/>
      <c r="K409" s="1744"/>
      <c r="L409" s="1744"/>
      <c r="M409" s="1744"/>
      <c r="N409" s="1744"/>
      <c r="O409" s="1744"/>
      <c r="P409" s="1744"/>
      <c r="Q409" s="1744"/>
      <c r="R409" s="1744"/>
      <c r="S409" s="1744"/>
      <c r="T409" s="1744"/>
      <c r="U409" s="1744"/>
      <c r="V409" s="1744"/>
      <c r="W409" s="1744"/>
      <c r="X409" s="1744"/>
      <c r="Y409" s="1744"/>
      <c r="AA409" s="1744"/>
      <c r="AC409" s="1744"/>
      <c r="AD409" s="1744"/>
      <c r="AE409" s="1744"/>
      <c r="AF409" s="1744"/>
      <c r="AG409" s="1744"/>
      <c r="AH409" s="1745"/>
      <c r="AI409" s="1745"/>
      <c r="AJ409" s="1744"/>
      <c r="AK409" s="1744"/>
      <c r="AL409" s="1744"/>
      <c r="AM409" s="1744"/>
      <c r="AN409" s="1744"/>
      <c r="AO409" s="1744"/>
      <c r="AP409" s="1744"/>
      <c r="AQ409" s="1744"/>
      <c r="AR409" s="1744"/>
      <c r="AS409" s="1744"/>
      <c r="AT409" s="1744"/>
      <c r="AU409" s="1744"/>
      <c r="AV409" s="1744"/>
      <c r="AW409" s="1744"/>
      <c r="AX409" s="1744"/>
      <c r="AY409" s="1744"/>
      <c r="AZ409" s="1744"/>
      <c r="BA409" s="1744"/>
      <c r="BB409" s="1744"/>
      <c r="BC409" s="1744"/>
      <c r="BD409" s="1744"/>
      <c r="BE409" s="1744"/>
      <c r="BF409" s="1744"/>
      <c r="BG409" s="1744"/>
      <c r="BH409" s="1744"/>
      <c r="BI409" s="1744"/>
      <c r="BJ409" s="1744"/>
      <c r="BK409" s="1744"/>
      <c r="BL409" s="1744"/>
      <c r="BM409" s="1744"/>
      <c r="BN409" s="1744"/>
      <c r="BO409" s="1744"/>
      <c r="BP409" s="1744"/>
      <c r="BQ409" s="1744"/>
      <c r="BR409" s="1744"/>
      <c r="BS409" s="1744"/>
      <c r="BT409" s="1744"/>
      <c r="BU409" s="1744"/>
      <c r="BV409" s="1744"/>
      <c r="BW409" s="1744"/>
      <c r="BX409" s="1744"/>
      <c r="BY409" s="1744"/>
      <c r="BZ409" s="1744"/>
      <c r="CA409" s="1744"/>
      <c r="CB409" s="1744"/>
      <c r="CC409" s="1744"/>
      <c r="CD409" s="1744"/>
      <c r="CE409" s="1744"/>
      <c r="CF409" s="1744"/>
      <c r="CG409" s="1744"/>
      <c r="CH409" s="1744"/>
      <c r="CI409" s="1744"/>
      <c r="CJ409" s="1744"/>
      <c r="CK409" s="1744"/>
      <c r="CL409" s="1744"/>
      <c r="CM409" s="1744"/>
      <c r="CN409" s="1744"/>
      <c r="CO409" s="1744"/>
      <c r="CP409" s="1744"/>
      <c r="CQ409" s="1744"/>
      <c r="CR409" s="1744"/>
      <c r="CS409" s="1744"/>
      <c r="CT409" s="1744"/>
      <c r="CU409" s="1744"/>
      <c r="CV409" s="1744"/>
      <c r="CW409" s="1744"/>
      <c r="CX409" s="1744"/>
      <c r="CY409" s="1744"/>
      <c r="CZ409" s="1744"/>
      <c r="DA409" s="1744"/>
      <c r="DB409" s="1744"/>
      <c r="DC409" s="1744"/>
      <c r="DD409" s="1744"/>
      <c r="DE409" s="1744"/>
      <c r="DF409" s="1744"/>
      <c r="DG409" s="1744"/>
      <c r="DH409" s="1744"/>
      <c r="DI409" s="1744"/>
      <c r="DJ409" s="1744"/>
      <c r="DK409" s="1744"/>
      <c r="DL409" s="1744"/>
      <c r="DM409" s="1744"/>
      <c r="DN409" s="1744"/>
      <c r="DO409" s="1744"/>
      <c r="DP409" s="1744"/>
      <c r="DQ409" s="1744"/>
      <c r="DR409" s="1744"/>
      <c r="DS409" s="1744"/>
      <c r="DT409" s="1744"/>
      <c r="DU409" s="1744"/>
      <c r="DV409" s="1744"/>
      <c r="DW409" s="1744"/>
      <c r="DX409" s="1744"/>
      <c r="DY409" s="1744"/>
      <c r="DZ409" s="1744"/>
      <c r="EA409" s="1744"/>
      <c r="EB409" s="1744"/>
      <c r="EC409" s="1744"/>
      <c r="ED409" s="1744"/>
      <c r="EE409" s="1744"/>
      <c r="EF409" s="1744"/>
      <c r="EG409" s="1744"/>
      <c r="EH409" s="1744"/>
      <c r="EI409" s="1744"/>
      <c r="EJ409" s="1744"/>
      <c r="EK409" s="1744"/>
      <c r="EL409" s="1744"/>
      <c r="EM409" s="1744"/>
      <c r="EN409" s="1744"/>
      <c r="EO409" s="1744"/>
      <c r="EP409" s="1744"/>
      <c r="EQ409" s="1744"/>
      <c r="ER409" s="1744"/>
      <c r="ES409" s="1744"/>
      <c r="ET409" s="1744"/>
      <c r="EU409" s="1744"/>
      <c r="EV409" s="1744"/>
      <c r="EW409" s="1744"/>
      <c r="EX409" s="1744"/>
      <c r="EY409" s="1744"/>
      <c r="EZ409" s="1744"/>
      <c r="FA409" s="1744"/>
      <c r="FB409" s="1744"/>
      <c r="FC409" s="1744"/>
      <c r="FD409" s="1744"/>
      <c r="FE409" s="1744"/>
      <c r="FF409" s="1744"/>
    </row>
    <row r="411" spans="6:162" s="1746" customFormat="1" ht="15.75" customHeight="1">
      <c r="F411" s="1744"/>
      <c r="G411" s="1744"/>
      <c r="H411" s="1744"/>
      <c r="I411" s="1744"/>
      <c r="J411" s="1744"/>
      <c r="K411" s="1744"/>
      <c r="L411" s="1744"/>
      <c r="M411" s="1744"/>
      <c r="N411" s="1744"/>
      <c r="O411" s="1744"/>
      <c r="P411" s="1744"/>
      <c r="Q411" s="1744"/>
      <c r="R411" s="1744"/>
      <c r="S411" s="1744"/>
      <c r="T411" s="1744"/>
      <c r="U411" s="1744"/>
      <c r="V411" s="1744"/>
      <c r="W411" s="1744"/>
      <c r="X411" s="1744"/>
      <c r="Y411" s="1744"/>
      <c r="AA411" s="1744"/>
      <c r="AC411" s="1744"/>
      <c r="AD411" s="1744"/>
      <c r="AE411" s="1744"/>
      <c r="AF411" s="1744"/>
      <c r="AG411" s="1744"/>
      <c r="AH411" s="1745"/>
      <c r="AI411" s="1745"/>
      <c r="AJ411" s="1744"/>
      <c r="AK411" s="1744"/>
      <c r="AL411" s="1744"/>
      <c r="AM411" s="1744"/>
      <c r="AN411" s="1744"/>
      <c r="AO411" s="1744"/>
      <c r="AP411" s="1744"/>
      <c r="AQ411" s="1744"/>
      <c r="AR411" s="1744"/>
      <c r="AS411" s="1744"/>
      <c r="AT411" s="1744"/>
      <c r="AU411" s="1744"/>
      <c r="AV411" s="1744"/>
      <c r="AW411" s="1744"/>
      <c r="AX411" s="1744"/>
      <c r="AY411" s="1744"/>
      <c r="AZ411" s="1744"/>
      <c r="BA411" s="1744"/>
      <c r="BB411" s="1744"/>
      <c r="BC411" s="1744"/>
      <c r="BD411" s="1744"/>
      <c r="BE411" s="1744"/>
      <c r="BF411" s="1744"/>
      <c r="BG411" s="1744"/>
      <c r="BH411" s="1744"/>
      <c r="BI411" s="1744"/>
      <c r="BJ411" s="1744"/>
      <c r="BK411" s="1744"/>
      <c r="BL411" s="1744"/>
      <c r="BM411" s="1744"/>
      <c r="BN411" s="1744"/>
      <c r="BO411" s="1744"/>
      <c r="BP411" s="1744"/>
      <c r="BQ411" s="1744"/>
      <c r="BR411" s="1744"/>
      <c r="BS411" s="1744"/>
      <c r="BT411" s="1744"/>
      <c r="BU411" s="1744"/>
      <c r="BV411" s="1744"/>
      <c r="BW411" s="1744"/>
      <c r="BX411" s="1744"/>
      <c r="BY411" s="1744"/>
      <c r="BZ411" s="1744"/>
      <c r="CA411" s="1744"/>
      <c r="CB411" s="1744"/>
      <c r="CC411" s="1744"/>
      <c r="CD411" s="1744"/>
      <c r="CE411" s="1744"/>
      <c r="CF411" s="1744"/>
      <c r="CG411" s="1744"/>
      <c r="CH411" s="1744"/>
      <c r="CI411" s="1744"/>
      <c r="CJ411" s="1744"/>
      <c r="CK411" s="1744"/>
      <c r="CL411" s="1744"/>
      <c r="CM411" s="1744"/>
      <c r="CN411" s="1744"/>
      <c r="CO411" s="1744"/>
      <c r="CP411" s="1744"/>
      <c r="CQ411" s="1744"/>
      <c r="CR411" s="1744"/>
      <c r="CS411" s="1744"/>
      <c r="CT411" s="1744"/>
      <c r="CU411" s="1744"/>
      <c r="CV411" s="1744"/>
      <c r="CW411" s="1744"/>
      <c r="CX411" s="1744"/>
      <c r="CY411" s="1744"/>
      <c r="CZ411" s="1744"/>
      <c r="DA411" s="1744"/>
      <c r="DB411" s="1744"/>
      <c r="DC411" s="1744"/>
      <c r="DD411" s="1744"/>
      <c r="DE411" s="1744"/>
      <c r="DF411" s="1744"/>
      <c r="DG411" s="1744"/>
      <c r="DH411" s="1744"/>
      <c r="DI411" s="1744"/>
      <c r="DJ411" s="1744"/>
      <c r="DK411" s="1744"/>
      <c r="DL411" s="1744"/>
      <c r="DM411" s="1744"/>
      <c r="DN411" s="1744"/>
      <c r="DO411" s="1744"/>
      <c r="DP411" s="1744"/>
      <c r="DQ411" s="1744"/>
      <c r="DR411" s="1744"/>
      <c r="DS411" s="1744"/>
      <c r="DT411" s="1744"/>
      <c r="DU411" s="1744"/>
      <c r="DV411" s="1744"/>
      <c r="DW411" s="1744"/>
      <c r="DX411" s="1744"/>
      <c r="DY411" s="1744"/>
      <c r="DZ411" s="1744"/>
      <c r="EA411" s="1744"/>
      <c r="EB411" s="1744"/>
      <c r="EC411" s="1744"/>
      <c r="ED411" s="1744"/>
      <c r="EE411" s="1744"/>
      <c r="EF411" s="1744"/>
      <c r="EG411" s="1744"/>
      <c r="EH411" s="1744"/>
      <c r="EI411" s="1744"/>
      <c r="EJ411" s="1744"/>
      <c r="EK411" s="1744"/>
      <c r="EL411" s="1744"/>
      <c r="EM411" s="1744"/>
      <c r="EN411" s="1744"/>
      <c r="EO411" s="1744"/>
      <c r="EP411" s="1744"/>
      <c r="EQ411" s="1744"/>
      <c r="ER411" s="1744"/>
      <c r="ES411" s="1744"/>
      <c r="ET411" s="1744"/>
      <c r="EU411" s="1744"/>
      <c r="EV411" s="1744"/>
      <c r="EW411" s="1744"/>
      <c r="EX411" s="1744"/>
      <c r="EY411" s="1744"/>
      <c r="EZ411" s="1744"/>
      <c r="FA411" s="1744"/>
      <c r="FB411" s="1744"/>
      <c r="FC411" s="1744"/>
      <c r="FD411" s="1744"/>
      <c r="FE411" s="1744"/>
      <c r="FF411" s="1744"/>
    </row>
  </sheetData>
  <mergeCells count="9">
    <mergeCell ref="B200:D201"/>
    <mergeCell ref="C205:D208"/>
    <mergeCell ref="C209:D210"/>
    <mergeCell ref="B5:AH5"/>
    <mergeCell ref="F7:J7"/>
    <mergeCell ref="L7:P7"/>
    <mergeCell ref="R7:AF7"/>
    <mergeCell ref="B186:D196"/>
    <mergeCell ref="B197:D19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96"/>
  <sheetViews>
    <sheetView zoomScaleNormal="100" workbookViewId="0">
      <selection activeCell="G87" sqref="G87"/>
    </sheetView>
  </sheetViews>
  <sheetFormatPr defaultRowHeight="14.5"/>
  <cols>
    <col min="1" max="2" width="4.7265625" customWidth="1"/>
    <col min="3" max="3" width="59.81640625" customWidth="1"/>
    <col min="4" max="4" width="3.1796875" customWidth="1"/>
    <col min="5" max="5" width="14.453125" style="185"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9" ht="18">
      <c r="A1" s="1873" t="str">
        <f>+'ATT H-3D'!A4</f>
        <v>Delmarva Power &amp; Light Company</v>
      </c>
      <c r="B1" s="1873"/>
      <c r="C1" s="1873"/>
      <c r="D1" s="1873"/>
      <c r="E1" s="1873"/>
      <c r="F1" s="1873"/>
      <c r="G1" s="1873"/>
      <c r="H1" s="1873"/>
      <c r="I1" s="1873"/>
    </row>
    <row r="2" spans="1:9">
      <c r="A2" s="1"/>
    </row>
    <row r="3" spans="1:9" ht="15.5">
      <c r="A3" s="1870" t="s">
        <v>232</v>
      </c>
      <c r="B3" s="1871"/>
      <c r="C3" s="1871"/>
      <c r="D3" s="1871"/>
      <c r="E3" s="1871"/>
      <c r="F3" s="1872"/>
      <c r="G3" s="1872"/>
      <c r="H3" s="1872"/>
    </row>
    <row r="5" spans="1:9">
      <c r="D5" s="4"/>
      <c r="G5" s="942"/>
    </row>
    <row r="7" spans="1:9">
      <c r="D7" s="351"/>
      <c r="E7" s="351" t="s">
        <v>233</v>
      </c>
      <c r="F7" s="351"/>
      <c r="G7" s="351" t="s">
        <v>234</v>
      </c>
      <c r="H7" s="351"/>
    </row>
    <row r="8" spans="1:9">
      <c r="A8" s="352" t="s">
        <v>235</v>
      </c>
      <c r="B8" s="352"/>
      <c r="D8" s="351"/>
      <c r="E8" s="351" t="s">
        <v>236</v>
      </c>
      <c r="F8" s="351" t="s">
        <v>237</v>
      </c>
      <c r="G8" s="351" t="s">
        <v>108</v>
      </c>
      <c r="H8" s="351"/>
    </row>
    <row r="9" spans="1:9">
      <c r="A9" s="352"/>
      <c r="B9" s="352"/>
      <c r="D9" s="351"/>
      <c r="E9" s="353"/>
      <c r="F9" s="351"/>
      <c r="G9" s="351"/>
      <c r="H9" s="351"/>
    </row>
    <row r="10" spans="1:9">
      <c r="A10" s="352"/>
      <c r="B10" s="352"/>
      <c r="D10" s="351"/>
      <c r="E10" s="353"/>
      <c r="F10" s="351"/>
      <c r="G10" s="351"/>
      <c r="H10" s="351"/>
    </row>
    <row r="11" spans="1:9">
      <c r="D11" s="351"/>
      <c r="E11" s="353"/>
      <c r="G11" s="351"/>
      <c r="H11" s="354"/>
    </row>
    <row r="12" spans="1:9">
      <c r="B12" s="352" t="s">
        <v>109</v>
      </c>
      <c r="D12" s="351"/>
      <c r="E12" s="355"/>
      <c r="F12" s="356" t="s">
        <v>238</v>
      </c>
      <c r="G12" s="351"/>
      <c r="H12" s="354"/>
    </row>
    <row r="13" spans="1:9">
      <c r="D13" s="351"/>
      <c r="E13" s="355"/>
      <c r="F13" s="351"/>
      <c r="G13" s="351"/>
      <c r="H13" s="354"/>
    </row>
    <row r="14" spans="1:9" ht="19.5" customHeight="1">
      <c r="B14" s="1192">
        <v>1</v>
      </c>
      <c r="C14" s="1453" t="s">
        <v>1575</v>
      </c>
      <c r="D14" s="1192"/>
      <c r="E14" s="1459">
        <v>31127045.169999998</v>
      </c>
      <c r="G14" s="357"/>
      <c r="H14" s="314"/>
    </row>
    <row r="15" spans="1:9" ht="12.75" customHeight="1">
      <c r="B15" s="1192">
        <v>2</v>
      </c>
      <c r="C15" s="1453" t="s">
        <v>1565</v>
      </c>
      <c r="D15" s="1192"/>
      <c r="E15" s="1459"/>
      <c r="G15" s="357"/>
      <c r="H15" s="314"/>
    </row>
    <row r="16" spans="1:9" ht="12.75" customHeight="1">
      <c r="B16" s="1192">
        <v>3</v>
      </c>
      <c r="C16" s="1454" t="s">
        <v>1576</v>
      </c>
      <c r="D16" s="1192"/>
      <c r="E16" s="1459"/>
      <c r="G16" s="357"/>
      <c r="H16" s="314"/>
    </row>
    <row r="17" spans="2:9" s="1192" customFormat="1" ht="12.75" customHeight="1">
      <c r="B17" s="1192">
        <v>4</v>
      </c>
      <c r="C17" s="1454"/>
      <c r="E17" s="1459"/>
      <c r="G17" s="357"/>
      <c r="H17" s="314"/>
    </row>
    <row r="18" spans="2:9" s="1192" customFormat="1" ht="12.75" customHeight="1">
      <c r="B18" s="1192">
        <v>5</v>
      </c>
      <c r="C18" s="1454"/>
      <c r="E18" s="1459"/>
      <c r="G18" s="357"/>
      <c r="H18" s="314"/>
    </row>
    <row r="19" spans="2:9" ht="12.75" customHeight="1">
      <c r="B19" s="1192">
        <v>6</v>
      </c>
      <c r="C19" s="1483"/>
      <c r="D19" s="1192"/>
      <c r="E19" s="1490"/>
      <c r="G19" s="357"/>
      <c r="H19" s="314"/>
    </row>
    <row r="20" spans="2:9" ht="12.75" customHeight="1">
      <c r="B20" s="352" t="s">
        <v>239</v>
      </c>
      <c r="D20" s="314"/>
      <c r="E20" s="359">
        <f>SUM(E14:E19)</f>
        <v>31127045.169999998</v>
      </c>
      <c r="F20" s="358">
        <f>+'ATT H-3D'!H37</f>
        <v>0.379445767046166</v>
      </c>
      <c r="G20" s="359">
        <f>+E20*F20</f>
        <v>11811025.530411307</v>
      </c>
      <c r="H20" s="314"/>
      <c r="I20" s="359"/>
    </row>
    <row r="21" spans="2:9" ht="12.75" customHeight="1">
      <c r="D21" s="314"/>
      <c r="E21" s="360"/>
      <c r="F21" s="314"/>
      <c r="G21" s="314"/>
      <c r="H21" s="314"/>
    </row>
    <row r="22" spans="2:9" ht="12.75" customHeight="1">
      <c r="D22" s="314"/>
      <c r="E22" s="360"/>
      <c r="F22" s="314"/>
      <c r="G22" s="314"/>
      <c r="H22" s="314"/>
    </row>
    <row r="23" spans="2:9" ht="12.75" customHeight="1">
      <c r="B23" s="352" t="s">
        <v>240</v>
      </c>
      <c r="D23" s="314"/>
      <c r="E23" s="360"/>
      <c r="F23" s="361" t="s">
        <v>241</v>
      </c>
      <c r="G23" s="314"/>
      <c r="H23" s="314"/>
    </row>
    <row r="24" spans="2:9" s="1192" customFormat="1" ht="12.75" customHeight="1">
      <c r="B24" s="352"/>
      <c r="D24" s="314"/>
      <c r="E24" s="360"/>
      <c r="F24" s="361"/>
      <c r="G24" s="314"/>
      <c r="H24" s="314"/>
    </row>
    <row r="25" spans="2:9" ht="12.75" customHeight="1">
      <c r="B25" s="352"/>
      <c r="D25" s="314"/>
      <c r="G25" s="314"/>
      <c r="H25" s="314"/>
    </row>
    <row r="26" spans="2:9" ht="12.75" customHeight="1">
      <c r="B26" s="1192">
        <v>7</v>
      </c>
      <c r="C26" s="1483" t="s">
        <v>1578</v>
      </c>
      <c r="D26" s="1455"/>
      <c r="E26" s="1460">
        <f>3816276.29-E50</f>
        <v>3804841.13</v>
      </c>
      <c r="F26" s="321"/>
      <c r="G26" s="321"/>
      <c r="H26" s="321"/>
    </row>
    <row r="27" spans="2:9" s="1192" customFormat="1" ht="12.75" customHeight="1">
      <c r="B27" s="1192">
        <v>8</v>
      </c>
      <c r="C27" s="1483"/>
      <c r="D27" s="1455"/>
      <c r="E27" s="1460"/>
      <c r="F27" s="321"/>
      <c r="G27" s="321"/>
      <c r="H27" s="321"/>
    </row>
    <row r="28" spans="2:9" s="1192" customFormat="1" ht="12.75" customHeight="1">
      <c r="B28" s="1192">
        <v>9</v>
      </c>
      <c r="C28" s="1483"/>
      <c r="D28" s="1455"/>
      <c r="E28" s="1460"/>
      <c r="F28" s="321"/>
      <c r="G28" s="321"/>
      <c r="H28" s="321"/>
    </row>
    <row r="29" spans="2:9" s="1192" customFormat="1" ht="12.75" customHeight="1">
      <c r="B29" s="1192">
        <v>10</v>
      </c>
      <c r="C29" s="1483"/>
      <c r="D29" s="1455"/>
      <c r="E29" s="1460"/>
      <c r="F29" s="321"/>
      <c r="G29" s="321"/>
      <c r="H29" s="321"/>
    </row>
    <row r="30" spans="2:9">
      <c r="B30" s="1192">
        <v>11</v>
      </c>
      <c r="C30" s="1454"/>
      <c r="D30" s="1445"/>
      <c r="E30" s="1456"/>
    </row>
    <row r="31" spans="2:9">
      <c r="B31" s="352" t="s">
        <v>242</v>
      </c>
      <c r="E31" s="359">
        <f>SUM(E26:E30)</f>
        <v>3804841.13</v>
      </c>
      <c r="F31" s="358">
        <f>'ATT H-3D'!H16</f>
        <v>0.13016492184368511</v>
      </c>
      <c r="G31" s="359">
        <f>+F31*E31</f>
        <v>495256.84831408854</v>
      </c>
    </row>
    <row r="32" spans="2:9">
      <c r="B32" s="352"/>
      <c r="C32" s="360"/>
      <c r="F32" s="5"/>
    </row>
    <row r="34" spans="2:10">
      <c r="B34" s="352" t="s">
        <v>243</v>
      </c>
      <c r="F34" s="356" t="s">
        <v>238</v>
      </c>
    </row>
    <row r="36" spans="2:10">
      <c r="B36">
        <v>12</v>
      </c>
      <c r="C36" s="362" t="s">
        <v>244</v>
      </c>
      <c r="E36" s="1459">
        <v>0</v>
      </c>
    </row>
    <row r="37" spans="2:10">
      <c r="B37" s="352" t="s">
        <v>245</v>
      </c>
      <c r="E37" s="359">
        <f>SUM(E36:E36)</f>
        <v>0</v>
      </c>
      <c r="F37" s="358">
        <f>'ATT H-3D'!H37</f>
        <v>0.379445767046166</v>
      </c>
      <c r="G37" s="359">
        <f>+F37*E37</f>
        <v>0</v>
      </c>
    </row>
    <row r="39" spans="2:10">
      <c r="B39" s="352" t="s">
        <v>246</v>
      </c>
      <c r="G39" s="359">
        <f>+G37+G31+G20</f>
        <v>12306282.378725395</v>
      </c>
    </row>
    <row r="40" spans="2:10">
      <c r="C40" s="363"/>
    </row>
    <row r="41" spans="2:10">
      <c r="B41" s="1457" t="s">
        <v>1255</v>
      </c>
      <c r="D41" s="1192"/>
      <c r="E41" s="1458"/>
    </row>
    <row r="42" spans="2:10">
      <c r="B42" s="1192">
        <v>13</v>
      </c>
      <c r="C42" s="1491" t="s">
        <v>1579</v>
      </c>
      <c r="D42" s="7"/>
      <c r="E42" s="1776">
        <v>8110727.6200000001</v>
      </c>
    </row>
    <row r="43" spans="2:10">
      <c r="B43" s="1192">
        <v>14</v>
      </c>
      <c r="C43" s="1491" t="s">
        <v>1580</v>
      </c>
      <c r="D43" s="7"/>
      <c r="E43" s="1776">
        <v>282352</v>
      </c>
    </row>
    <row r="44" spans="2:10">
      <c r="B44" s="1192">
        <v>15</v>
      </c>
      <c r="C44" s="1491" t="s">
        <v>1581</v>
      </c>
      <c r="D44" s="7"/>
      <c r="E44" s="1776">
        <v>-4329.287158973515</v>
      </c>
      <c r="G44" s="364"/>
      <c r="H44" s="5"/>
      <c r="I44" s="5"/>
      <c r="J44" s="365"/>
    </row>
    <row r="45" spans="2:10" s="1192" customFormat="1">
      <c r="B45" s="1192">
        <v>16</v>
      </c>
      <c r="C45" s="1491" t="s">
        <v>1582</v>
      </c>
      <c r="D45" s="7"/>
      <c r="E45" s="1776">
        <v>0</v>
      </c>
      <c r="G45" s="364"/>
      <c r="H45" s="5"/>
      <c r="I45" s="5"/>
      <c r="J45" s="365"/>
    </row>
    <row r="46" spans="2:10" s="1192" customFormat="1">
      <c r="B46" s="1192">
        <v>17</v>
      </c>
      <c r="C46" s="1491" t="s">
        <v>1583</v>
      </c>
      <c r="D46" s="7"/>
      <c r="E46" s="1776">
        <v>4717.8</v>
      </c>
      <c r="G46" s="364"/>
      <c r="H46" s="5"/>
      <c r="I46" s="5"/>
      <c r="J46" s="365"/>
    </row>
    <row r="47" spans="2:10" s="1192" customFormat="1">
      <c r="B47" s="1192">
        <v>18</v>
      </c>
      <c r="C47" s="1491" t="s">
        <v>1584</v>
      </c>
      <c r="D47" s="7"/>
      <c r="E47" s="1776">
        <v>8469104.8200000022</v>
      </c>
      <c r="G47" s="364"/>
      <c r="H47" s="5"/>
      <c r="I47" s="5"/>
      <c r="J47" s="365"/>
    </row>
    <row r="48" spans="2:10" s="1192" customFormat="1">
      <c r="B48" s="1192">
        <v>19</v>
      </c>
      <c r="C48" s="1491" t="s">
        <v>1585</v>
      </c>
      <c r="D48" s="7"/>
      <c r="E48" s="1776">
        <v>723164.2</v>
      </c>
      <c r="G48" s="364"/>
      <c r="H48" s="5"/>
      <c r="I48" s="5"/>
      <c r="J48" s="365"/>
    </row>
    <row r="49" spans="2:20" s="1192" customFormat="1">
      <c r="B49" s="1192">
        <v>20</v>
      </c>
      <c r="C49" s="1491" t="s">
        <v>1586</v>
      </c>
      <c r="D49" s="7"/>
      <c r="E49" s="1776">
        <v>561151</v>
      </c>
      <c r="G49" s="364"/>
      <c r="H49" s="5"/>
      <c r="I49" s="5"/>
      <c r="J49" s="365"/>
    </row>
    <row r="50" spans="2:20" s="1192" customFormat="1">
      <c r="B50" s="1192">
        <v>21</v>
      </c>
      <c r="C50" s="1491" t="s">
        <v>1587</v>
      </c>
      <c r="D50" s="7"/>
      <c r="E50" s="1492">
        <v>11435.16</v>
      </c>
      <c r="G50" s="364"/>
      <c r="H50" s="5"/>
      <c r="I50" s="5"/>
      <c r="J50" s="365"/>
    </row>
    <row r="51" spans="2:20" s="1192" customFormat="1">
      <c r="C51" s="1491"/>
      <c r="D51" s="7"/>
      <c r="E51" s="1492"/>
      <c r="G51" s="364"/>
      <c r="H51" s="5"/>
      <c r="I51" s="5"/>
      <c r="J51" s="365"/>
    </row>
    <row r="52" spans="2:20">
      <c r="B52" s="1192"/>
      <c r="C52" s="1461"/>
      <c r="D52" s="1192"/>
      <c r="E52" s="1458"/>
      <c r="F52" s="316"/>
      <c r="H52" s="363"/>
      <c r="I52" s="5"/>
      <c r="J52" s="365"/>
      <c r="K52" s="5"/>
      <c r="L52" s="5"/>
      <c r="M52" s="5"/>
      <c r="N52" s="5"/>
      <c r="O52" s="5"/>
      <c r="P52" s="5"/>
      <c r="Q52" s="5"/>
      <c r="R52" s="5"/>
      <c r="S52" s="5"/>
      <c r="T52" s="5"/>
    </row>
    <row r="53" spans="2:20">
      <c r="B53" s="1192">
        <v>22</v>
      </c>
      <c r="C53" s="1192" t="s">
        <v>247</v>
      </c>
      <c r="D53" s="1445"/>
      <c r="E53" s="1462">
        <f>SUM(E42:E51)+E37+E31+E20</f>
        <v>53090209.612841025</v>
      </c>
      <c r="H53" s="363"/>
      <c r="I53" s="5"/>
      <c r="J53" s="365"/>
      <c r="K53" s="5"/>
      <c r="L53" s="5"/>
      <c r="M53" s="5"/>
      <c r="N53" s="5"/>
      <c r="O53" s="5"/>
      <c r="P53" s="5"/>
      <c r="Q53" s="5"/>
      <c r="R53" s="5"/>
      <c r="S53" s="5"/>
      <c r="T53" s="5"/>
    </row>
    <row r="54" spans="2:20">
      <c r="B54" s="1192"/>
      <c r="C54" s="36"/>
      <c r="D54" s="1445"/>
      <c r="E54" s="1462"/>
      <c r="H54" s="363"/>
      <c r="I54" s="5"/>
      <c r="J54" s="365"/>
      <c r="K54" s="5"/>
      <c r="L54" s="5"/>
      <c r="M54" s="5"/>
      <c r="N54" s="5"/>
      <c r="O54" s="5"/>
      <c r="P54" s="5"/>
      <c r="Q54" s="5"/>
      <c r="R54" s="5"/>
      <c r="S54" s="5"/>
      <c r="T54" s="5"/>
    </row>
    <row r="55" spans="2:20">
      <c r="B55" s="1192">
        <v>23</v>
      </c>
      <c r="C55" s="36" t="s">
        <v>248</v>
      </c>
      <c r="D55" s="1463"/>
      <c r="E55" s="1464">
        <v>53090210</v>
      </c>
    </row>
    <row r="56" spans="2:20">
      <c r="B56" s="1192"/>
      <c r="C56" s="1445"/>
      <c r="D56" s="1445"/>
      <c r="E56" s="1462"/>
    </row>
    <row r="57" spans="2:20">
      <c r="B57" s="1192">
        <v>24</v>
      </c>
      <c r="C57" s="1445" t="s">
        <v>249</v>
      </c>
      <c r="D57" s="1465"/>
      <c r="E57" s="1462">
        <f>+E53-E55</f>
        <v>-0.38715897500514984</v>
      </c>
    </row>
    <row r="58" spans="2:20">
      <c r="C58" s="368"/>
      <c r="D58" s="369"/>
      <c r="E58" s="370"/>
      <c r="F58" s="366" t="s">
        <v>1577</v>
      </c>
      <c r="G58" s="366"/>
      <c r="H58" s="367"/>
    </row>
    <row r="59" spans="2:20">
      <c r="B59" s="1192" t="s">
        <v>250</v>
      </c>
      <c r="C59" s="36"/>
      <c r="D59" s="5"/>
      <c r="E59" s="371"/>
      <c r="F59" s="316"/>
      <c r="G59" s="316"/>
      <c r="H59" s="316"/>
    </row>
    <row r="60" spans="2:20">
      <c r="B60" s="1192" t="s">
        <v>9</v>
      </c>
      <c r="C60" s="36" t="s">
        <v>251</v>
      </c>
      <c r="D60" s="5"/>
      <c r="E60" s="371"/>
      <c r="F60" s="316"/>
      <c r="G60" s="316"/>
      <c r="H60" s="316"/>
    </row>
    <row r="61" spans="2:20">
      <c r="B61" s="1192"/>
      <c r="C61" s="12" t="s">
        <v>252</v>
      </c>
      <c r="D61" s="5"/>
      <c r="E61" s="371"/>
      <c r="F61" s="5"/>
      <c r="G61" s="316"/>
      <c r="H61" s="316"/>
    </row>
    <row r="62" spans="2:20">
      <c r="B62" s="1192" t="s">
        <v>10</v>
      </c>
      <c r="C62" s="36" t="s">
        <v>253</v>
      </c>
      <c r="D62" s="5"/>
      <c r="E62" s="371"/>
      <c r="F62" s="5"/>
      <c r="G62" s="316"/>
      <c r="H62" s="316"/>
    </row>
    <row r="63" spans="2:20">
      <c r="B63" s="1192"/>
      <c r="C63" s="12" t="s">
        <v>252</v>
      </c>
      <c r="D63" s="5"/>
      <c r="E63" s="371"/>
      <c r="F63" s="5"/>
      <c r="G63" s="316"/>
      <c r="H63" s="316"/>
    </row>
    <row r="64" spans="2:20">
      <c r="B64" s="1192" t="s">
        <v>11</v>
      </c>
      <c r="C64" s="36" t="s">
        <v>254</v>
      </c>
      <c r="D64" s="5"/>
      <c r="E64" s="371"/>
      <c r="F64" s="5"/>
      <c r="G64" s="316"/>
      <c r="H64" s="316"/>
    </row>
    <row r="65" spans="1:8">
      <c r="B65" s="1192" t="s">
        <v>14</v>
      </c>
      <c r="C65" s="12" t="s">
        <v>255</v>
      </c>
      <c r="D65" s="5"/>
      <c r="E65" s="371"/>
      <c r="F65" s="5"/>
      <c r="G65" s="316"/>
      <c r="H65" s="316"/>
    </row>
    <row r="66" spans="1:8">
      <c r="B66" s="1192"/>
      <c r="C66" s="36" t="s">
        <v>256</v>
      </c>
      <c r="D66" s="5"/>
      <c r="E66" s="371"/>
      <c r="F66" s="5"/>
      <c r="G66" s="5"/>
      <c r="H66" s="5"/>
    </row>
    <row r="67" spans="1:8">
      <c r="B67" s="1192"/>
      <c r="C67" s="1192" t="s">
        <v>257</v>
      </c>
    </row>
    <row r="68" spans="1:8">
      <c r="B68" s="1192" t="s">
        <v>137</v>
      </c>
      <c r="C68" s="36" t="s">
        <v>258</v>
      </c>
    </row>
    <row r="71" spans="1:8">
      <c r="A71" s="941"/>
    </row>
    <row r="296" spans="3:3" ht="15.5">
      <c r="C296"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3:H3"/>
    <mergeCell ref="A1:I1"/>
  </mergeCells>
  <pageMargins left="0.75" right="0.75" top="1" bottom="1" header="0.5" footer="0.5"/>
  <pageSetup scale="5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zoomScaleNormal="100" workbookViewId="0">
      <selection activeCell="G87" sqref="G87"/>
    </sheetView>
  </sheetViews>
  <sheetFormatPr defaultRowHeight="14.5"/>
  <cols>
    <col min="1" max="1" width="4.1796875" style="3" customWidth="1"/>
    <col min="2" max="2" width="76.81640625" customWidth="1"/>
    <col min="3" max="3" width="31.453125" customWidth="1"/>
    <col min="4" max="4" width="15.54296875" customWidth="1"/>
    <col min="5" max="5" width="19.26953125" customWidth="1"/>
    <col min="6" max="6" width="11.7265625" customWidth="1"/>
    <col min="7" max="7" width="16.7265625" style="308"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873" t="str">
        <f>+'ATT H-3D'!A4</f>
        <v>Delmarva Power &amp; Light Company</v>
      </c>
      <c r="B1" s="1873"/>
      <c r="C1" s="1873"/>
      <c r="D1" s="1873"/>
      <c r="E1" s="1873"/>
      <c r="F1" s="1873"/>
      <c r="G1" s="1873"/>
      <c r="H1" s="5"/>
    </row>
    <row r="2" spans="1:15">
      <c r="A2" s="306"/>
      <c r="G2" s="307"/>
      <c r="H2" s="5"/>
    </row>
    <row r="3" spans="1:15" ht="15.5">
      <c r="A3" s="1870" t="s">
        <v>160</v>
      </c>
      <c r="B3" s="1871"/>
      <c r="C3" s="1871"/>
      <c r="D3" s="1871"/>
      <c r="E3" s="1871"/>
      <c r="F3" s="1871"/>
      <c r="G3" s="1871"/>
      <c r="H3" s="5"/>
    </row>
    <row r="4" spans="1:15">
      <c r="B4" s="2"/>
      <c r="C4" s="3"/>
      <c r="D4" s="977"/>
      <c r="E4" s="977"/>
      <c r="F4" s="977"/>
      <c r="G4" s="944"/>
      <c r="H4" s="309"/>
    </row>
    <row r="5" spans="1:15" ht="26.5">
      <c r="B5" s="310"/>
      <c r="C5" s="3"/>
      <c r="D5" s="978" t="s">
        <v>1055</v>
      </c>
      <c r="E5" s="978" t="s">
        <v>1056</v>
      </c>
      <c r="F5" s="978" t="s">
        <v>1057</v>
      </c>
      <c r="G5" s="978" t="s">
        <v>1058</v>
      </c>
      <c r="H5" s="309"/>
    </row>
    <row r="6" spans="1:15">
      <c r="A6"/>
      <c r="B6" s="311" t="s">
        <v>199</v>
      </c>
      <c r="H6" s="5"/>
    </row>
    <row r="7" spans="1:15">
      <c r="A7">
        <v>1</v>
      </c>
      <c r="B7" s="12" t="s">
        <v>200</v>
      </c>
      <c r="C7" s="312"/>
      <c r="D7" s="1493">
        <v>1210187</v>
      </c>
      <c r="E7" s="324" t="s">
        <v>229</v>
      </c>
      <c r="F7" s="979">
        <v>1</v>
      </c>
      <c r="G7" s="980">
        <f>D7*F7</f>
        <v>1210187</v>
      </c>
      <c r="H7" s="948"/>
    </row>
    <row r="8" spans="1:15" s="2" customFormat="1">
      <c r="A8" s="36">
        <v>2</v>
      </c>
      <c r="B8" s="12" t="s">
        <v>201</v>
      </c>
      <c r="C8" s="36" t="s">
        <v>202</v>
      </c>
      <c r="D8" s="1210">
        <f>SUM(D7)</f>
        <v>1210187</v>
      </c>
      <c r="E8" s="328"/>
      <c r="F8" s="328"/>
      <c r="G8" s="980">
        <f>G7</f>
        <v>1210187</v>
      </c>
      <c r="H8" s="315"/>
      <c r="I8"/>
      <c r="J8"/>
      <c r="K8"/>
      <c r="L8"/>
      <c r="M8"/>
      <c r="N8"/>
      <c r="O8"/>
    </row>
    <row r="9" spans="1:15">
      <c r="A9"/>
      <c r="B9" s="10"/>
      <c r="C9" s="10"/>
      <c r="D9" s="976"/>
      <c r="E9" s="202"/>
      <c r="F9" s="202"/>
      <c r="G9" s="317"/>
      <c r="H9" s="317"/>
    </row>
    <row r="10" spans="1:15">
      <c r="A10" s="5"/>
      <c r="B10" s="311" t="s">
        <v>203</v>
      </c>
      <c r="C10" s="10"/>
      <c r="D10" s="976"/>
      <c r="E10" s="202"/>
      <c r="F10" s="202"/>
      <c r="G10" s="318"/>
      <c r="H10" s="318"/>
    </row>
    <row r="11" spans="1:15">
      <c r="A11" s="5"/>
      <c r="B11" s="320"/>
      <c r="C11" s="321"/>
      <c r="D11" s="321"/>
      <c r="E11" s="981"/>
      <c r="F11" s="981"/>
      <c r="G11" s="322"/>
      <c r="H11" s="322"/>
    </row>
    <row r="12" spans="1:15">
      <c r="A12" s="5">
        <v>3</v>
      </c>
      <c r="B12" s="12" t="s">
        <v>204</v>
      </c>
      <c r="C12" s="314"/>
      <c r="D12" s="1494">
        <v>1432139</v>
      </c>
      <c r="E12" s="324" t="s">
        <v>229</v>
      </c>
      <c r="F12" s="979">
        <v>1</v>
      </c>
      <c r="G12" s="980">
        <f>D12*F12</f>
        <v>1432139</v>
      </c>
      <c r="H12" s="949"/>
    </row>
    <row r="13" spans="1:15" ht="43.5">
      <c r="A13" s="323">
        <v>4</v>
      </c>
      <c r="B13" s="314" t="s">
        <v>205</v>
      </c>
      <c r="C13" s="314"/>
      <c r="D13" s="313">
        <v>0</v>
      </c>
      <c r="E13" s="324" t="s">
        <v>229</v>
      </c>
      <c r="F13" s="979">
        <v>1</v>
      </c>
      <c r="G13" s="980">
        <f>D13*F13</f>
        <v>0</v>
      </c>
      <c r="H13" s="324"/>
    </row>
    <row r="14" spans="1:15">
      <c r="A14" s="5">
        <v>5</v>
      </c>
      <c r="B14" s="10" t="s">
        <v>206</v>
      </c>
      <c r="C14" s="314"/>
      <c r="D14" s="1495">
        <v>2043123</v>
      </c>
      <c r="E14" s="324" t="s">
        <v>229</v>
      </c>
      <c r="F14" s="979">
        <v>1</v>
      </c>
      <c r="G14" s="980">
        <f>D14*F14</f>
        <v>2043123</v>
      </c>
      <c r="H14" s="949"/>
    </row>
    <row r="15" spans="1:15">
      <c r="A15">
        <v>6</v>
      </c>
      <c r="B15" s="10" t="s">
        <v>207</v>
      </c>
      <c r="C15" s="325"/>
      <c r="D15" s="313"/>
      <c r="E15" s="324" t="s">
        <v>229</v>
      </c>
      <c r="F15" s="979">
        <v>1</v>
      </c>
      <c r="G15" s="980">
        <f t="shared" ref="G15:G20" si="0">D15*F15</f>
        <v>0</v>
      </c>
      <c r="H15" s="326"/>
    </row>
    <row r="16" spans="1:15">
      <c r="A16">
        <v>7</v>
      </c>
      <c r="B16" s="10" t="s">
        <v>208</v>
      </c>
      <c r="C16" s="314"/>
      <c r="D16" s="313">
        <v>0</v>
      </c>
      <c r="E16" s="324" t="s">
        <v>229</v>
      </c>
      <c r="F16" s="979">
        <v>1</v>
      </c>
      <c r="G16" s="980">
        <f t="shared" si="0"/>
        <v>0</v>
      </c>
      <c r="H16" s="324"/>
    </row>
    <row r="17" spans="1:18">
      <c r="A17">
        <v>8</v>
      </c>
      <c r="B17" s="10" t="s">
        <v>209</v>
      </c>
      <c r="C17" s="312"/>
      <c r="D17" s="313">
        <v>0</v>
      </c>
      <c r="E17" s="324" t="s">
        <v>229</v>
      </c>
      <c r="F17" s="979">
        <v>1</v>
      </c>
      <c r="G17" s="980">
        <f t="shared" si="0"/>
        <v>0</v>
      </c>
      <c r="H17" s="327"/>
    </row>
    <row r="18" spans="1:18">
      <c r="A18">
        <v>9</v>
      </c>
      <c r="B18" s="10" t="s">
        <v>210</v>
      </c>
      <c r="C18" s="328"/>
      <c r="D18" s="1496">
        <v>4415330.6500000004</v>
      </c>
      <c r="E18" s="324" t="s">
        <v>229</v>
      </c>
      <c r="F18" s="979">
        <v>1</v>
      </c>
      <c r="G18" s="980">
        <f t="shared" si="0"/>
        <v>4415330.6500000004</v>
      </c>
      <c r="H18" s="327"/>
    </row>
    <row r="19" spans="1:18">
      <c r="A19">
        <v>10</v>
      </c>
      <c r="B19" s="10" t="s">
        <v>211</v>
      </c>
      <c r="C19" s="328"/>
      <c r="D19" s="313"/>
      <c r="E19" s="324" t="s">
        <v>229</v>
      </c>
      <c r="F19" s="979">
        <v>1</v>
      </c>
      <c r="G19" s="980">
        <f t="shared" si="0"/>
        <v>0</v>
      </c>
      <c r="H19" s="327"/>
    </row>
    <row r="20" spans="1:18">
      <c r="A20" s="5">
        <f t="shared" ref="A20" si="1">+A19+1</f>
        <v>11</v>
      </c>
      <c r="B20" t="s">
        <v>1252</v>
      </c>
      <c r="C20" s="328"/>
      <c r="D20" s="1112">
        <f>2807960+911582+652142.66</f>
        <v>4371684.66</v>
      </c>
      <c r="E20" s="982" t="s">
        <v>1059</v>
      </c>
      <c r="F20" s="983">
        <f>+'ATT H-3D'!H16</f>
        <v>0.13016492184368511</v>
      </c>
      <c r="G20" s="980">
        <f t="shared" si="0"/>
        <v>569039.99209413712</v>
      </c>
      <c r="H20" s="327"/>
    </row>
    <row r="21" spans="1:18">
      <c r="A21" t="s">
        <v>875</v>
      </c>
      <c r="B21" t="s">
        <v>1196</v>
      </c>
      <c r="C21" s="328"/>
      <c r="D21" s="1112">
        <f>'5 - Cost Support 1'!G139</f>
        <v>680782</v>
      </c>
      <c r="E21" s="982" t="s">
        <v>1201</v>
      </c>
      <c r="F21" s="983"/>
      <c r="G21" s="980">
        <f>D21</f>
        <v>680782</v>
      </c>
      <c r="H21" s="327"/>
    </row>
    <row r="22" spans="1:18">
      <c r="A22"/>
      <c r="B22" s="10"/>
      <c r="C22" s="328"/>
      <c r="D22" s="328"/>
      <c r="E22" s="328"/>
      <c r="F22" s="328"/>
      <c r="G22" s="327"/>
      <c r="H22" s="327"/>
    </row>
    <row r="23" spans="1:18">
      <c r="A23" s="5">
        <v>12</v>
      </c>
      <c r="B23" s="10" t="s">
        <v>212</v>
      </c>
      <c r="C23" s="36" t="s">
        <v>1060</v>
      </c>
      <c r="D23" s="1210">
        <f>SUM(D8:D22)</f>
        <v>14153246.310000001</v>
      </c>
      <c r="E23" s="328"/>
      <c r="F23" s="328"/>
      <c r="G23" s="980">
        <f>SUM(G8:G22)</f>
        <v>10350601.642094137</v>
      </c>
      <c r="H23" s="318"/>
    </row>
    <row r="24" spans="1:18">
      <c r="A24" s="5">
        <v>13</v>
      </c>
      <c r="B24" s="202" t="s">
        <v>1061</v>
      </c>
      <c r="C24" s="328"/>
      <c r="D24" s="313">
        <f>+D39</f>
        <v>-772795.16352499998</v>
      </c>
      <c r="E24" s="324" t="s">
        <v>229</v>
      </c>
      <c r="F24" s="979">
        <v>1</v>
      </c>
      <c r="G24" s="980">
        <f t="shared" ref="G24" si="2">D24*F24</f>
        <v>-772795.16352499998</v>
      </c>
      <c r="H24" s="318"/>
    </row>
    <row r="25" spans="1:18">
      <c r="A25" s="5">
        <v>14</v>
      </c>
      <c r="B25" s="202" t="s">
        <v>213</v>
      </c>
      <c r="C25" s="328"/>
      <c r="D25" s="328"/>
      <c r="E25" s="328"/>
      <c r="F25" s="328"/>
      <c r="G25" s="980">
        <f>+G23+G24</f>
        <v>9577806.4785691369</v>
      </c>
    </row>
    <row r="26" spans="1:18">
      <c r="A26"/>
      <c r="B26" s="10"/>
      <c r="G26" s="318"/>
      <c r="H26" s="318"/>
      <c r="P26" s="33"/>
      <c r="R26" s="33"/>
    </row>
    <row r="27" spans="1:18">
      <c r="A27"/>
      <c r="B27" s="329" t="s">
        <v>214</v>
      </c>
      <c r="G27" s="330"/>
      <c r="P27" s="33"/>
      <c r="R27" s="33"/>
    </row>
    <row r="28" spans="1:18" ht="51">
      <c r="A28" s="323">
        <v>15</v>
      </c>
      <c r="B28" s="331" t="s">
        <v>215</v>
      </c>
      <c r="G28" s="318"/>
      <c r="P28" s="33"/>
    </row>
    <row r="29" spans="1:18">
      <c r="A29" s="332"/>
      <c r="B29" s="10"/>
      <c r="H29" s="318"/>
      <c r="P29" s="33"/>
      <c r="R29" s="33"/>
    </row>
    <row r="30" spans="1:18" ht="51">
      <c r="A30" s="332">
        <v>16</v>
      </c>
      <c r="B30" s="986" t="s">
        <v>216</v>
      </c>
      <c r="G30" s="319"/>
      <c r="H30" s="327"/>
      <c r="P30" s="33"/>
    </row>
    <row r="31" spans="1:18">
      <c r="A31" s="332"/>
      <c r="B31" s="10"/>
      <c r="H31" s="318"/>
      <c r="P31" s="33"/>
    </row>
    <row r="32" spans="1:18" ht="150">
      <c r="A32" s="333">
        <v>17</v>
      </c>
      <c r="B32" s="184" t="s">
        <v>1069</v>
      </c>
      <c r="C32" s="334"/>
      <c r="D32" s="334"/>
      <c r="E32" s="334"/>
      <c r="F32" s="334"/>
      <c r="G32" s="335"/>
      <c r="H32" s="335"/>
      <c r="P32" s="33"/>
    </row>
    <row r="33" spans="1:14" ht="15.5">
      <c r="A33" s="333" t="s">
        <v>1062</v>
      </c>
      <c r="B33" s="184" t="s">
        <v>218</v>
      </c>
      <c r="C33" s="334"/>
      <c r="D33" s="313">
        <f>G8+G17+G19</f>
        <v>1210187</v>
      </c>
      <c r="E33" s="334"/>
      <c r="F33" s="334"/>
      <c r="H33" s="337"/>
    </row>
    <row r="34" spans="1:14" s="2" customFormat="1" ht="15.5">
      <c r="A34" s="333" t="s">
        <v>1063</v>
      </c>
      <c r="B34" s="184" t="s">
        <v>1070</v>
      </c>
      <c r="C34" s="339" t="s">
        <v>48</v>
      </c>
      <c r="D34" s="313">
        <f>'5 - Cost Support 1'!E252</f>
        <v>335403.32704999996</v>
      </c>
      <c r="E34" s="339"/>
      <c r="F34" s="339"/>
      <c r="H34" s="340"/>
      <c r="I34"/>
      <c r="J34"/>
      <c r="K34"/>
      <c r="L34"/>
      <c r="M34"/>
      <c r="N34"/>
    </row>
    <row r="35" spans="1:14" ht="15.5">
      <c r="A35" s="333" t="s">
        <v>1064</v>
      </c>
      <c r="B35" s="184" t="s">
        <v>1071</v>
      </c>
      <c r="C35" s="334"/>
      <c r="D35" s="348">
        <f>+D33-D34</f>
        <v>874783.67295000004</v>
      </c>
      <c r="E35" s="334"/>
      <c r="F35" s="334"/>
      <c r="H35" s="341"/>
    </row>
    <row r="36" spans="1:14" s="2" customFormat="1" ht="15.5">
      <c r="A36" s="333" t="s">
        <v>1065</v>
      </c>
      <c r="B36" s="184" t="s">
        <v>1072</v>
      </c>
      <c r="C36" s="334"/>
      <c r="D36" s="348">
        <f>+D35/2</f>
        <v>437391.83647500002</v>
      </c>
      <c r="E36" s="334"/>
      <c r="F36" s="334"/>
      <c r="H36" s="341"/>
      <c r="I36"/>
      <c r="J36"/>
      <c r="K36"/>
      <c r="L36"/>
      <c r="M36"/>
      <c r="N36"/>
    </row>
    <row r="37" spans="1:14" ht="37.5">
      <c r="A37" s="333" t="s">
        <v>1066</v>
      </c>
      <c r="B37" s="184" t="s">
        <v>222</v>
      </c>
      <c r="C37" s="334"/>
      <c r="D37" s="336">
        <v>0</v>
      </c>
      <c r="E37" s="334"/>
      <c r="F37" s="334"/>
      <c r="H37" s="341"/>
    </row>
    <row r="38" spans="1:14" ht="15.5">
      <c r="A38" s="333" t="s">
        <v>1067</v>
      </c>
      <c r="B38" s="312" t="s">
        <v>1073</v>
      </c>
      <c r="C38" s="328"/>
      <c r="D38" s="348">
        <f>+D36+D37</f>
        <v>437391.83647500002</v>
      </c>
      <c r="E38" s="328"/>
      <c r="F38" s="328"/>
      <c r="H38" s="343"/>
    </row>
    <row r="39" spans="1:14" ht="15.5">
      <c r="A39" s="333" t="s">
        <v>1068</v>
      </c>
      <c r="B39" s="312" t="s">
        <v>1074</v>
      </c>
      <c r="C39" s="328"/>
      <c r="D39" s="348">
        <f>+D38-D33</f>
        <v>-772795.16352499998</v>
      </c>
      <c r="E39" s="328"/>
      <c r="F39" s="328"/>
      <c r="H39" s="343"/>
    </row>
    <row r="40" spans="1:14" ht="63.5">
      <c r="A40" s="344">
        <v>19</v>
      </c>
      <c r="B40" s="984" t="s">
        <v>1075</v>
      </c>
      <c r="C40" s="339"/>
      <c r="D40" s="1496">
        <f>6215366+19194189+153326754-D42-D23</f>
        <v>13435234.689999999</v>
      </c>
      <c r="E40" s="328"/>
      <c r="F40" s="328"/>
      <c r="H40" s="345"/>
    </row>
    <row r="41" spans="1:14">
      <c r="C41" s="346"/>
      <c r="D41" s="308"/>
      <c r="E41" s="346"/>
      <c r="F41" s="346"/>
      <c r="H41" s="318"/>
    </row>
    <row r="42" spans="1:14">
      <c r="A42" s="3">
        <v>20</v>
      </c>
      <c r="B42" s="985" t="s">
        <v>225</v>
      </c>
      <c r="C42" s="346"/>
      <c r="D42" s="1517">
        <v>151147828</v>
      </c>
      <c r="E42" s="346"/>
      <c r="F42" s="346"/>
      <c r="H42" s="345"/>
    </row>
    <row r="43" spans="1:14">
      <c r="B43" s="985"/>
      <c r="D43" s="347"/>
      <c r="H43" s="330"/>
    </row>
    <row r="44" spans="1:14">
      <c r="A44" s="3">
        <v>21</v>
      </c>
      <c r="B44" s="328" t="s">
        <v>226</v>
      </c>
      <c r="C44" s="328"/>
      <c r="D44" s="348">
        <f>+D23+D28+D40+D42</f>
        <v>178736309</v>
      </c>
      <c r="E44" s="328"/>
      <c r="F44" s="328"/>
      <c r="H44" s="349"/>
    </row>
    <row r="45" spans="1:14">
      <c r="A45" s="3">
        <v>22</v>
      </c>
      <c r="B45" s="328" t="s">
        <v>227</v>
      </c>
      <c r="H45" s="342"/>
    </row>
    <row r="46" spans="1:14">
      <c r="D46" s="348"/>
      <c r="H46" s="338"/>
    </row>
    <row r="48" spans="1:14">
      <c r="B48" s="941"/>
      <c r="D48" s="1780"/>
    </row>
    <row r="49" spans="3:8">
      <c r="C49" s="346"/>
      <c r="D49" s="346"/>
      <c r="E49" s="346"/>
      <c r="F49" s="346"/>
      <c r="G49" s="330"/>
      <c r="H49" s="37"/>
    </row>
    <row r="50" spans="3:8">
      <c r="G50" s="330"/>
      <c r="H50" s="37"/>
    </row>
    <row r="51" spans="3:8">
      <c r="G51" s="330"/>
      <c r="H51" s="37"/>
    </row>
    <row r="52" spans="3:8">
      <c r="G52" s="330"/>
      <c r="H52" s="37"/>
    </row>
    <row r="53" spans="3:8">
      <c r="G53" s="330"/>
      <c r="H53" s="37"/>
    </row>
    <row r="291" spans="3:6" ht="15.5">
      <c r="C291" s="8" t="s">
        <v>228</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6"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vt:i4>
      </vt:variant>
    </vt:vector>
  </HeadingPairs>
  <TitlesOfParts>
    <vt:vector size="37" baseType="lpstr">
      <vt:lpstr>ATT H-3D</vt:lpstr>
      <vt:lpstr>1A - ADIT Summary</vt:lpstr>
      <vt:lpstr>1B - ADIT EOY</vt:lpstr>
      <vt:lpstr>1C - ADIT BOY</vt:lpstr>
      <vt:lpstr>1D - ADIT Rate Base Adjustment</vt:lpstr>
      <vt:lpstr>1E - EDIT Amortization</vt:lpstr>
      <vt:lpstr>1F - ADIT Remeasurement</vt:lpstr>
      <vt:lpstr>2 - Other Tax</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'1C - ADIT BOY'!Print_Area</vt:lpstr>
      <vt:lpstr>'1D - ADIT Rate Base Adjustment'!Print_Area</vt:lpstr>
      <vt:lpstr>'1E - EDIT Amortization'!Print_Area</vt:lpstr>
      <vt:lpstr>'1F - ADIT Remeasurement'!Print_Area</vt:lpstr>
      <vt:lpstr>'3 - Revenue Credits'!Print_Area</vt:lpstr>
      <vt:lpstr>'5a Affiliate Allocations'!Print_Area</vt:lpstr>
      <vt:lpstr>'6-Project Rev Req'!Print_Area</vt:lpstr>
      <vt:lpstr>'7 - Cap Add WS'!Print_Area</vt:lpstr>
      <vt:lpstr>'ATT H-3D'!Print_Area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2020-05-15T12:46:46Z</cp:lastPrinted>
  <dcterms:created xsi:type="dcterms:W3CDTF">2018-05-08T13:51:25Z</dcterms:created>
  <dcterms:modified xsi:type="dcterms:W3CDTF">2021-05-14T19:31:57Z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ies>
</file>