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5" yWindow="90" windowWidth="16725" windowHeight="15705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E46" i="68" l="1"/>
  <c r="E16" i="68"/>
  <c r="E21" i="68" l="1"/>
  <c r="A21" i="67" l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E34" i="20" l="1"/>
  <c r="E31" i="20"/>
  <c r="D33" i="9" l="1"/>
  <c r="D26" i="19" l="1"/>
  <c r="G33" i="50" l="1"/>
  <c r="G32" i="50"/>
  <c r="E219" i="1" l="1"/>
  <c r="E149" i="1"/>
  <c r="E83" i="1"/>
  <c r="E75" i="1"/>
  <c r="E78" i="1"/>
  <c r="O16" i="67" l="1"/>
  <c r="P16" i="67" s="1"/>
  <c r="O15" i="67"/>
  <c r="H37" i="68" l="1"/>
  <c r="I6" i="68"/>
  <c r="J6" i="68"/>
  <c r="K6" i="68"/>
  <c r="L6" i="68"/>
  <c r="M6" i="68"/>
  <c r="H6" i="68"/>
  <c r="H7" i="68" l="1"/>
  <c r="E31" i="67"/>
  <c r="E33" i="67" s="1"/>
  <c r="C303" i="1" l="1"/>
  <c r="C302" i="1"/>
  <c r="E48" i="68" l="1"/>
  <c r="E18" i="68"/>
  <c r="C57" i="68" l="1"/>
  <c r="D45" i="67" l="1"/>
  <c r="E52" i="68" l="1"/>
  <c r="O50" i="67" l="1"/>
  <c r="O49" i="67"/>
  <c r="D51" i="67"/>
  <c r="E51" i="67"/>
  <c r="F51" i="67"/>
  <c r="G51" i="67"/>
  <c r="H51" i="67"/>
  <c r="I51" i="67"/>
  <c r="J51" i="67"/>
  <c r="K51" i="67"/>
  <c r="L51" i="67"/>
  <c r="M51" i="67"/>
  <c r="N51" i="67"/>
  <c r="C51" i="67"/>
  <c r="O51" i="67" l="1"/>
  <c r="P50" i="67"/>
  <c r="C31" i="67" l="1"/>
  <c r="C33" i="67" s="1"/>
  <c r="O41" i="67" l="1"/>
  <c r="P41" i="67" s="1"/>
  <c r="E45" i="67"/>
  <c r="E47" i="67" s="1"/>
  <c r="E53" i="67" s="1"/>
  <c r="F45" i="67"/>
  <c r="F47" i="67" s="1"/>
  <c r="F53" i="67" s="1"/>
  <c r="G45" i="67"/>
  <c r="G47" i="67" s="1"/>
  <c r="G53" i="67" s="1"/>
  <c r="H45" i="67"/>
  <c r="H47" i="67" s="1"/>
  <c r="H53" i="67" s="1"/>
  <c r="I45" i="67"/>
  <c r="I47" i="67" s="1"/>
  <c r="I53" i="67" s="1"/>
  <c r="J45" i="67"/>
  <c r="J47" i="67" s="1"/>
  <c r="J53" i="67" s="1"/>
  <c r="K45" i="67"/>
  <c r="K47" i="67" s="1"/>
  <c r="K53" i="67" s="1"/>
  <c r="L45" i="67"/>
  <c r="L47" i="67" s="1"/>
  <c r="L53" i="67" s="1"/>
  <c r="M45" i="67"/>
  <c r="M47" i="67" s="1"/>
  <c r="M53" i="67" s="1"/>
  <c r="N45" i="67"/>
  <c r="N47" i="67" s="1"/>
  <c r="N53" i="67" s="1"/>
  <c r="C45" i="67"/>
  <c r="O44" i="67"/>
  <c r="P44" i="67" s="1"/>
  <c r="O43" i="67"/>
  <c r="P43" i="67" s="1"/>
  <c r="D10" i="67" l="1"/>
  <c r="D47" i="67"/>
  <c r="D53" i="67" s="1"/>
  <c r="C10" i="67"/>
  <c r="C47" i="67"/>
  <c r="N10" i="67"/>
  <c r="M10" i="67"/>
  <c r="L10" i="67"/>
  <c r="K10" i="67"/>
  <c r="J10" i="67"/>
  <c r="I10" i="67"/>
  <c r="H10" i="67"/>
  <c r="G10" i="67"/>
  <c r="F10" i="67"/>
  <c r="E10" i="67"/>
  <c r="P45" i="67"/>
  <c r="O45" i="67"/>
  <c r="C53" i="67" l="1"/>
  <c r="O47" i="67"/>
  <c r="P47" i="67" s="1"/>
  <c r="N31" i="67" l="1"/>
  <c r="M31" i="67"/>
  <c r="L31" i="67"/>
  <c r="K31" i="67"/>
  <c r="J31" i="67"/>
  <c r="I31" i="67"/>
  <c r="H31" i="67"/>
  <c r="G31" i="67"/>
  <c r="F31" i="67"/>
  <c r="E35" i="67"/>
  <c r="D31" i="67"/>
  <c r="C35" i="67"/>
  <c r="H33" i="67" l="1"/>
  <c r="H35" i="67" s="1"/>
  <c r="K33" i="67"/>
  <c r="K35" i="67" s="1"/>
  <c r="G33" i="67"/>
  <c r="G35" i="67" s="1"/>
  <c r="J33" i="67"/>
  <c r="J35" i="67" s="1"/>
  <c r="L33" i="67"/>
  <c r="L35" i="67" s="1"/>
  <c r="M33" i="67"/>
  <c r="M35" i="67" s="1"/>
  <c r="I33" i="67"/>
  <c r="I35" i="67" s="1"/>
  <c r="N33" i="67"/>
  <c r="N35" i="67" s="1"/>
  <c r="D33" i="67"/>
  <c r="D35" i="67" s="1"/>
  <c r="F33" i="67"/>
  <c r="F35" i="67" s="1"/>
  <c r="E51" i="68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A14" i="67" s="1"/>
  <c r="A15" i="67" s="1"/>
  <c r="A16" i="67" s="1"/>
  <c r="A17" i="67" s="1"/>
  <c r="A18" i="67" s="1"/>
  <c r="A19" i="67" s="1"/>
  <c r="A20" i="67" s="1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H77" i="68"/>
  <c r="K77" i="68"/>
  <c r="B39" i="67" l="1"/>
  <c r="H76" i="68"/>
  <c r="H75" i="68"/>
  <c r="I75" i="68" s="1"/>
  <c r="K78" i="68"/>
  <c r="B34" i="26"/>
  <c r="B33" i="26"/>
  <c r="K76" i="68"/>
  <c r="K75" i="68" l="1"/>
  <c r="D27" i="50"/>
  <c r="H78" i="68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O30" i="67" l="1"/>
  <c r="P30" i="67" s="1"/>
  <c r="O29" i="67"/>
  <c r="P29" i="67" s="1"/>
  <c r="O28" i="67"/>
  <c r="P28" i="67" s="1"/>
  <c r="O27" i="67"/>
  <c r="P27" i="67" s="1"/>
  <c r="O26" i="67"/>
  <c r="P26" i="67" s="1"/>
  <c r="O25" i="67"/>
  <c r="P25" i="67" s="1"/>
  <c r="O24" i="67"/>
  <c r="P24" i="67" s="1"/>
  <c r="O23" i="67"/>
  <c r="P23" i="67" s="1"/>
  <c r="O22" i="67"/>
  <c r="P22" i="67" s="1"/>
  <c r="O21" i="67"/>
  <c r="P21" i="67" s="1"/>
  <c r="O20" i="67"/>
  <c r="P20" i="67" s="1"/>
  <c r="O19" i="67"/>
  <c r="P19" i="67" s="1"/>
  <c r="O18" i="67"/>
  <c r="P18" i="67" s="1"/>
  <c r="A33" i="67"/>
  <c r="A35" i="67" s="1"/>
  <c r="O10" i="67"/>
  <c r="C16" i="66"/>
  <c r="E15" i="66" s="1"/>
  <c r="G15" i="66" s="1"/>
  <c r="P15" i="67" l="1"/>
  <c r="P10" i="67"/>
  <c r="E14" i="66"/>
  <c r="G14" i="66" s="1"/>
  <c r="I16" i="66" s="1"/>
  <c r="E111" i="1" s="1"/>
  <c r="E13" i="66"/>
  <c r="G13" i="66" s="1"/>
  <c r="O31" i="67"/>
  <c r="O33" i="67" s="1"/>
  <c r="O35" i="67" l="1"/>
  <c r="P31" i="67"/>
  <c r="P33" i="67" s="1"/>
  <c r="E16" i="66"/>
  <c r="J31" i="1"/>
  <c r="P35" i="67" l="1"/>
  <c r="J230" i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  <c r="P49" i="67"/>
  <c r="P51" i="67" l="1"/>
</calcChain>
</file>

<file path=xl/sharedStrings.xml><?xml version="1.0" encoding="utf-8"?>
<sst xmlns="http://schemas.openxmlformats.org/spreadsheetml/2006/main" count="915" uniqueCount="656">
  <si>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</si>
  <si>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</si>
  <si>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</si>
  <si>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</si>
  <si>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</si>
  <si>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</si>
  <si>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</si>
  <si>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</si>
  <si>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</si>
  <si>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</si>
  <si>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</si>
  <si>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</si>
  <si>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</si>
  <si>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</si>
  <si>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</si>
  <si>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</si>
  <si>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</si>
  <si>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</si>
  <si>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</si>
  <si>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</si>
  <si>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</si>
  <si>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</si>
  <si>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</si>
  <si>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</si>
  <si>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</si>
  <si>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</si>
  <si>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</si>
  <si>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</si>
  <si>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</si>
  <si>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</si>
  <si>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</si>
  <si>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</si>
  <si>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</si>
  <si>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</si>
  <si>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</si>
  <si>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</si>
  <si>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</si>
  <si>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</si>
  <si>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</si>
  <si>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</si>
  <si>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</si>
  <si>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</si>
  <si>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</si>
  <si>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</si>
  <si>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</si>
  <si>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</si>
  <si>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</si>
  <si>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</si>
  <si>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</si>
  <si>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</si>
  <si>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</si>
  <si>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</si>
  <si>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</si>
  <si>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</si>
  <si>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</si>
  <si>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</si>
  <si>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</si>
  <si>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</si>
  <si>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</si>
  <si>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</si>
  <si>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</si>
  <si>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</si>
  <si>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</si>
  <si>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</si>
  <si>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</si>
  <si>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</si>
  <si>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</si>
  <si>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</si>
  <si>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</si>
  <si>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</si>
  <si>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</si>
  <si>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</si>
  <si>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</si>
  <si>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</si>
  <si>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</si>
  <si>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</si>
  <si>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</si>
  <si>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</si>
  <si>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</si>
  <si>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</si>
  <si>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</si>
  <si>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</si>
  <si>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</si>
  <si>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</si>
  <si>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</si>
  <si>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</si>
  <si>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</si>
  <si>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</si>
  <si>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</si>
  <si>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</si>
  <si>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</si>
  <si>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</si>
  <si>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</si>
  <si>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</si>
  <si>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</si>
  <si>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</si>
  <si>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</si>
  <si>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</si>
  <si>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</si>
  <si>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</si>
  <si>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</si>
  <si>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</si>
  <si>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</si>
  <si>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</si>
  <si>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</si>
  <si>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</si>
  <si>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</si>
  <si>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</si>
  <si>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</si>
  <si>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</si>
  <si>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</si>
  <si>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</si>
  <si>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</si>
  <si>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</si>
  <si>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</si>
  <si>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</si>
  <si>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</si>
  <si>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</si>
  <si>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</si>
  <si>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</si>
  <si>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</si>
  <si>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</si>
  <si>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</si>
  <si>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</si>
  <si>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</si>
  <si>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</si>
  <si>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</si>
  <si>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</si>
  <si>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</si>
  <si>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</si>
  <si>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</si>
  <si>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</si>
  <si>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</si>
  <si>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</si>
  <si>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</si>
  <si>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</si>
  <si>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</si>
  <si>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</si>
  <si>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</si>
  <si>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</si>
  <si>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</si>
  <si>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</si>
  <si>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</si>
  <si>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</si>
  <si>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</si>
  <si>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</si>
  <si>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</si>
  <si>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</si>
  <si>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</si>
  <si>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</si>
  <si>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</si>
  <si>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</si>
  <si>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</si>
  <si>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</si>
  <si>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</si>
  <si>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</si>
  <si>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</si>
  <si>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</si>
  <si>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</si>
  <si>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</si>
  <si>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</si>
  <si>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</si>
  <si>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</si>
  <si>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</si>
  <si>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</si>
  <si>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</si>
  <si>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</si>
  <si>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</si>
  <si>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</si>
  <si>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</si>
  <si>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</si>
  <si>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</si>
  <si>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</si>
  <si>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</si>
  <si>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</si>
  <si>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</si>
  <si>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</si>
  <si>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</si>
  <si>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</si>
  <si>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</si>
  <si>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</si>
  <si>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</si>
  <si>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</si>
  <si>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</si>
  <si>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</si>
  <si>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</si>
  <si>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</si>
  <si>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</si>
  <si>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</si>
  <si>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</si>
  <si>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</si>
  <si>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</si>
  <si>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</si>
  <si>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</si>
  <si>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</si>
  <si>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</si>
  <si>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</si>
  <si>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</si>
  <si>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</si>
  <si>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</si>
  <si>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</si>
  <si>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</si>
  <si>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</si>
  <si>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</si>
  <si>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</si>
  <si>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</si>
  <si>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</si>
  <si>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</si>
  <si>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</si>
  <si>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</si>
  <si>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</si>
  <si>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</si>
  <si>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</si>
  <si>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</si>
  <si>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</si>
  <si>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</si>
  <si>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</si>
  <si>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</si>
  <si>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</si>
  <si>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</si>
  <si>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</si>
  <si>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</si>
  <si>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</si>
  <si>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</si>
  <si>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</si>
  <si>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</si>
  <si>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</si>
  <si>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</si>
  <si>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</si>
  <si>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</si>
  <si>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</si>
  <si>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</si>
  <si>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</si>
  <si>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</si>
  <si>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</si>
  <si>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</si>
  <si>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</si>
  <si>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</si>
  <si>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</si>
  <si>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</si>
  <si>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</si>
  <si>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</si>
  <si>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</si>
  <si>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</si>
  <si>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</si>
  <si>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</si>
  <si>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</si>
  <si>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</si>
  <si>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</si>
  <si>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</si>
  <si>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</si>
  <si>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</si>
  <si>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</si>
  <si>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</si>
  <si>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</si>
  <si>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</si>
  <si>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</si>
  <si>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</si>
  <si>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</si>
  <si>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</si>
  <si>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</si>
  <si>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</si>
  <si>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</si>
  <si>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</si>
  <si>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</si>
  <si>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</si>
  <si>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</si>
  <si>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</si>
  <si>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</si>
  <si>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</si>
  <si>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</si>
  <si>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</si>
  <si>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</si>
  <si>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</si>
  <si>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</si>
  <si>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</si>
  <si>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</si>
  <si>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</si>
  <si>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</si>
  <si>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</si>
  <si>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</si>
  <si>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</si>
  <si>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</si>
  <si>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</si>
  <si>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</si>
  <si>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</si>
  <si>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</si>
  <si>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</si>
  <si>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</si>
  <si>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</si>
  <si>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</si>
  <si>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</si>
  <si>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</si>
  <si>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</si>
  <si>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</si>
  <si>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</si>
  <si>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</si>
  <si>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</si>
  <si>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</si>
  <si>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</si>
  <si>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</si>
  <si>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</si>
  <si>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</si>
  <si>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</si>
  <si>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</si>
  <si>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</si>
  <si>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</si>
  <si>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</si>
  <si>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</si>
  <si>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</si>
  <si>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</si>
  <si>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</si>
  <si>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</si>
  <si>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</si>
  <si>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</si>
  <si>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</si>
  <si>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</si>
  <si>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</si>
  <si>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</si>
  <si>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</si>
  <si>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</si>
  <si>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</si>
  <si>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</si>
  <si>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</si>
  <si>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</si>
  <si>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</si>
  <si>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</si>
  <si>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</si>
  <si>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</si>
  <si>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</si>
  <si>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</si>
  <si>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</si>
  <si>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</si>
  <si>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</si>
  <si>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</si>
  <si>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</si>
  <si>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</si>
  <si>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</si>
  <si>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</si>
  <si>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</si>
  <si>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</si>
  <si>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</si>
  <si>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</si>
  <si>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</si>
  <si>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</si>
  <si>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</si>
  <si>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</si>
  <si>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</si>
  <si>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</si>
  <si>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</si>
  <si>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</si>
  <si>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</si>
  <si>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</si>
  <si>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</si>
  <si>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</si>
  <si>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</si>
  <si>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</si>
  <si>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</si>
  <si>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</si>
  <si>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</si>
  <si>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</si>
  <si>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</si>
  <si>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</si>
  <si>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</si>
  <si>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</si>
  <si>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</si>
  <si>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</si>
  <si>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</si>
  <si>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</si>
  <si>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</si>
  <si>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</si>
  <si>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</si>
  <si>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</si>
  <si>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</si>
  <si>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</si>
  <si>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</si>
  <si>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</si>
  <si>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</si>
  <si>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</si>
  <si>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</si>
  <si>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</si>
  <si>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</si>
  <si>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</si>
  <si>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</si>
  <si>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</si>
  <si>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</si>
  <si>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</si>
  <si>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</si>
  <si>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</si>
  <si>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</si>
  <si>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</si>
  <si>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</si>
  <si>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</si>
  <si>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</si>
  <si>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</si>
  <si>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</si>
  <si>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</si>
  <si>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</si>
  <si>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</si>
  <si>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</si>
  <si>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>GSU's in Trans; remainder in 345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</si>
  <si>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</si>
  <si>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</si>
  <si>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</si>
  <si>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</si>
  <si>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</si>
  <si>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</si>
  <si>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</si>
  <si>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</si>
  <si>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</si>
  <si>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</si>
  <si>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</si>
  <si>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</si>
  <si>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</si>
  <si>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</si>
  <si>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</si>
  <si>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</si>
  <si>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</si>
  <si>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</si>
  <si>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</si>
  <si>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</si>
  <si>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</si>
  <si>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</si>
  <si>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</si>
  <si>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</si>
  <si>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</si>
  <si>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</si>
  <si>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</si>
  <si>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</si>
  <si>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</si>
  <si>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</si>
  <si>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</si>
  <si>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</si>
  <si>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</si>
  <si>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</si>
  <si>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</si>
  <si>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</si>
  <si>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</si>
  <si>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</si>
  <si>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</si>
  <si>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</si>
  <si>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</si>
  <si>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</si>
  <si>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</si>
  <si>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</si>
  <si>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</si>
  <si>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</si>
  <si>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</si>
  <si>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</si>
  <si>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</si>
  <si>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</si>
  <si>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</si>
  <si>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</si>
  <si>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</si>
  <si>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</si>
  <si>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</si>
  <si>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</si>
  <si>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</si>
  <si>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</si>
  <si>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</si>
  <si>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</si>
  <si>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</si>
  <si>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</si>
  <si>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</si>
  <si>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</si>
  <si>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</si>
  <si>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</si>
  <si>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</si>
  <si>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</si>
  <si>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</si>
  <si>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</si>
  <si>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</si>
  <si>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</si>
  <si>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</si>
  <si>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</si>
  <si>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</si>
  <si>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</si>
  <si>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</si>
  <si>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</si>
  <si>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</si>
  <si>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</si>
  <si>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</si>
  <si>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</si>
  <si>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</si>
  <si>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</si>
  <si>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</si>
  <si>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</si>
  <si>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</si>
  <si>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</si>
  <si>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</si>
  <si>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</si>
  <si>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</si>
  <si>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</si>
  <si>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</si>
  <si>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</si>
  <si>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</si>
  <si>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</si>
  <si>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</si>
  <si>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</si>
  <si>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</si>
  <si>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</si>
  <si>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</si>
  <si>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</si>
  <si>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</si>
  <si>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</si>
  <si>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</si>
  <si>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</si>
  <si>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</si>
  <si>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</si>
  <si>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</si>
  <si>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</si>
  <si>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</si>
  <si>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</si>
  <si>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</si>
  <si>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</si>
  <si>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</si>
  <si>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</si>
  <si>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</si>
  <si>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</si>
  <si>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</si>
  <si>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</si>
  <si>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</si>
  <si>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</si>
  <si>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</si>
  <si>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</si>
  <si>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</si>
  <si>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</si>
  <si>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</si>
  <si>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</si>
  <si>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</si>
  <si>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</si>
  <si>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</si>
  <si>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</si>
  <si>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</si>
  <si>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</si>
  <si>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</si>
  <si>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</si>
  <si>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</si>
  <si>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</si>
  <si>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</si>
  <si>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</si>
  <si>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</si>
  <si>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</si>
  <si>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</si>
  <si>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</si>
  <si>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</si>
  <si>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</si>
  <si>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</si>
  <si>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</si>
  <si>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</si>
  <si>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</si>
  <si>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</si>
  <si>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</si>
  <si>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</si>
  <si>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</si>
  <si>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</si>
  <si>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</si>
  <si>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</si>
  <si>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</si>
  <si>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</si>
  <si>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</si>
  <si>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</si>
  <si>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</si>
  <si>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</si>
  <si>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</si>
  <si>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</si>
  <si>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</si>
  <si>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</si>
  <si>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</si>
  <si>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</si>
  <si>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</si>
  <si>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</si>
  <si>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</si>
  <si>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</si>
  <si>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</si>
  <si>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</si>
  <si>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</si>
  <si>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</si>
  <si>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</si>
  <si>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</si>
  <si>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</si>
  <si>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</si>
  <si>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</si>
  <si>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</si>
  <si>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</si>
  <si>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</si>
  <si>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</si>
  <si>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</si>
  <si>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</si>
  <si>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</si>
  <si>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</si>
  <si>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</si>
  <si>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</si>
  <si>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</si>
  <si>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</si>
  <si>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</si>
  <si>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</si>
  <si>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</si>
  <si>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</si>
  <si>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</si>
  <si>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</si>
  <si>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</si>
  <si>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</si>
  <si>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</si>
  <si>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</si>
  <si>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</si>
  <si>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</si>
  <si>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</si>
  <si>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</si>
  <si>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</si>
  <si>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</si>
  <si>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</si>
  <si>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</si>
  <si>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</si>
  <si>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</si>
  <si>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</si>
  <si>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</si>
  <si>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</si>
  <si>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</si>
  <si>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</si>
  <si>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</si>
  <si>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</si>
  <si>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</si>
  <si>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</si>
  <si>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</si>
  <si>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</si>
  <si>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</si>
  <si>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</si>
  <si>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</si>
  <si>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</si>
  <si>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</si>
  <si>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</si>
  <si>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</si>
  <si>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</si>
  <si>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</si>
  <si>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</si>
  <si>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</si>
  <si>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</si>
  <si>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>2018 Requirements Sales for Resale</t>
  </si>
  <si>
    <t xml:space="preserve">  KYMEA (City of Falmouth)</t>
  </si>
  <si>
    <t>NITS</t>
  </si>
  <si>
    <t>NITS Adj</t>
  </si>
  <si>
    <t>Firm PTP</t>
  </si>
  <si>
    <t>Firm PTP Adj</t>
  </si>
  <si>
    <t>Non Firm PTP</t>
  </si>
  <si>
    <t>Non Firm PTP Adj</t>
  </si>
  <si>
    <t>Sch 1A</t>
  </si>
  <si>
    <t>For the 12 months ended 12/31/2020</t>
  </si>
  <si>
    <t>Utilizing EKPC 2020 Form FF1 Data (ver. FINAL - AUDITED)</t>
  </si>
  <si>
    <t>For Rates Effective January 1, 2020</t>
  </si>
  <si>
    <t>Jan-Dec</t>
  </si>
  <si>
    <t>Actual Transmission Revenue Requirement for 12 Months Ended 12/31/2020 including True Up for 12 months ended 12/31/2019 (1)</t>
  </si>
  <si>
    <t>Actual Schedule 1-A Costs for 12 Months Ended 12/31/2020 including True Up for 12 months ended 12/31/2019 (6)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</si>
  <si>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</si>
  <si>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Total 2020</t>
  </si>
  <si>
    <t>Total 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</si>
</sst>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</numFmts>
  <fonts count="122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53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173" fontId="0" fillId="14" borderId="0" xfId="0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8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173" fontId="10" fillId="0" borderId="0" xfId="0" applyFont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174" fontId="118" fillId="0" borderId="0" xfId="89" applyNumberFormat="1" applyFont="1" applyFill="1" applyAlignment="1"/>
    <xf numFmtId="174" fontId="118" fillId="0" borderId="0" xfId="1" applyNumberFormat="1" applyFont="1" applyFill="1" applyAlignment="1"/>
    <xf numFmtId="42" fontId="32" fillId="0" borderId="0" xfId="7" applyNumberFormat="1" applyFont="1" applyFill="1"/>
    <xf numFmtId="42" fontId="32" fillId="0" borderId="0" xfId="0" applyNumberFormat="1" applyFont="1" applyFill="1" applyAlignment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173" fontId="6" fillId="13" borderId="0" xfId="0" applyFont="1" applyFill="1" applyAlignment="1">
      <alignment horizontal="center"/>
    </xf>
    <xf numFmtId="3" fontId="90" fillId="13" borderId="0" xfId="0" applyNumberFormat="1" applyFont="1" applyFill="1" applyAlignment="1">
      <alignment horizontal="center"/>
    </xf>
    <xf numFmtId="0" fontId="6" fillId="13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Alignment="1">
      <alignment horizontal="center"/>
    </xf>
    <xf numFmtId="0" fontId="14" fillId="0" borderId="0" xfId="10" applyFont="1" applyFill="1" applyAlignment="1">
      <alignment horizontal="center"/>
    </xf>
    <xf numFmtId="3" fontId="7" fillId="13" borderId="0" xfId="0" applyNumberFormat="1" applyFont="1" applyFill="1" applyAlignment="1">
      <alignment horizontal="center"/>
    </xf>
    <xf numFmtId="4" fontId="6" fillId="13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37" fontId="32" fillId="0" borderId="0" xfId="7" applyNumberFormat="1" applyFont="1" applyFill="1"/>
    <xf numFmtId="0" fontId="0" fillId="0" borderId="0" xfId="1" applyNumberFormat="1" applyFont="1" applyFill="1" applyAlignment="1"/>
    <xf numFmtId="42" fontId="32" fillId="0" borderId="0" xfId="7" quotePrefix="1" applyNumberFormat="1" applyFont="1" applyFill="1"/>
    <xf numFmtId="0" fontId="22" fillId="0" borderId="0" xfId="0" applyNumberFormat="1" applyFont="1" applyAlignment="1">
      <alignment horizontal="center"/>
    </xf>
    <xf numFmtId="173" fontId="0" fillId="0" borderId="0" xfId="0" applyAlignment="1">
      <alignment horizontal="right"/>
    </xf>
    <xf numFmtId="0" fontId="0" fillId="0" borderId="0" xfId="0" applyNumberFormat="1" applyAlignment="1"/>
    <xf numFmtId="0" fontId="0" fillId="0" borderId="0" xfId="0" applyNumberFormat="1" applyAlignment="1">
      <alignment horizontal="right"/>
    </xf>
    <xf numFmtId="173" fontId="0" fillId="0" borderId="6" xfId="0" applyBorder="1" applyAlignment="1"/>
    <xf numFmtId="173" fontId="10" fillId="0" borderId="0" xfId="0" applyFont="1" applyAlignment="1">
      <alignment horizontal="center"/>
    </xf>
    <xf numFmtId="173" fontId="0" fillId="0" borderId="0" xfId="0" applyBorder="1" applyAlignment="1"/>
    <xf numFmtId="0" fontId="32" fillId="0" borderId="0" xfId="0" applyNumberFormat="1" applyFont="1" applyFill="1" applyAlignment="1" applyProtection="1">
      <alignment horizontal="right"/>
      <protection locked="0"/>
    </xf>
    <xf numFmtId="3" fontId="32" fillId="0" borderId="0" xfId="0" applyNumberFormat="1" applyFont="1" applyFill="1" applyAlignment="1">
      <alignment horizontal="centerContinuous"/>
    </xf>
    <xf numFmtId="37" fontId="32" fillId="0" borderId="1" xfId="0" applyNumberFormat="1" applyFont="1" applyFill="1" applyBorder="1" applyAlignment="1"/>
    <xf numFmtId="42" fontId="32" fillId="0" borderId="0" xfId="327" applyNumberFormat="1" applyFont="1" applyFill="1"/>
    <xf numFmtId="41" fontId="32" fillId="0" borderId="0" xfId="8" applyNumberFormat="1" applyFont="1" applyFill="1"/>
    <xf numFmtId="41" fontId="120" fillId="0" borderId="0" xfId="8" applyNumberFormat="1" applyFont="1" applyFill="1" applyBorder="1"/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0" applyNumberFormat="1" applyFont="1" applyFill="1" applyBorder="1" applyAlignment="1"/>
    <xf numFmtId="43" fontId="32" fillId="0" borderId="0" xfId="1" applyFont="1" applyFill="1"/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6" xfId="89" applyNumberFormat="1" applyFont="1" applyFill="1" applyBorder="1" applyAlignment="1"/>
    <xf numFmtId="174" fontId="118" fillId="0" borderId="0" xfId="1" quotePrefix="1" applyNumberFormat="1" applyFont="1" applyFill="1" applyAlignment="1">
      <alignment horizontal="center"/>
    </xf>
    <xf numFmtId="174" fontId="121" fillId="0" borderId="0" xfId="1" applyNumberFormat="1" applyFont="1" applyFill="1" applyAlignment="1"/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CCFFFF"/>
      <color rgb="FFFFFF99"/>
      <color rgb="FF00FF00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>
      <selection activeCell="C2" sqref="C2"/>
    </sheetView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782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/>
      <c r="C1" s="192"/>
      <c r="D1" s="192"/>
      <c r="E1" s="193"/>
      <c r="F1" s="201"/>
      <c r="G1" s="192"/>
      <c r="H1" s="192"/>
      <c r="I1" s="194"/>
      <c r="J1" s="503" t="s">
        <v>563</v>
      </c>
      <c r="K1" s="222"/>
      <c r="L1" s="561"/>
      <c r="M1" s="578"/>
      <c r="N1" s="566"/>
      <c r="O1" s="196"/>
      <c r="P1" s="196"/>
    </row>
    <row r="2" spans="1:16">
      <c r="C2" s="192"/>
      <c r="D2" s="192"/>
      <c r="E2" s="193"/>
      <c r="F2" s="201"/>
      <c r="G2" s="192"/>
      <c r="H2" s="192"/>
      <c r="I2" s="194"/>
      <c r="J2" s="195" t="s">
        <v>438</v>
      </c>
      <c r="L2" s="561"/>
      <c r="M2" s="579"/>
      <c r="N2" s="566"/>
      <c r="O2" s="196"/>
      <c r="P2" s="196"/>
    </row>
    <row r="3" spans="1:16">
      <c r="C3" s="192"/>
      <c r="D3" s="192"/>
      <c r="E3" s="193"/>
      <c r="F3" s="201"/>
      <c r="G3" s="192"/>
      <c r="H3" s="192"/>
      <c r="I3" s="194"/>
      <c r="K3" s="196"/>
      <c r="L3" s="561"/>
      <c r="M3" s="579"/>
      <c r="N3" s="566"/>
      <c r="O3" s="196"/>
      <c r="P3" s="196"/>
    </row>
    <row r="4" spans="1:16">
      <c r="C4" s="192"/>
      <c r="D4" s="192"/>
      <c r="E4" s="193"/>
      <c r="F4" s="201"/>
      <c r="G4" s="192"/>
      <c r="H4" s="192"/>
      <c r="I4" s="194"/>
      <c r="K4" s="196"/>
      <c r="L4" s="561"/>
      <c r="M4" s="579"/>
      <c r="N4" s="566"/>
      <c r="O4" s="196"/>
      <c r="P4" s="196"/>
    </row>
    <row r="5" spans="1:16">
      <c r="C5" s="192"/>
      <c r="D5" s="192"/>
      <c r="E5" s="193"/>
      <c r="F5" s="201"/>
      <c r="G5" s="192"/>
      <c r="H5" s="192"/>
      <c r="I5" s="194"/>
      <c r="K5" s="196"/>
      <c r="L5" s="561"/>
      <c r="M5" s="579"/>
      <c r="N5" s="566"/>
      <c r="O5" s="196"/>
      <c r="P5" s="196"/>
    </row>
    <row r="6" spans="1:16">
      <c r="C6" s="192"/>
      <c r="D6" s="192"/>
      <c r="E6" s="193"/>
      <c r="F6" s="201"/>
      <c r="G6" s="192"/>
      <c r="H6" s="192"/>
      <c r="I6" s="194"/>
      <c r="J6" s="196"/>
      <c r="K6" s="196"/>
      <c r="L6" s="561"/>
      <c r="M6" s="566"/>
      <c r="N6" s="733"/>
      <c r="O6" s="196"/>
      <c r="P6" s="196"/>
    </row>
    <row r="7" spans="1:16">
      <c r="C7" s="192" t="s">
        <v>4</v>
      </c>
      <c r="D7" s="192"/>
      <c r="E7" s="193"/>
      <c r="F7" s="201"/>
      <c r="G7" s="192"/>
      <c r="H7" s="585"/>
      <c r="I7" s="583"/>
      <c r="J7" s="800" t="s">
        <v>647</v>
      </c>
      <c r="K7" s="196"/>
      <c r="L7" s="561"/>
      <c r="M7" s="566"/>
      <c r="N7" s="566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201"/>
      <c r="G8" s="198"/>
      <c r="H8" s="198"/>
      <c r="I8" s="198"/>
      <c r="J8" s="197"/>
      <c r="K8" s="196"/>
      <c r="L8" s="573"/>
      <c r="M8" s="566"/>
      <c r="N8" s="566"/>
      <c r="O8" s="196"/>
      <c r="P8" s="196"/>
    </row>
    <row r="9" spans="1:16">
      <c r="A9" s="801" t="s">
        <v>648</v>
      </c>
      <c r="B9" s="573"/>
      <c r="C9" s="413"/>
      <c r="D9" s="414"/>
      <c r="E9" s="573"/>
      <c r="F9" s="577"/>
      <c r="G9" s="414"/>
      <c r="H9" s="414"/>
      <c r="I9" s="413"/>
      <c r="J9" s="413"/>
      <c r="K9" s="196"/>
      <c r="L9" s="558"/>
      <c r="M9" s="566"/>
      <c r="N9" s="566"/>
      <c r="O9" s="196"/>
      <c r="P9" s="196"/>
    </row>
    <row r="10" spans="1:16">
      <c r="A10" s="200"/>
      <c r="B10" s="197"/>
      <c r="C10" s="200"/>
      <c r="D10" s="200"/>
      <c r="E10" s="197"/>
      <c r="F10" s="223"/>
      <c r="G10" s="200"/>
      <c r="H10" s="200"/>
      <c r="I10" s="200"/>
      <c r="J10" s="200"/>
      <c r="K10" s="196"/>
      <c r="L10" s="558"/>
      <c r="M10" s="566"/>
      <c r="N10" s="566"/>
      <c r="O10" s="196"/>
      <c r="P10" s="196"/>
    </row>
    <row r="11" spans="1:16" ht="15.75">
      <c r="A11" s="471" t="s">
        <v>524</v>
      </c>
      <c r="B11" s="197"/>
      <c r="C11" s="200"/>
      <c r="D11" s="200"/>
      <c r="E11" s="197"/>
      <c r="F11" s="223"/>
      <c r="G11" s="200"/>
      <c r="H11" s="200"/>
      <c r="I11" s="200"/>
      <c r="J11" s="200"/>
      <c r="K11" s="196"/>
      <c r="L11" s="558"/>
      <c r="M11" s="566"/>
      <c r="N11" s="566"/>
      <c r="O11" s="196"/>
      <c r="P11" s="196"/>
    </row>
    <row r="12" spans="1:16">
      <c r="A12" s="201"/>
      <c r="C12" s="196"/>
      <c r="D12" s="196"/>
      <c r="E12" s="202"/>
      <c r="F12" s="223"/>
      <c r="G12" s="196"/>
      <c r="H12" s="196"/>
      <c r="I12" s="196"/>
      <c r="J12" s="196"/>
      <c r="K12" s="196"/>
      <c r="L12" s="566"/>
      <c r="M12" s="566"/>
      <c r="N12" s="566"/>
      <c r="O12" s="196"/>
      <c r="P12" s="196"/>
    </row>
    <row r="13" spans="1:16">
      <c r="A13" s="201" t="s">
        <v>6</v>
      </c>
      <c r="C13" s="196"/>
      <c r="D13" s="196"/>
      <c r="E13" s="202"/>
      <c r="F13" s="223"/>
      <c r="G13" s="196"/>
      <c r="H13" s="196"/>
      <c r="I13" s="196"/>
      <c r="J13" s="201" t="s">
        <v>7</v>
      </c>
      <c r="K13" s="196"/>
      <c r="L13" s="566"/>
      <c r="M13" s="566"/>
      <c r="N13" s="566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784"/>
      <c r="G14" s="205"/>
      <c r="H14" s="205"/>
      <c r="I14" s="205"/>
      <c r="J14" s="203" t="s">
        <v>9</v>
      </c>
      <c r="K14" s="196"/>
      <c r="L14" s="566"/>
      <c r="M14" s="566"/>
      <c r="N14" s="566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223"/>
      <c r="G15" s="196"/>
      <c r="H15" s="196"/>
      <c r="I15" s="196"/>
      <c r="J15" s="207">
        <f>J178</f>
        <v>81565911.198063254</v>
      </c>
      <c r="K15" s="196"/>
      <c r="L15" s="566"/>
      <c r="M15" s="566"/>
      <c r="N15" s="566"/>
      <c r="O15" s="196"/>
      <c r="P15" s="196"/>
    </row>
    <row r="16" spans="1:16">
      <c r="A16" s="201"/>
      <c r="C16" s="196"/>
      <c r="D16" s="196"/>
      <c r="E16" s="196"/>
      <c r="F16" s="223"/>
      <c r="G16" s="196"/>
      <c r="H16" s="196"/>
      <c r="I16" s="196"/>
      <c r="J16" s="206"/>
      <c r="K16" s="196"/>
      <c r="L16" s="566"/>
      <c r="M16" s="566"/>
      <c r="N16" s="566"/>
      <c r="O16" s="196"/>
      <c r="P16" s="196"/>
    </row>
    <row r="17" spans="1:17">
      <c r="A17" s="201"/>
      <c r="C17" s="196"/>
      <c r="D17" s="196"/>
      <c r="E17" s="196"/>
      <c r="F17" s="223"/>
      <c r="G17" s="196"/>
      <c r="H17" s="196"/>
      <c r="I17" s="196"/>
      <c r="J17" s="206"/>
      <c r="K17" s="196"/>
      <c r="L17" s="566"/>
      <c r="M17" s="566"/>
      <c r="N17" s="566"/>
      <c r="O17" s="196"/>
      <c r="P17" s="196"/>
    </row>
    <row r="18" spans="1:17" ht="15.75" thickBot="1">
      <c r="A18" s="201" t="s">
        <v>5</v>
      </c>
      <c r="C18" s="208" t="s">
        <v>520</v>
      </c>
      <c r="D18" s="453" t="s">
        <v>492</v>
      </c>
      <c r="E18" s="209" t="s">
        <v>10</v>
      </c>
      <c r="F18" s="237"/>
      <c r="G18" s="211" t="s">
        <v>11</v>
      </c>
      <c r="H18" s="211"/>
      <c r="I18" s="196"/>
      <c r="J18" s="206"/>
      <c r="K18" s="196"/>
      <c r="L18" s="566"/>
      <c r="M18" s="566"/>
      <c r="N18" s="566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169317</v>
      </c>
      <c r="F19" s="220"/>
      <c r="G19" s="213" t="s">
        <v>12</v>
      </c>
      <c r="H19" s="214">
        <f>'Pg 6 of 8 Rev Cred Support'!E20</f>
        <v>1</v>
      </c>
      <c r="I19" s="213"/>
      <c r="J19" s="213">
        <f>H19*E19</f>
        <v>169317</v>
      </c>
      <c r="K19" s="196"/>
      <c r="L19" s="566"/>
      <c r="M19" s="566"/>
      <c r="N19" s="566"/>
      <c r="O19" s="196"/>
      <c r="P19" s="196"/>
    </row>
    <row r="20" spans="1:17">
      <c r="A20" s="201">
        <v>3</v>
      </c>
      <c r="C20" s="442" t="s">
        <v>521</v>
      </c>
      <c r="D20" s="210" t="s">
        <v>249</v>
      </c>
      <c r="E20" s="321">
        <f>J256</f>
        <v>268753.37999999803</v>
      </c>
      <c r="F20" s="220"/>
      <c r="G20" s="213" t="str">
        <f>G$19</f>
        <v>TP</v>
      </c>
      <c r="H20" s="214">
        <f>J$202</f>
        <v>0.95958396987002526</v>
      </c>
      <c r="I20" s="213"/>
      <c r="J20" s="215">
        <f>H20*E20</f>
        <v>257891.43529638555</v>
      </c>
      <c r="K20" s="304"/>
      <c r="L20" s="566"/>
      <c r="M20" s="566"/>
      <c r="N20" s="566"/>
      <c r="O20" s="196"/>
      <c r="P20" s="196"/>
    </row>
    <row r="21" spans="1:17" ht="15.75">
      <c r="A21" s="318">
        <v>4</v>
      </c>
      <c r="B21" s="2"/>
      <c r="C21" s="442" t="s">
        <v>522</v>
      </c>
      <c r="D21" s="459" t="s">
        <v>493</v>
      </c>
      <c r="E21" s="321">
        <f>'Pg 6 of 8 Rev Cred Support'!E44</f>
        <v>110839.5</v>
      </c>
      <c r="F21" s="785"/>
      <c r="G21" s="319" t="str">
        <f>G$19</f>
        <v>TP</v>
      </c>
      <c r="H21" s="320">
        <f>J$202</f>
        <v>0.95958396987002526</v>
      </c>
      <c r="I21" s="319"/>
      <c r="J21" s="321">
        <f>H21*E21</f>
        <v>106359.80742840866</v>
      </c>
      <c r="K21" s="196"/>
      <c r="L21" s="523"/>
      <c r="M21" s="566"/>
      <c r="N21" s="566"/>
      <c r="P21" s="196"/>
    </row>
    <row r="22" spans="1:17">
      <c r="A22" s="201">
        <v>5</v>
      </c>
      <c r="C22" s="309" t="s">
        <v>352</v>
      </c>
      <c r="D22" s="260"/>
      <c r="E22" s="712">
        <v>0</v>
      </c>
      <c r="F22" s="220"/>
      <c r="G22" s="213" t="str">
        <f>G$19</f>
        <v>TP</v>
      </c>
      <c r="H22" s="214">
        <f>J$202</f>
        <v>0.95958396987002526</v>
      </c>
      <c r="I22" s="213"/>
      <c r="J22" s="236">
        <f>H22*E22</f>
        <v>0</v>
      </c>
      <c r="K22" s="196"/>
      <c r="L22" s="566"/>
      <c r="M22" s="566"/>
      <c r="N22" s="566"/>
      <c r="P22" s="196"/>
    </row>
    <row r="23" spans="1:17">
      <c r="A23" s="201" t="s">
        <v>130</v>
      </c>
      <c r="C23" s="1" t="s">
        <v>404</v>
      </c>
      <c r="D23" s="260"/>
      <c r="E23" s="570">
        <f>'Appx B - RTEP'!X86</f>
        <v>0</v>
      </c>
      <c r="F23" s="220"/>
      <c r="G23" s="213" t="str">
        <f>G$19</f>
        <v>TP</v>
      </c>
      <c r="H23" s="214">
        <f>J$202</f>
        <v>0.95958396987002526</v>
      </c>
      <c r="I23" s="213"/>
      <c r="J23" s="322">
        <f>E23*H23</f>
        <v>0</v>
      </c>
      <c r="K23" s="196"/>
      <c r="L23" s="566"/>
      <c r="M23" s="566"/>
      <c r="N23" s="566"/>
      <c r="P23" s="196"/>
    </row>
    <row r="24" spans="1:17">
      <c r="A24" s="201">
        <v>6</v>
      </c>
      <c r="C24" s="212" t="s">
        <v>319</v>
      </c>
      <c r="D24" s="275"/>
      <c r="E24" s="216" t="s">
        <v>5</v>
      </c>
      <c r="F24" s="237"/>
      <c r="G24" s="210"/>
      <c r="H24" s="214"/>
      <c r="I24" s="210"/>
      <c r="J24" s="213">
        <f>SUM(J19:J22)</f>
        <v>533568.2427247942</v>
      </c>
      <c r="K24" s="196"/>
      <c r="L24" s="566"/>
      <c r="M24" s="566"/>
      <c r="N24" s="566"/>
      <c r="P24" s="196"/>
    </row>
    <row r="25" spans="1:17">
      <c r="A25" s="201" t="s">
        <v>415</v>
      </c>
      <c r="C25" s="212" t="s">
        <v>519</v>
      </c>
      <c r="D25" s="275" t="s">
        <v>494</v>
      </c>
      <c r="E25" s="216"/>
      <c r="F25" s="237"/>
      <c r="G25" s="210"/>
      <c r="H25" s="214"/>
      <c r="I25" s="210"/>
      <c r="J25" s="213">
        <v>0</v>
      </c>
      <c r="K25" s="196"/>
      <c r="L25" s="566"/>
      <c r="M25" s="566"/>
      <c r="N25" s="566"/>
      <c r="P25" s="566"/>
    </row>
    <row r="26" spans="1:17">
      <c r="A26" s="201"/>
      <c r="D26" s="196"/>
      <c r="E26" s="210" t="s">
        <v>5</v>
      </c>
      <c r="F26" s="223"/>
      <c r="G26" s="196"/>
      <c r="H26" s="214"/>
      <c r="I26" s="196"/>
      <c r="K26" s="196"/>
      <c r="L26" s="566"/>
      <c r="M26" s="566"/>
      <c r="N26" s="566"/>
      <c r="P26" s="196"/>
    </row>
    <row r="27" spans="1:17">
      <c r="A27" s="201"/>
      <c r="C27" s="212"/>
      <c r="D27" s="196"/>
      <c r="J27" s="210"/>
      <c r="K27" s="196"/>
      <c r="L27" s="566"/>
      <c r="M27" s="566"/>
      <c r="N27" s="566"/>
      <c r="P27" s="196"/>
    </row>
    <row r="28" spans="1:17" ht="16.5" thickBot="1">
      <c r="A28" s="201">
        <v>7</v>
      </c>
      <c r="C28" s="212" t="s">
        <v>13</v>
      </c>
      <c r="D28" s="196" t="s">
        <v>416</v>
      </c>
      <c r="E28" s="216" t="s">
        <v>5</v>
      </c>
      <c r="F28" s="237"/>
      <c r="G28" s="210"/>
      <c r="H28" s="210"/>
      <c r="I28" s="210"/>
      <c r="J28" s="732">
        <f>J15-J24+J25</f>
        <v>81032342.955338463</v>
      </c>
      <c r="K28" s="196"/>
      <c r="L28" s="523"/>
      <c r="M28" s="566"/>
      <c r="N28" s="749"/>
      <c r="O28" s="557"/>
      <c r="P28" s="556"/>
      <c r="Q28" s="555"/>
    </row>
    <row r="29" spans="1:17" ht="15.75" thickTop="1">
      <c r="A29" s="201"/>
      <c r="D29" s="196"/>
      <c r="E29" s="216"/>
      <c r="F29" s="237"/>
      <c r="G29" s="210"/>
      <c r="H29" s="210"/>
      <c r="I29" s="210"/>
      <c r="K29" s="196"/>
      <c r="L29" s="566"/>
      <c r="M29" s="566"/>
      <c r="N29" s="566"/>
      <c r="O29" s="561"/>
      <c r="P29" s="556"/>
      <c r="Q29" s="555"/>
    </row>
    <row r="30" spans="1:17">
      <c r="A30" s="201"/>
      <c r="C30" s="212" t="s">
        <v>250</v>
      </c>
      <c r="D30" s="196"/>
      <c r="E30" s="206"/>
      <c r="F30" s="223"/>
      <c r="G30" s="196"/>
      <c r="H30" s="196"/>
      <c r="I30" s="196"/>
      <c r="J30" s="206"/>
      <c r="K30" s="196"/>
      <c r="L30" s="566"/>
      <c r="M30" s="566"/>
      <c r="N30" s="566"/>
      <c r="P30" s="196"/>
    </row>
    <row r="31" spans="1:17" ht="15.75">
      <c r="A31" s="201">
        <v>8</v>
      </c>
      <c r="C31" s="302" t="s">
        <v>517</v>
      </c>
      <c r="D31" s="472" t="s">
        <v>495</v>
      </c>
      <c r="E31" s="303"/>
      <c r="F31" s="580"/>
      <c r="G31" s="304"/>
      <c r="H31" s="305"/>
      <c r="I31" s="304"/>
      <c r="J31" s="687">
        <f>MAX('Pg 8 of 8 Peak Load'!C35:N35)</f>
        <v>2681168.77</v>
      </c>
      <c r="K31" s="196"/>
      <c r="L31" s="523"/>
      <c r="M31" s="566"/>
      <c r="N31" s="566"/>
    </row>
    <row r="32" spans="1:17" ht="15.75">
      <c r="A32" s="201">
        <v>9</v>
      </c>
      <c r="C32" s="302" t="s">
        <v>518</v>
      </c>
      <c r="D32" s="472" t="s">
        <v>496</v>
      </c>
      <c r="E32" s="306"/>
      <c r="F32" s="577"/>
      <c r="G32" s="306"/>
      <c r="H32" s="306"/>
      <c r="I32" s="306"/>
      <c r="J32" s="687">
        <f>'Pg 8 of 8 Peak Load'!P35</f>
        <v>2203554</v>
      </c>
      <c r="K32" s="196"/>
      <c r="L32" s="523"/>
      <c r="M32" s="566"/>
      <c r="N32" s="566"/>
      <c r="O32" s="196"/>
    </row>
    <row r="33" spans="1:18">
      <c r="A33" s="201"/>
      <c r="C33" s="212"/>
      <c r="D33" s="196"/>
      <c r="E33" s="196"/>
      <c r="F33" s="223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20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20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20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20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622</v>
      </c>
      <c r="E38" s="207"/>
      <c r="F38" s="220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20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8">
        <f>IF(J31&gt;0,J28/J31,9)</f>
        <v>30.222768466506665</v>
      </c>
      <c r="F40" s="220"/>
      <c r="G40" s="207"/>
      <c r="H40" s="207"/>
      <c r="I40" s="207"/>
      <c r="J40" s="524"/>
      <c r="K40" s="502"/>
      <c r="L40" s="502"/>
      <c r="M40" s="304"/>
      <c r="N40"/>
      <c r="O40"/>
      <c r="P40"/>
      <c r="Q40"/>
      <c r="R40"/>
    </row>
    <row r="41" spans="1:18" ht="15.75">
      <c r="A41" s="201"/>
      <c r="C41" s="212"/>
      <c r="D41" s="196"/>
      <c r="E41" s="218"/>
      <c r="F41" s="220"/>
      <c r="G41" s="207"/>
      <c r="H41" s="207"/>
      <c r="I41" s="207"/>
      <c r="J41" s="525"/>
      <c r="K41" s="502"/>
      <c r="L41" s="502"/>
      <c r="M41" s="304"/>
      <c r="N41"/>
      <c r="O41"/>
      <c r="P41"/>
      <c r="Q41"/>
      <c r="R41"/>
    </row>
    <row r="42" spans="1:18" ht="15.75">
      <c r="A42" s="201">
        <v>16</v>
      </c>
      <c r="C42" s="212" t="s">
        <v>281</v>
      </c>
      <c r="D42" s="196" t="s">
        <v>282</v>
      </c>
      <c r="E42" s="218">
        <f>IF(J32&gt;0,J28/J32,9)</f>
        <v>36.773477280492543</v>
      </c>
      <c r="F42" s="220"/>
      <c r="G42" s="344"/>
      <c r="H42" s="207"/>
      <c r="I42" s="207"/>
      <c r="J42" s="525"/>
      <c r="K42" s="502"/>
      <c r="L42" s="502"/>
      <c r="M42" s="304"/>
      <c r="N42"/>
      <c r="O42"/>
      <c r="P42"/>
      <c r="Q42"/>
      <c r="R42"/>
    </row>
    <row r="43" spans="1:18" ht="15.75">
      <c r="A43" s="201"/>
      <c r="C43" s="212"/>
      <c r="D43" s="196"/>
      <c r="E43" s="218"/>
      <c r="F43" s="220"/>
      <c r="G43" s="522"/>
      <c r="H43" s="522"/>
      <c r="I43" s="207"/>
      <c r="J43" s="525"/>
      <c r="K43" s="502"/>
      <c r="L43" s="502"/>
      <c r="M43" s="304"/>
      <c r="N43"/>
      <c r="O43"/>
      <c r="P43"/>
      <c r="Q43"/>
      <c r="R43"/>
    </row>
    <row r="44" spans="1:18" ht="15.75">
      <c r="A44" s="201">
        <v>17</v>
      </c>
      <c r="C44" s="212" t="s">
        <v>283</v>
      </c>
      <c r="D44" s="196" t="s">
        <v>284</v>
      </c>
      <c r="E44" s="616">
        <f>ROUND(E40/12,9)</f>
        <v>2.5185640390000001</v>
      </c>
      <c r="F44" s="220"/>
      <c r="G44" s="522"/>
      <c r="H44" s="522"/>
      <c r="I44" s="207"/>
      <c r="J44" s="524"/>
      <c r="K44" s="502"/>
      <c r="L44" s="502"/>
      <c r="M44" s="304"/>
      <c r="N44"/>
      <c r="O44"/>
      <c r="P44"/>
      <c r="Q44"/>
      <c r="R44"/>
    </row>
    <row r="45" spans="1:18">
      <c r="A45" s="201"/>
      <c r="C45" s="212"/>
      <c r="D45" s="196"/>
      <c r="E45" s="616"/>
      <c r="F45" s="220"/>
      <c r="G45" s="522"/>
      <c r="H45" s="522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16">
        <f>ROUND($E$42/12,9)</f>
        <v>3.0644564399999998</v>
      </c>
      <c r="F46" s="220"/>
      <c r="G46" s="522"/>
      <c r="H46" s="522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20"/>
      <c r="G47" s="522"/>
      <c r="H47" s="522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2" t="s">
        <v>523</v>
      </c>
      <c r="F48" s="220"/>
      <c r="G48" s="220"/>
      <c r="I48" s="207"/>
      <c r="J48" s="452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8">
        <f>ROUND($E$42/52,9)</f>
        <v>0.70718225499999998</v>
      </c>
      <c r="F50" s="220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20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8">
        <f>ROUND($E$42/260,9)</f>
        <v>0.14143645099999999</v>
      </c>
      <c r="F52" s="220" t="s">
        <v>294</v>
      </c>
      <c r="G52" s="207"/>
      <c r="H52" s="207"/>
      <c r="I52" s="207"/>
      <c r="J52" s="218">
        <f>ROUND($E$42/365,9)</f>
        <v>0.100749253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20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2" t="s">
        <v>289</v>
      </c>
      <c r="D54" s="451" t="s">
        <v>292</v>
      </c>
      <c r="E54" s="388">
        <f>ROUND(($J$28/$J$32)/4160*1000,4)</f>
        <v>8.8398000000000003</v>
      </c>
      <c r="F54" s="220" t="s">
        <v>295</v>
      </c>
      <c r="G54" s="207"/>
      <c r="H54" s="207"/>
      <c r="I54" s="207"/>
      <c r="J54" s="218">
        <f>ROUND(($J$28/$J$32)/8760*1000,4)</f>
        <v>4.1978999999999997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88"/>
      <c r="F55" s="220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201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8">
      <c r="A57" s="190"/>
      <c r="C57" s="192"/>
      <c r="D57" s="192"/>
      <c r="E57" s="345"/>
      <c r="F57" s="201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201"/>
      <c r="G58" s="192"/>
      <c r="H58" s="192"/>
      <c r="I58" s="194"/>
      <c r="J58" s="195" t="s">
        <v>437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201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201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201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201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201"/>
      <c r="G63" s="192"/>
      <c r="H63" s="192"/>
      <c r="I63" s="194"/>
      <c r="J63" s="222" t="str">
        <f>J7</f>
        <v>For the 12 months ended 12/31/2020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201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2020 Form FF1 Data (ver. FINAL - AUDITED)</v>
      </c>
      <c r="B65" s="197"/>
      <c r="C65" s="198"/>
      <c r="D65" s="199"/>
      <c r="E65" s="197"/>
      <c r="F65" s="237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23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4" t="str">
        <f>$A$11</f>
        <v>East Kentucky Power Cooperative, Inc.</v>
      </c>
      <c r="B67" s="197"/>
      <c r="C67" s="200"/>
      <c r="D67" s="200"/>
      <c r="E67" s="197"/>
      <c r="F67" s="223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23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37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37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75" thickBot="1">
      <c r="A71" s="203" t="s">
        <v>8</v>
      </c>
      <c r="C71" s="242" t="s">
        <v>230</v>
      </c>
      <c r="D71" s="600" t="s">
        <v>23</v>
      </c>
      <c r="E71" s="209" t="s">
        <v>24</v>
      </c>
      <c r="F71" s="783"/>
      <c r="G71" s="211" t="s">
        <v>11</v>
      </c>
      <c r="H71" s="211"/>
      <c r="I71" s="245"/>
      <c r="J71" s="601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37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37"/>
      <c r="G73" s="210"/>
      <c r="H73" s="210"/>
      <c r="I73" s="210"/>
      <c r="J73" s="210"/>
      <c r="K73" s="210"/>
      <c r="L73" s="210"/>
      <c r="M73" s="196"/>
      <c r="N73" s="237"/>
      <c r="O73" s="210"/>
      <c r="P73" s="212"/>
    </row>
    <row r="74" spans="1:16">
      <c r="A74" s="201"/>
      <c r="C74" s="212" t="s">
        <v>25</v>
      </c>
      <c r="D74" s="210"/>
      <c r="E74" s="210"/>
      <c r="F74" s="237"/>
      <c r="G74" s="210"/>
      <c r="H74" s="210"/>
      <c r="I74" s="210"/>
      <c r="J74" s="210"/>
      <c r="K74" s="210"/>
      <c r="L74" s="210"/>
      <c r="M74" s="196"/>
      <c r="N74" s="783"/>
      <c r="O74" s="210"/>
      <c r="P74" s="212"/>
    </row>
    <row r="75" spans="1:16">
      <c r="A75" s="201">
        <v>1</v>
      </c>
      <c r="C75" s="212" t="s">
        <v>26</v>
      </c>
      <c r="D75" s="210" t="s">
        <v>463</v>
      </c>
      <c r="E75" s="770">
        <f>3329718096-44033143</f>
        <v>3285684953</v>
      </c>
      <c r="F75" s="786"/>
      <c r="G75" s="210" t="s">
        <v>27</v>
      </c>
      <c r="H75" s="230" t="s">
        <v>5</v>
      </c>
      <c r="I75" s="210"/>
      <c r="J75" s="215" t="s">
        <v>5</v>
      </c>
      <c r="K75" s="210"/>
      <c r="L75" s="770"/>
      <c r="M75" s="196"/>
      <c r="N75" s="475"/>
      <c r="O75" s="210"/>
      <c r="P75" s="212"/>
    </row>
    <row r="76" spans="1:16">
      <c r="A76" s="201">
        <v>2</v>
      </c>
      <c r="C76" s="212" t="s">
        <v>28</v>
      </c>
      <c r="D76" s="306" t="s">
        <v>446</v>
      </c>
      <c r="E76" s="712">
        <v>683032765</v>
      </c>
      <c r="F76" s="786"/>
      <c r="G76" s="210" t="s">
        <v>12</v>
      </c>
      <c r="H76" s="230">
        <f>J202</f>
        <v>0.95958396987002526</v>
      </c>
      <c r="I76" s="210"/>
      <c r="J76" s="213">
        <f>ROUND(H76*E76,0)</f>
        <v>655427292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6" t="s">
        <v>447</v>
      </c>
      <c r="E77" s="712">
        <v>272469248</v>
      </c>
      <c r="F77" s="786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6" t="s">
        <v>448</v>
      </c>
      <c r="E78" s="712">
        <f>2338352+142961978</f>
        <v>145300330</v>
      </c>
      <c r="F78" s="786"/>
      <c r="G78" s="210" t="s">
        <v>31</v>
      </c>
      <c r="H78" s="230">
        <f>J220</f>
        <v>0.17027437771148612</v>
      </c>
      <c r="I78" s="210"/>
      <c r="J78" s="215">
        <f>ROUND(H78*E78,0)</f>
        <v>24740923</v>
      </c>
      <c r="K78" s="210"/>
      <c r="L78" s="210"/>
      <c r="M78" s="210"/>
      <c r="N78" s="2"/>
      <c r="O78" s="223"/>
      <c r="P78" s="212"/>
    </row>
    <row r="79" spans="1:16" ht="15.75" thickBot="1">
      <c r="A79" s="201">
        <v>5</v>
      </c>
      <c r="C79" s="212" t="s">
        <v>32</v>
      </c>
      <c r="D79" s="306"/>
      <c r="E79" s="532">
        <v>0</v>
      </c>
      <c r="F79" s="577"/>
      <c r="G79" s="210" t="s">
        <v>79</v>
      </c>
      <c r="H79" s="230">
        <f>L225</f>
        <v>0</v>
      </c>
      <c r="I79" s="210"/>
      <c r="J79" s="231">
        <f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4386487296</v>
      </c>
      <c r="F80" s="577"/>
      <c r="G80" s="210" t="s">
        <v>34</v>
      </c>
      <c r="H80" s="232">
        <f>IF(J80&gt;0,J80/E80,0)</f>
        <v>0.15505988484686586</v>
      </c>
      <c r="I80" s="210"/>
      <c r="J80" s="213">
        <f>SUM(J75:J79)</f>
        <v>680168215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577"/>
      <c r="G81" s="210"/>
      <c r="H81" s="233"/>
      <c r="I81" s="210"/>
      <c r="J81" s="215"/>
      <c r="K81" s="210"/>
      <c r="L81" s="233"/>
      <c r="M81" s="196"/>
      <c r="N81" s="306"/>
      <c r="O81" s="210"/>
      <c r="P81" s="212"/>
    </row>
    <row r="82" spans="1:16">
      <c r="C82" s="212" t="s">
        <v>35</v>
      </c>
      <c r="D82" s="210"/>
      <c r="E82" s="215"/>
      <c r="F82" s="577"/>
      <c r="G82" s="210"/>
      <c r="H82" s="210"/>
      <c r="I82" s="210"/>
      <c r="J82" s="215"/>
      <c r="K82" s="210"/>
      <c r="L82" s="210"/>
      <c r="M82" s="196"/>
      <c r="N82" s="306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70">
        <f>988564526+267743030</f>
        <v>1256307556</v>
      </c>
      <c r="F83" s="786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6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12">
        <v>190653178</v>
      </c>
      <c r="F84" s="786"/>
      <c r="G84" s="210" t="str">
        <f>G76</f>
        <v>TP</v>
      </c>
      <c r="H84" s="230">
        <f>H76</f>
        <v>0.95958396987002526</v>
      </c>
      <c r="I84" s="210"/>
      <c r="J84" s="213">
        <f>ROUND(H84*E84,0)</f>
        <v>182947733</v>
      </c>
      <c r="K84" s="210"/>
      <c r="L84" s="210"/>
      <c r="M84" s="196"/>
      <c r="N84" s="306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12">
        <v>92207503</v>
      </c>
      <c r="F85" s="786"/>
      <c r="G85" s="210" t="str">
        <f t="shared" ref="G85:H87" si="0">G77</f>
        <v>NA</v>
      </c>
      <c r="H85" s="230" t="str">
        <f t="shared" si="0"/>
        <v xml:space="preserve"> </v>
      </c>
      <c r="I85" s="210"/>
      <c r="J85" s="215" t="s">
        <v>5</v>
      </c>
      <c r="K85" s="210"/>
      <c r="L85" s="210"/>
      <c r="M85" s="196"/>
      <c r="N85" s="306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12">
        <v>101406957</v>
      </c>
      <c r="F86" s="786"/>
      <c r="G86" s="210" t="str">
        <f t="shared" si="0"/>
        <v>W/S</v>
      </c>
      <c r="H86" s="230">
        <f t="shared" si="0"/>
        <v>0.17027437771148612</v>
      </c>
      <c r="I86" s="210"/>
      <c r="J86" s="215">
        <f>ROUND(H86*E86,0)</f>
        <v>17267006</v>
      </c>
      <c r="K86" s="210"/>
      <c r="L86" s="210"/>
      <c r="M86" s="196"/>
      <c r="N86" s="306"/>
      <c r="O86" s="223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06"/>
      <c r="E87" s="532">
        <v>0</v>
      </c>
      <c r="F87" s="237"/>
      <c r="G87" s="210" t="str">
        <f t="shared" si="0"/>
        <v>CE</v>
      </c>
      <c r="H87" s="230">
        <f t="shared" si="0"/>
        <v>0</v>
      </c>
      <c r="I87" s="210"/>
      <c r="J87" s="231">
        <f>ROUND(H87*E87,0)</f>
        <v>0</v>
      </c>
      <c r="K87" s="210"/>
      <c r="L87" s="210"/>
      <c r="M87" s="196"/>
      <c r="N87" s="306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1640575194</v>
      </c>
      <c r="F88" s="237"/>
      <c r="G88" s="210"/>
      <c r="H88" s="210"/>
      <c r="I88" s="210"/>
      <c r="J88" s="213">
        <f>SUM(J83:J87)</f>
        <v>200214739</v>
      </c>
      <c r="K88" s="210"/>
      <c r="L88" s="210"/>
      <c r="M88" s="196"/>
      <c r="N88" s="456"/>
      <c r="O88" s="210"/>
      <c r="P88" s="212"/>
    </row>
    <row r="89" spans="1:16">
      <c r="A89" s="201"/>
      <c r="D89" s="210" t="s">
        <v>5</v>
      </c>
      <c r="E89" s="215"/>
      <c r="F89" s="237"/>
      <c r="G89" s="210"/>
      <c r="H89" s="233"/>
      <c r="I89" s="210"/>
      <c r="J89" s="215"/>
      <c r="K89" s="210"/>
      <c r="L89" s="233"/>
      <c r="M89" s="196"/>
      <c r="N89" s="306"/>
      <c r="O89" s="210"/>
      <c r="P89" s="212"/>
    </row>
    <row r="90" spans="1:16">
      <c r="A90" s="201"/>
      <c r="C90" s="212" t="s">
        <v>37</v>
      </c>
      <c r="D90" s="210"/>
      <c r="E90" s="215"/>
      <c r="F90" s="237"/>
      <c r="G90" s="210"/>
      <c r="H90" s="210"/>
      <c r="I90" s="210"/>
      <c r="J90" s="215"/>
      <c r="K90" s="210"/>
      <c r="L90" s="210"/>
      <c r="M90" s="196"/>
      <c r="N90" s="306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2029377397</v>
      </c>
      <c r="F91" s="237"/>
      <c r="G91" s="210"/>
      <c r="H91" s="233"/>
      <c r="I91" s="210"/>
      <c r="J91" s="215" t="s">
        <v>5</v>
      </c>
      <c r="K91" s="210"/>
      <c r="L91" s="233"/>
      <c r="M91" s="196"/>
      <c r="N91" s="306"/>
      <c r="O91" s="210"/>
      <c r="P91" s="212"/>
    </row>
    <row r="92" spans="1:16">
      <c r="A92" s="201">
        <v>14</v>
      </c>
      <c r="C92" s="442" t="s">
        <v>48</v>
      </c>
      <c r="D92" s="210" t="s">
        <v>273</v>
      </c>
      <c r="E92" s="215">
        <f>E76-E84</f>
        <v>492379587</v>
      </c>
      <c r="F92" s="237"/>
      <c r="G92" s="210"/>
      <c r="H92" s="230"/>
      <c r="I92" s="210"/>
      <c r="J92" s="213">
        <f>J76-J84</f>
        <v>472479559</v>
      </c>
      <c r="K92" s="210"/>
      <c r="L92" s="233"/>
      <c r="M92" s="196"/>
      <c r="N92" s="306"/>
      <c r="O92" s="210"/>
      <c r="P92" s="212"/>
    </row>
    <row r="93" spans="1:16" hidden="1">
      <c r="A93" s="201"/>
      <c r="C93" s="421"/>
      <c r="D93" s="210"/>
      <c r="E93" s="215"/>
      <c r="F93" s="237"/>
      <c r="G93" s="210"/>
      <c r="H93" s="230"/>
      <c r="I93" s="210"/>
      <c r="J93" s="213"/>
      <c r="K93" s="210"/>
      <c r="L93" s="233"/>
      <c r="M93" s="196"/>
      <c r="N93" s="306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180261745</v>
      </c>
      <c r="F94" s="237"/>
      <c r="G94" s="210"/>
      <c r="H94" s="233"/>
      <c r="I94" s="210"/>
      <c r="J94" s="215" t="s">
        <v>5</v>
      </c>
      <c r="K94" s="210"/>
      <c r="L94" s="233"/>
      <c r="M94" s="196"/>
      <c r="N94" s="306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43893373</v>
      </c>
      <c r="F95" s="237"/>
      <c r="G95" s="210"/>
      <c r="H95" s="233"/>
      <c r="I95" s="210"/>
      <c r="J95" s="215">
        <f>J78-J86</f>
        <v>7473917</v>
      </c>
      <c r="K95" s="210"/>
      <c r="L95" s="233"/>
      <c r="M95" s="196"/>
      <c r="N95" s="306"/>
      <c r="O95" s="223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37"/>
      <c r="G96" s="210"/>
      <c r="H96" s="233"/>
      <c r="I96" s="210"/>
      <c r="J96" s="231">
        <f>J79-J87</f>
        <v>0</v>
      </c>
      <c r="K96" s="210"/>
      <c r="L96" s="233"/>
      <c r="M96" s="196"/>
      <c r="N96" s="306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2745912102</v>
      </c>
      <c r="F97" s="237"/>
      <c r="G97" s="210" t="s">
        <v>42</v>
      </c>
      <c r="H97" s="233">
        <f>IF(J97&gt;0,J97/E97,0)</f>
        <v>0.17478836108789617</v>
      </c>
      <c r="I97" s="210"/>
      <c r="J97" s="213">
        <f>SUM(J91:J96)</f>
        <v>479953476</v>
      </c>
      <c r="K97" s="210"/>
      <c r="L97" s="210"/>
      <c r="M97" s="196"/>
      <c r="N97" s="457"/>
      <c r="O97" s="210"/>
      <c r="P97" s="212"/>
    </row>
    <row r="98" spans="1:16">
      <c r="A98" s="201"/>
      <c r="D98" s="210"/>
      <c r="E98" s="215"/>
      <c r="F98" s="237"/>
      <c r="I98" s="210"/>
      <c r="J98" s="215"/>
      <c r="K98" s="210"/>
      <c r="L98" s="233"/>
      <c r="M98" s="196"/>
      <c r="N98" s="306"/>
      <c r="O98" s="210"/>
      <c r="P98" s="212"/>
    </row>
    <row r="99" spans="1:16">
      <c r="A99" s="201"/>
      <c r="C99" s="443" t="s">
        <v>455</v>
      </c>
      <c r="D99" s="210"/>
      <c r="E99" s="215"/>
      <c r="F99" s="237"/>
      <c r="G99" s="210"/>
      <c r="H99" s="210"/>
      <c r="I99" s="210"/>
      <c r="J99" s="215"/>
      <c r="K99" s="210"/>
      <c r="L99" s="210"/>
      <c r="M99" s="196"/>
      <c r="N99" s="458"/>
      <c r="O99" s="210"/>
      <c r="P99" s="212"/>
    </row>
    <row r="100" spans="1:16">
      <c r="A100" s="201">
        <v>19</v>
      </c>
      <c r="C100" s="212" t="s">
        <v>115</v>
      </c>
      <c r="D100" s="306" t="s">
        <v>449</v>
      </c>
      <c r="E100" s="319">
        <v>0</v>
      </c>
      <c r="F100" s="237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6" t="s">
        <v>450</v>
      </c>
      <c r="E101" s="570">
        <v>0</v>
      </c>
      <c r="F101" s="237"/>
      <c r="G101" s="210" t="s">
        <v>43</v>
      </c>
      <c r="H101" s="230">
        <f>H97</f>
        <v>0.17478836108789617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6" t="s">
        <v>451</v>
      </c>
      <c r="E102" s="570">
        <v>0</v>
      </c>
      <c r="F102" s="237"/>
      <c r="G102" s="210" t="s">
        <v>43</v>
      </c>
      <c r="H102" s="230">
        <f>H101</f>
        <v>0.17478836108789617</v>
      </c>
      <c r="I102" s="210"/>
      <c r="J102" s="215">
        <f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6" t="s">
        <v>452</v>
      </c>
      <c r="E103" s="534">
        <v>0</v>
      </c>
      <c r="F103" s="237"/>
      <c r="G103" s="210" t="str">
        <f>G102</f>
        <v>NP</v>
      </c>
      <c r="H103" s="230">
        <f>H102</f>
        <v>0.17478836108789617</v>
      </c>
      <c r="I103" s="210"/>
      <c r="J103" s="215">
        <f>ROUND(H103*E103,0)</f>
        <v>0</v>
      </c>
      <c r="K103" s="210"/>
      <c r="L103" s="233"/>
      <c r="M103" s="196"/>
      <c r="N103" s="2"/>
      <c r="O103" s="223"/>
      <c r="P103" s="212"/>
    </row>
    <row r="104" spans="1:16" ht="15.75" thickBot="1">
      <c r="A104" s="201">
        <v>23</v>
      </c>
      <c r="C104" s="191" t="s">
        <v>118</v>
      </c>
      <c r="D104" s="2" t="s">
        <v>453</v>
      </c>
      <c r="E104" s="532">
        <v>0</v>
      </c>
      <c r="F104" s="237"/>
      <c r="G104" s="210" t="s">
        <v>43</v>
      </c>
      <c r="H104" s="230">
        <f>H102</f>
        <v>0.17478836108789617</v>
      </c>
      <c r="I104" s="210"/>
      <c r="J104" s="231">
        <f>ROUND(H104*E104,0)</f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6"/>
      <c r="E105" s="319">
        <f>SUM(E100:E104)</f>
        <v>0</v>
      </c>
      <c r="F105" s="237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6"/>
      <c r="O105" s="210"/>
      <c r="P105" s="212"/>
    </row>
    <row r="106" spans="1:16">
      <c r="A106" s="201"/>
      <c r="D106" s="306"/>
      <c r="E106" s="570"/>
      <c r="F106" s="237"/>
      <c r="G106" s="210"/>
      <c r="H106" s="233"/>
      <c r="I106" s="210"/>
      <c r="J106" s="215"/>
      <c r="K106" s="210"/>
      <c r="L106" s="233"/>
      <c r="M106" s="196"/>
      <c r="N106" s="306"/>
      <c r="O106" s="210"/>
      <c r="P106" s="212"/>
    </row>
    <row r="107" spans="1:16">
      <c r="A107" s="201">
        <v>25</v>
      </c>
      <c r="C107" s="235" t="s">
        <v>516</v>
      </c>
      <c r="D107" s="306" t="s">
        <v>528</v>
      </c>
      <c r="E107" s="319">
        <f>'P 2 of 8 Land Held for Future'!C23</f>
        <v>0</v>
      </c>
      <c r="F107" s="237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6"/>
      <c r="O107" s="210"/>
      <c r="P107" s="212"/>
    </row>
    <row r="108" spans="1:16">
      <c r="A108" s="201"/>
      <c r="C108" s="212"/>
      <c r="D108" s="210"/>
      <c r="E108" s="570"/>
      <c r="F108" s="237"/>
      <c r="G108" s="210"/>
      <c r="H108" s="210"/>
      <c r="I108" s="210"/>
      <c r="J108" s="215"/>
      <c r="K108" s="210"/>
      <c r="L108" s="210"/>
      <c r="M108" s="196"/>
      <c r="N108" s="306"/>
      <c r="O108" s="210"/>
      <c r="P108" s="212"/>
    </row>
    <row r="109" spans="1:16">
      <c r="A109" s="201"/>
      <c r="C109" s="449" t="s">
        <v>457</v>
      </c>
      <c r="D109" s="210" t="s">
        <v>5</v>
      </c>
      <c r="E109" s="570"/>
      <c r="F109" s="237"/>
      <c r="G109" s="210"/>
      <c r="H109" s="210"/>
      <c r="I109" s="210"/>
      <c r="J109" s="215"/>
      <c r="K109" s="210"/>
      <c r="L109" s="210"/>
      <c r="M109" s="196"/>
      <c r="N109" s="306"/>
      <c r="O109" s="210"/>
      <c r="P109" s="212"/>
    </row>
    <row r="110" spans="1:16">
      <c r="A110" s="201">
        <v>26</v>
      </c>
      <c r="C110" s="442" t="s">
        <v>515</v>
      </c>
      <c r="D110" s="191" t="s">
        <v>529</v>
      </c>
      <c r="E110" s="319">
        <f>ROUND(E145/8,0)</f>
        <v>9446734</v>
      </c>
      <c r="F110" s="237"/>
      <c r="G110" s="210"/>
      <c r="H110" s="233"/>
      <c r="I110" s="210"/>
      <c r="J110" s="215">
        <f>ROUND(J145/8,0)</f>
        <v>5049114</v>
      </c>
      <c r="K110" s="196"/>
      <c r="L110" s="233"/>
      <c r="M110" s="196"/>
      <c r="N110" s="442"/>
      <c r="O110" s="223"/>
      <c r="P110" s="212"/>
    </row>
    <row r="111" spans="1:16">
      <c r="A111" s="201">
        <v>27</v>
      </c>
      <c r="C111" s="449" t="s">
        <v>458</v>
      </c>
      <c r="D111" s="210" t="s">
        <v>454</v>
      </c>
      <c r="E111" s="570">
        <f>'Pg 1 of 8 M&amp;S Alloc'!I16</f>
        <v>25832831</v>
      </c>
      <c r="F111" s="237"/>
      <c r="G111" s="210" t="s">
        <v>44</v>
      </c>
      <c r="H111" s="230">
        <f>J212</f>
        <v>0.88298492960255115</v>
      </c>
      <c r="I111" s="210"/>
      <c r="J111" s="215">
        <f>ROUND(H111*E111,0)</f>
        <v>22810000</v>
      </c>
      <c r="K111" s="210" t="s">
        <v>5</v>
      </c>
      <c r="L111" s="233"/>
      <c r="M111" s="196"/>
      <c r="N111" s="459"/>
      <c r="O111" s="223"/>
    </row>
    <row r="112" spans="1:16" ht="15.75" thickBot="1">
      <c r="A112" s="201">
        <v>28</v>
      </c>
      <c r="C112" s="442" t="s">
        <v>514</v>
      </c>
      <c r="D112" s="210" t="s">
        <v>530</v>
      </c>
      <c r="E112" s="802">
        <v>6693551</v>
      </c>
      <c r="F112" s="786"/>
      <c r="G112" s="210" t="s">
        <v>45</v>
      </c>
      <c r="H112" s="230">
        <f>H80</f>
        <v>0.15505988484686586</v>
      </c>
      <c r="I112" s="210"/>
      <c r="J112" s="231">
        <f>ROUND(H112*E112,0)</f>
        <v>1037901</v>
      </c>
      <c r="K112" s="210"/>
      <c r="M112" s="196"/>
      <c r="N112" s="459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41973116</v>
      </c>
      <c r="F113" s="223"/>
      <c r="G113" s="196"/>
      <c r="H113" s="196"/>
      <c r="I113" s="196"/>
      <c r="J113" s="213">
        <f>J110+J111+J112</f>
        <v>28897015</v>
      </c>
      <c r="K113" s="196"/>
      <c r="L113" s="196"/>
      <c r="M113" s="196"/>
      <c r="N113" s="234"/>
      <c r="O113" s="210"/>
      <c r="P113" s="212"/>
    </row>
    <row r="114" spans="1:16" ht="15.75" thickBot="1">
      <c r="D114" s="210"/>
      <c r="E114" s="231"/>
      <c r="F114" s="237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8">
        <f>E113+E107+E105+E97</f>
        <v>2787885218</v>
      </c>
      <c r="F115" s="237"/>
      <c r="G115" s="210"/>
      <c r="H115" s="233"/>
      <c r="I115" s="210"/>
      <c r="J115" s="238">
        <f>J113+J107+J105+J97</f>
        <v>508850491</v>
      </c>
      <c r="K115" s="210"/>
      <c r="L115" s="233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37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201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201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201"/>
      <c r="G119" s="192"/>
      <c r="H119" s="192"/>
      <c r="I119" s="194"/>
      <c r="J119" s="195" t="s">
        <v>436</v>
      </c>
      <c r="M119" s="195"/>
      <c r="N119" s="196"/>
      <c r="O119" s="196"/>
      <c r="P119" s="196"/>
    </row>
    <row r="120" spans="1:16">
      <c r="C120" s="192"/>
      <c r="D120" s="192"/>
      <c r="E120" s="193"/>
      <c r="F120" s="201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201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201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201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201"/>
      <c r="G124" s="192"/>
      <c r="H124" s="192"/>
      <c r="I124" s="194"/>
      <c r="J124" s="222" t="str">
        <f>J7</f>
        <v>For the 12 months ended 12/31/2020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201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2020 Form FF1 Data (ver. FINAL - AUDITED)</v>
      </c>
      <c r="B126" s="197"/>
      <c r="C126" s="198"/>
      <c r="D126" s="199"/>
      <c r="E126" s="197"/>
      <c r="F126" s="237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23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4" t="str">
        <f>$A$11</f>
        <v>East Kentucky Power Cooperative, Inc.</v>
      </c>
      <c r="B128" s="197"/>
      <c r="C128" s="200"/>
      <c r="D128" s="200"/>
      <c r="E128" s="197"/>
      <c r="F128" s="223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3" t="s">
        <v>16</v>
      </c>
      <c r="D130" s="223" t="s">
        <v>17</v>
      </c>
      <c r="E130" s="223" t="s">
        <v>18</v>
      </c>
      <c r="F130" s="237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75">
      <c r="A131" s="240" t="s">
        <v>6</v>
      </c>
      <c r="C131" s="212"/>
      <c r="D131" s="237" t="s">
        <v>21</v>
      </c>
      <c r="E131" s="210"/>
      <c r="F131" s="237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75">
      <c r="A132" s="203" t="s">
        <v>8</v>
      </c>
      <c r="B132" s="241"/>
      <c r="C132" s="242"/>
      <c r="D132" s="243" t="s">
        <v>23</v>
      </c>
      <c r="E132" s="244" t="s">
        <v>24</v>
      </c>
      <c r="F132" s="783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75">
      <c r="C133" s="212"/>
      <c r="D133" s="210"/>
      <c r="E133" s="250"/>
      <c r="F133" s="787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37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50" t="s">
        <v>464</v>
      </c>
      <c r="E135" s="213">
        <f>'Pg 4 of 8 Sch 1 Charges 561'!D28</f>
        <v>53532627</v>
      </c>
      <c r="F135" s="237"/>
      <c r="G135" s="210" t="s">
        <v>44</v>
      </c>
      <c r="H135" s="230">
        <f>J212</f>
        <v>0.88298492960255115</v>
      </c>
      <c r="I135" s="210"/>
      <c r="J135" s="213">
        <f>ROUND(H135*E135,0)</f>
        <v>47268503</v>
      </c>
      <c r="K135" s="196"/>
      <c r="L135" s="210"/>
      <c r="M135" s="210"/>
      <c r="N135" s="2"/>
      <c r="O135" s="496"/>
      <c r="P135" s="306"/>
      <c r="Q135" s="2"/>
    </row>
    <row r="136" spans="1:29">
      <c r="A136" s="201">
        <v>2</v>
      </c>
      <c r="C136" s="252" t="s">
        <v>2</v>
      </c>
      <c r="D136" s="450" t="s">
        <v>465</v>
      </c>
      <c r="E136" s="712">
        <v>15602396</v>
      </c>
      <c r="F136" s="786"/>
      <c r="G136" s="210" t="s">
        <v>44</v>
      </c>
      <c r="H136" s="230">
        <f>J$212</f>
        <v>0.88298492960255115</v>
      </c>
      <c r="I136" s="210"/>
      <c r="J136" s="215">
        <f t="shared" ref="J136:J144" si="1">ROUND(H136*E136,0)</f>
        <v>13776681</v>
      </c>
      <c r="K136" s="196"/>
      <c r="M136" s="210"/>
      <c r="N136" s="2"/>
      <c r="O136" s="496"/>
      <c r="P136" s="306"/>
      <c r="Q136" s="2"/>
    </row>
    <row r="137" spans="1:29">
      <c r="A137" s="201">
        <v>3</v>
      </c>
      <c r="C137" s="212" t="s">
        <v>49</v>
      </c>
      <c r="D137" s="450" t="s">
        <v>466</v>
      </c>
      <c r="E137" s="570">
        <f>'Pg 4 of 8 Sch 1 Charges 561'!D19</f>
        <v>39311769</v>
      </c>
      <c r="F137" s="237"/>
      <c r="G137" s="210" t="s">
        <v>31</v>
      </c>
      <c r="H137" s="230">
        <f>$J$220</f>
        <v>0.17027437771148612</v>
      </c>
      <c r="I137" s="210"/>
      <c r="J137" s="215">
        <f t="shared" si="1"/>
        <v>6693787</v>
      </c>
      <c r="K137" s="210"/>
      <c r="L137" s="210" t="s">
        <v>5</v>
      </c>
      <c r="M137" s="210"/>
      <c r="N137" s="2"/>
      <c r="O137" s="306"/>
      <c r="P137" s="442"/>
      <c r="Q137" s="2"/>
    </row>
    <row r="138" spans="1:29">
      <c r="A138" s="201">
        <v>4</v>
      </c>
      <c r="C138" s="252" t="s">
        <v>276</v>
      </c>
      <c r="D138" s="306" t="s">
        <v>456</v>
      </c>
      <c r="E138" s="570">
        <v>0</v>
      </c>
      <c r="F138" s="237"/>
      <c r="G138" s="210" t="s">
        <v>31</v>
      </c>
      <c r="H138" s="230">
        <f>$J$220</f>
        <v>0.17027437771148612</v>
      </c>
      <c r="I138" s="210"/>
      <c r="J138" s="215">
        <f t="shared" si="1"/>
        <v>0</v>
      </c>
      <c r="K138" s="210"/>
      <c r="L138" s="210"/>
      <c r="M138" s="210"/>
      <c r="N138" s="2"/>
      <c r="O138" s="496"/>
      <c r="P138" s="442"/>
      <c r="Q138" s="2"/>
    </row>
    <row r="139" spans="1:29">
      <c r="A139" s="201">
        <v>5</v>
      </c>
      <c r="C139" s="302" t="s">
        <v>480</v>
      </c>
      <c r="D139" s="459" t="s">
        <v>497</v>
      </c>
      <c r="E139" s="570">
        <f>'Pg 3 of 8 G&amp;A Adj'!D19</f>
        <v>290087</v>
      </c>
      <c r="F139" s="577"/>
      <c r="G139" s="306" t="s">
        <v>31</v>
      </c>
      <c r="H139" s="383">
        <f>$J$220</f>
        <v>0.17027437771148612</v>
      </c>
      <c r="I139" s="306"/>
      <c r="J139" s="321">
        <f t="shared" si="1"/>
        <v>49394</v>
      </c>
      <c r="K139" s="306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3" t="s">
        <v>479</v>
      </c>
      <c r="D140" s="459" t="s">
        <v>497</v>
      </c>
      <c r="E140" s="570">
        <f>'Pg 3 of 8 G&amp;A Adj'!D22</f>
        <v>1668748</v>
      </c>
      <c r="F140" s="577"/>
      <c r="G140" s="306"/>
      <c r="H140" s="383"/>
      <c r="I140" s="306"/>
      <c r="J140" s="321"/>
      <c r="K140" s="306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3" t="s">
        <v>478</v>
      </c>
      <c r="C141" s="302" t="s">
        <v>481</v>
      </c>
      <c r="D141" s="459" t="s">
        <v>497</v>
      </c>
      <c r="E141" s="570">
        <f>'Pg 3 of 8 G&amp;A Adj'!D28</f>
        <v>290710.02725728694</v>
      </c>
      <c r="F141" s="577"/>
      <c r="G141" s="393" t="str">
        <f>G135</f>
        <v>TE</v>
      </c>
      <c r="H141" s="383">
        <f>H135</f>
        <v>0.88298492960255115</v>
      </c>
      <c r="I141" s="306"/>
      <c r="J141" s="321">
        <f t="shared" si="1"/>
        <v>256693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4" t="s">
        <v>539</v>
      </c>
      <c r="C142" s="473" t="s">
        <v>540</v>
      </c>
      <c r="D142" s="459" t="s">
        <v>497</v>
      </c>
      <c r="E142" s="570">
        <f>'Pg 3 of 8 G&amp;A Adj'!D39</f>
        <v>0</v>
      </c>
      <c r="F142" s="577"/>
      <c r="G142" s="393"/>
      <c r="H142" s="383"/>
      <c r="I142" s="306"/>
      <c r="J142" s="321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12">
        <v>0</v>
      </c>
      <c r="F143" s="237"/>
      <c r="G143" s="210" t="s">
        <v>79</v>
      </c>
      <c r="H143" s="230">
        <f>H87</f>
        <v>0</v>
      </c>
      <c r="I143" s="210"/>
      <c r="J143" s="215">
        <f t="shared" si="1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32">
        <v>0</v>
      </c>
      <c r="F144" s="237"/>
      <c r="G144" s="210" t="s">
        <v>5</v>
      </c>
      <c r="H144" s="230">
        <v>1</v>
      </c>
      <c r="I144" s="210"/>
      <c r="J144" s="231">
        <f t="shared" si="1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19">
        <f>E135-E136+E137-E138-E139-E140+E141+E143+E144+E142</f>
        <v>75573875.027257293</v>
      </c>
      <c r="F145" s="237"/>
      <c r="G145" s="210"/>
      <c r="H145" s="210"/>
      <c r="I145" s="210"/>
      <c r="J145" s="213">
        <f>J135-J136+J137-J138-J139+J141+J143+J144+J142</f>
        <v>40392908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70"/>
      <c r="F146" s="237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70"/>
      <c r="F147" s="237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325</v>
      </c>
      <c r="E148" s="770">
        <v>9908603</v>
      </c>
      <c r="F148" s="786"/>
      <c r="G148" s="210" t="s">
        <v>12</v>
      </c>
      <c r="H148" s="230">
        <f>J202</f>
        <v>0.95958396987002526</v>
      </c>
      <c r="I148" s="210"/>
      <c r="J148" s="213">
        <f>ROUND(H148*E148,0)</f>
        <v>9508137</v>
      </c>
      <c r="K148" s="210"/>
      <c r="M148" s="210"/>
      <c r="N148" s="210"/>
      <c r="O148" s="223"/>
      <c r="P148" s="210"/>
    </row>
    <row r="149" spans="1:19">
      <c r="A149" s="201">
        <v>10</v>
      </c>
      <c r="C149" s="212" t="s">
        <v>538</v>
      </c>
      <c r="D149" s="210" t="s">
        <v>326</v>
      </c>
      <c r="E149" s="712">
        <f>9242699+57175</f>
        <v>9299874</v>
      </c>
      <c r="F149" s="786"/>
      <c r="G149" s="210" t="s">
        <v>31</v>
      </c>
      <c r="H149" s="230">
        <f>H137</f>
        <v>0.17027437771148612</v>
      </c>
      <c r="I149" s="210"/>
      <c r="J149" s="215">
        <f>ROUND(H149*E149,0)</f>
        <v>1583530</v>
      </c>
      <c r="K149" s="210"/>
      <c r="M149" s="210"/>
      <c r="N149" s="210"/>
      <c r="O149" s="223"/>
      <c r="P149" s="210"/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327</v>
      </c>
      <c r="E150" s="532">
        <v>0</v>
      </c>
      <c r="F150" s="577"/>
      <c r="G150" s="210" t="s">
        <v>79</v>
      </c>
      <c r="H150" s="230">
        <f>H143</f>
        <v>0</v>
      </c>
      <c r="I150" s="210"/>
      <c r="J150" s="231">
        <f>ROUND(H150*E150,0)</f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19">
        <f>SUM(E148:E150)</f>
        <v>19208477</v>
      </c>
      <c r="F151" s="237"/>
      <c r="G151" s="210"/>
      <c r="H151" s="210"/>
      <c r="I151" s="210"/>
      <c r="J151" s="213">
        <f>SUM(J148:J150)</f>
        <v>11091667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6"/>
      <c r="E152" s="570"/>
      <c r="F152" s="237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513</v>
      </c>
      <c r="D153" s="472"/>
      <c r="E153" s="570"/>
      <c r="F153" s="237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70"/>
      <c r="F154" s="237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75">
      <c r="A155" s="318">
        <v>13</v>
      </c>
      <c r="C155" s="495" t="s">
        <v>545</v>
      </c>
      <c r="D155" s="306" t="s">
        <v>498</v>
      </c>
      <c r="E155" s="319">
        <v>0</v>
      </c>
      <c r="F155" s="577"/>
      <c r="G155" s="306" t="s">
        <v>31</v>
      </c>
      <c r="H155" s="383">
        <f>$J$220</f>
        <v>0.17027437771148612</v>
      </c>
      <c r="I155" s="306"/>
      <c r="J155" s="319">
        <f>ROUND(H155*E155,0)</f>
        <v>0</v>
      </c>
      <c r="K155" s="306"/>
      <c r="L155" s="554"/>
      <c r="M155" s="567"/>
      <c r="N155" s="571"/>
      <c r="O155" s="571"/>
      <c r="P155" s="571"/>
      <c r="Q155" s="571"/>
      <c r="R155" s="561"/>
      <c r="S155" s="561"/>
    </row>
    <row r="156" spans="1:19">
      <c r="A156" s="201">
        <v>14</v>
      </c>
      <c r="C156" s="254" t="s">
        <v>277</v>
      </c>
      <c r="D156" s="306" t="s">
        <v>498</v>
      </c>
      <c r="E156" s="570">
        <v>0</v>
      </c>
      <c r="F156" s="237"/>
      <c r="G156" s="210" t="s">
        <v>31</v>
      </c>
      <c r="H156" s="230">
        <f>$J$220</f>
        <v>0.17027437771148612</v>
      </c>
      <c r="I156" s="210"/>
      <c r="J156" s="215">
        <f>ROUND(H156*E156,0)</f>
        <v>0</v>
      </c>
      <c r="K156" s="210"/>
      <c r="L156" s="553"/>
      <c r="M156" s="567"/>
      <c r="N156" s="577"/>
      <c r="O156" s="536"/>
      <c r="P156" s="574"/>
      <c r="Q156" s="561"/>
      <c r="R156" s="561"/>
      <c r="S156" s="561"/>
    </row>
    <row r="157" spans="1:19">
      <c r="A157" s="201">
        <v>15</v>
      </c>
      <c r="C157" s="212" t="s">
        <v>54</v>
      </c>
      <c r="D157" s="306" t="s">
        <v>5</v>
      </c>
      <c r="E157" s="570"/>
      <c r="F157" s="237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8">
        <v>16</v>
      </c>
      <c r="C158" s="442" t="s">
        <v>546</v>
      </c>
      <c r="D158" s="306" t="s">
        <v>498</v>
      </c>
      <c r="E158" s="570">
        <v>0</v>
      </c>
      <c r="F158" s="577"/>
      <c r="G158" s="306" t="s">
        <v>45</v>
      </c>
      <c r="H158" s="320">
        <f>H80</f>
        <v>0.15505988484686586</v>
      </c>
      <c r="I158" s="306"/>
      <c r="J158" s="321">
        <f>ROUND(H158*E158,0)</f>
        <v>0</v>
      </c>
      <c r="K158" s="306"/>
      <c r="L158" s="458"/>
      <c r="M158" s="306"/>
      <c r="N158" s="489"/>
      <c r="O158" s="496"/>
      <c r="P158" s="442"/>
    </row>
    <row r="159" spans="1:19" s="561" customFormat="1">
      <c r="A159" s="568">
        <v>17</v>
      </c>
      <c r="C159" s="574" t="s">
        <v>55</v>
      </c>
      <c r="D159" s="567"/>
      <c r="E159" s="570">
        <v>0</v>
      </c>
      <c r="F159" s="577"/>
      <c r="G159" s="567" t="str">
        <f>G100</f>
        <v>NA</v>
      </c>
      <c r="H159" s="581" t="s">
        <v>27</v>
      </c>
      <c r="I159" s="567"/>
      <c r="J159" s="570">
        <v>0</v>
      </c>
      <c r="K159" s="567"/>
      <c r="L159" s="575"/>
      <c r="M159" s="567"/>
      <c r="N159" s="576"/>
      <c r="O159" s="576"/>
      <c r="P159" s="580"/>
      <c r="Q159" s="574"/>
    </row>
    <row r="160" spans="1:19" s="561" customFormat="1">
      <c r="A160" s="568">
        <v>18</v>
      </c>
      <c r="C160" s="574" t="s">
        <v>56</v>
      </c>
      <c r="D160" s="567"/>
      <c r="E160" s="570">
        <v>0</v>
      </c>
      <c r="F160" s="577"/>
      <c r="G160" s="567" t="str">
        <f>G158</f>
        <v>GP</v>
      </c>
      <c r="H160" s="569">
        <f>H158</f>
        <v>0.15505988484686586</v>
      </c>
      <c r="I160" s="567"/>
      <c r="J160" s="570">
        <f>ROUND(H160*E160,0)</f>
        <v>0</v>
      </c>
      <c r="K160" s="567"/>
      <c r="L160" s="575"/>
      <c r="M160" s="567"/>
      <c r="N160" s="576"/>
      <c r="O160" s="576"/>
      <c r="P160" s="580"/>
      <c r="Q160" s="574"/>
    </row>
    <row r="161" spans="1:17" ht="15.75" thickBot="1">
      <c r="A161" s="201">
        <v>19</v>
      </c>
      <c r="C161" s="212" t="s">
        <v>57</v>
      </c>
      <c r="D161" s="210"/>
      <c r="E161" s="532">
        <v>0</v>
      </c>
      <c r="F161" s="237"/>
      <c r="G161" s="210" t="s">
        <v>45</v>
      </c>
      <c r="H161" s="214">
        <f>H158</f>
        <v>0.15505988484686586</v>
      </c>
      <c r="I161" s="210"/>
      <c r="J161" s="231">
        <f>ROUND(H161*E161,0)</f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37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37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37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512</v>
      </c>
      <c r="D165" s="459" t="s">
        <v>499</v>
      </c>
      <c r="E165" s="210"/>
      <c r="F165" s="237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37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37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37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37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37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37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59"/>
      <c r="E172" s="231">
        <f>E168*E169</f>
        <v>0</v>
      </c>
      <c r="F172" s="237"/>
      <c r="G172" s="191" t="s">
        <v>43</v>
      </c>
      <c r="H172" s="214">
        <f>H97</f>
        <v>0.17478836108789617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37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37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389</v>
      </c>
      <c r="E176" s="213">
        <f>J243*E115</f>
        <v>164809337.92450416</v>
      </c>
      <c r="F176" s="237"/>
      <c r="G176" s="210" t="s">
        <v>27</v>
      </c>
      <c r="H176" s="255"/>
      <c r="I176" s="210"/>
      <c r="J176" s="213">
        <f>J243*J115</f>
        <v>30081336.198063254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37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75" thickBot="1">
      <c r="A178" s="201">
        <v>29</v>
      </c>
      <c r="C178" s="212" t="s">
        <v>264</v>
      </c>
      <c r="D178" s="210"/>
      <c r="E178" s="238">
        <f>E176+E173+E162+E151+E145</f>
        <v>259591689.95176145</v>
      </c>
      <c r="F178" s="273"/>
      <c r="G178" s="264"/>
      <c r="H178" s="264"/>
      <c r="I178" s="264"/>
      <c r="J178" s="238">
        <f>J176+J173+J162+J151+J145</f>
        <v>81565911.198063254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4"/>
      <c r="F179" s="237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37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201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201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201"/>
      <c r="G183" s="192"/>
      <c r="H183" s="192"/>
      <c r="I183" s="194"/>
      <c r="J183" s="195" t="s">
        <v>435</v>
      </c>
      <c r="M183" s="195"/>
      <c r="N183" s="196"/>
      <c r="O183" s="196"/>
      <c r="P183" s="196"/>
    </row>
    <row r="184" spans="1:16">
      <c r="C184" s="192"/>
      <c r="D184" s="192"/>
      <c r="E184" s="193"/>
      <c r="F184" s="201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201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201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201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201"/>
      <c r="G188" s="192"/>
      <c r="H188" s="192"/>
      <c r="I188" s="194"/>
      <c r="J188" s="222" t="str">
        <f>J7</f>
        <v>For the 12 months ended 12/31/2020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201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2020 Form FF1 Data (ver. FINAL - AUDITED)</v>
      </c>
      <c r="B190" s="197"/>
      <c r="C190" s="198"/>
      <c r="D190" s="199"/>
      <c r="E190" s="197"/>
      <c r="F190" s="237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23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4" t="str">
        <f>$A$11</f>
        <v>East Kentucky Power Cooperative, Inc.</v>
      </c>
      <c r="B192" s="197"/>
      <c r="C192" s="200"/>
      <c r="D192" s="200"/>
      <c r="E192" s="197"/>
      <c r="F192" s="223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5" t="s">
        <v>227</v>
      </c>
      <c r="B193" s="197"/>
      <c r="C193" s="197"/>
      <c r="D193" s="197"/>
      <c r="E193" s="197"/>
      <c r="F193" s="223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7"/>
      <c r="D194" s="196"/>
      <c r="E194" s="196"/>
      <c r="F194" s="223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1"/>
      <c r="C195" s="266" t="s">
        <v>253</v>
      </c>
      <c r="D195" s="196"/>
      <c r="E195" s="196"/>
      <c r="F195" s="223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223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37"/>
      <c r="G197" s="210"/>
      <c r="H197" s="210"/>
      <c r="I197" s="210"/>
      <c r="J197" s="215">
        <f>E76</f>
        <v>683032765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43" t="s">
        <v>459</v>
      </c>
      <c r="J198" s="215">
        <v>0</v>
      </c>
      <c r="K198" s="210"/>
      <c r="L198" s="210"/>
      <c r="M198" s="210"/>
      <c r="N198" s="304"/>
      <c r="O198" s="306"/>
      <c r="P198" s="502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74" t="s">
        <v>511</v>
      </c>
      <c r="D199" s="526" t="s">
        <v>553</v>
      </c>
      <c r="E199" s="527"/>
      <c r="F199" s="237"/>
      <c r="G199" s="210"/>
      <c r="H199" s="237"/>
      <c r="I199" s="210"/>
      <c r="J199" s="231">
        <f>'Pg 5 of 8 Trans Plant In OATT'!C21</f>
        <v>27605472.809999999</v>
      </c>
      <c r="K199" s="210"/>
      <c r="M199" s="210"/>
      <c r="N199" s="306"/>
      <c r="O199" s="304"/>
      <c r="P199" s="502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37"/>
      <c r="G200" s="210"/>
      <c r="H200" s="237"/>
      <c r="I200" s="210"/>
      <c r="J200" s="215">
        <f>J197-J198-J199</f>
        <v>655427292.19000006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37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25"/>
      <c r="G202" s="268"/>
      <c r="H202" s="225"/>
      <c r="I202" s="210" t="s">
        <v>64</v>
      </c>
      <c r="J202" s="269">
        <f>IF(J197&gt;0,J200/J197,0)</f>
        <v>0.95958396987002526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223"/>
      <c r="G206" s="196"/>
      <c r="H206" s="223"/>
      <c r="I206" s="196"/>
      <c r="J206" s="215">
        <f>E135</f>
        <v>53532627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74" t="s">
        <v>510</v>
      </c>
      <c r="D207" s="526" t="s">
        <v>500</v>
      </c>
      <c r="E207" s="267"/>
      <c r="F207" s="272"/>
      <c r="G207" s="210"/>
      <c r="H207" s="210"/>
      <c r="I207" s="210"/>
      <c r="J207" s="231">
        <f>'Pg 4 of 8 Sch 1 Charges 561'!D42</f>
        <v>4273255.8899999997</v>
      </c>
      <c r="K207" s="210"/>
      <c r="M207" s="306"/>
      <c r="N207" s="306"/>
      <c r="O207" s="306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25"/>
      <c r="G208" s="268"/>
      <c r="H208" s="225"/>
      <c r="I208" s="268"/>
      <c r="J208" s="215">
        <f>J206-J207</f>
        <v>49259371.109999999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37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37"/>
      <c r="G210" s="210"/>
      <c r="H210" s="210"/>
      <c r="I210" s="210"/>
      <c r="J210" s="230">
        <f>IF(J206&gt;0,J208/J206,0)</f>
        <v>0.92017473960319562</v>
      </c>
      <c r="L210" s="2"/>
      <c r="M210" s="306"/>
      <c r="N210" s="306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37"/>
      <c r="G211" s="210"/>
      <c r="H211" s="210"/>
      <c r="I211" s="196" t="s">
        <v>12</v>
      </c>
      <c r="J211" s="270">
        <f>J202</f>
        <v>0.95958396987002526</v>
      </c>
      <c r="L211" s="2"/>
      <c r="M211" s="306"/>
      <c r="N211" s="306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223"/>
      <c r="G212" s="196"/>
      <c r="H212" s="196"/>
      <c r="I212" s="196" t="s">
        <v>63</v>
      </c>
      <c r="J212" s="271">
        <f>J211*J210</f>
        <v>0.88298492960255115</v>
      </c>
      <c r="L212" s="2"/>
      <c r="M212" s="306"/>
      <c r="N212" s="306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37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7" t="s">
        <v>65</v>
      </c>
      <c r="D214" s="210"/>
      <c r="E214" s="210"/>
      <c r="F214" s="237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12">
        <v>40929414</v>
      </c>
      <c r="F216" s="788">
        <v>0</v>
      </c>
      <c r="G216" s="786"/>
      <c r="H216" s="215">
        <f>E216*F216</f>
        <v>0</v>
      </c>
      <c r="I216" s="210"/>
      <c r="J216" s="210"/>
      <c r="K216" s="210"/>
      <c r="L216" s="776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12">
        <v>12487542</v>
      </c>
      <c r="F217" s="788">
        <f>J202</f>
        <v>0.95958396987002526</v>
      </c>
      <c r="G217" s="786"/>
      <c r="H217" s="215">
        <f>E217*F217</f>
        <v>11982845.126278674</v>
      </c>
      <c r="I217" s="210"/>
      <c r="J217" s="210"/>
      <c r="K217" s="210"/>
      <c r="L217" s="776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12">
        <v>986827</v>
      </c>
      <c r="F218" s="788">
        <v>0</v>
      </c>
      <c r="G218" s="786"/>
      <c r="H218" s="215">
        <f>E218*F218</f>
        <v>0</v>
      </c>
      <c r="I218" s="210"/>
      <c r="J218" s="273" t="s">
        <v>70</v>
      </c>
      <c r="K218" s="210"/>
      <c r="L218" s="776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328</v>
      </c>
      <c r="E219" s="802">
        <f>1645472+21508+14302979</f>
        <v>15969959</v>
      </c>
      <c r="F219" s="788">
        <v>0</v>
      </c>
      <c r="G219" s="786"/>
      <c r="H219" s="231">
        <f>E219*F219</f>
        <v>0</v>
      </c>
      <c r="I219" s="210"/>
      <c r="J219" s="209" t="s">
        <v>72</v>
      </c>
      <c r="K219" s="210"/>
      <c r="L219" s="776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70373742</v>
      </c>
      <c r="F220" s="237"/>
      <c r="G220" s="210"/>
      <c r="H220" s="215">
        <f>SUM(H216:H219)</f>
        <v>11982845.126278674</v>
      </c>
      <c r="I220" s="223" t="s">
        <v>73</v>
      </c>
      <c r="J220" s="230">
        <f>IF(H220&gt;0,H220/E220,0)</f>
        <v>0.17027437771148612</v>
      </c>
      <c r="K220"/>
      <c r="L220"/>
      <c r="M220" s="306"/>
      <c r="N220" s="306"/>
      <c r="O220" s="210"/>
      <c r="P220" s="212"/>
    </row>
    <row r="221" spans="1:24">
      <c r="A221" s="201"/>
      <c r="C221" s="212"/>
      <c r="D221" s="210"/>
      <c r="E221" s="210"/>
      <c r="F221" s="237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75">
      <c r="A222" s="201"/>
      <c r="C222" s="227" t="s">
        <v>261</v>
      </c>
      <c r="D222" s="210"/>
      <c r="E222" s="210"/>
      <c r="F222" s="237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37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2">
        <v>1</v>
      </c>
      <c r="F224" s="237"/>
      <c r="H224" s="201" t="s">
        <v>77</v>
      </c>
      <c r="I224" s="274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2">
        <v>0</v>
      </c>
      <c r="F225" s="237"/>
      <c r="H225" s="214">
        <f>IF(E227&gt;0,E224/E227,0)</f>
        <v>1</v>
      </c>
      <c r="I225" s="237" t="s">
        <v>81</v>
      </c>
      <c r="J225" s="214">
        <f>J220</f>
        <v>0.17027437771148612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6" t="s">
        <v>82</v>
      </c>
      <c r="D226" s="267" t="s">
        <v>147</v>
      </c>
      <c r="E226" s="343">
        <v>0</v>
      </c>
      <c r="F226" s="237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1">
        <f>E224+E225+E226</f>
        <v>1</v>
      </c>
      <c r="F227" s="237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37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7" t="s">
        <v>83</v>
      </c>
      <c r="D229" s="210"/>
      <c r="E229" s="210"/>
      <c r="F229" s="237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329</v>
      </c>
      <c r="E230" s="210"/>
      <c r="F230" s="237"/>
      <c r="G230" s="210"/>
      <c r="H230" s="210"/>
      <c r="I230" s="210"/>
      <c r="J230" s="323">
        <f>'Pg 7 of 8 Cap Str'!C18</f>
        <v>100921595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37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37"/>
      <c r="G232" s="210"/>
      <c r="H232" s="210"/>
      <c r="I232" s="210"/>
      <c r="J232" s="339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37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7" t="s">
        <v>502</v>
      </c>
      <c r="D234" s="210"/>
      <c r="E234" s="210"/>
      <c r="F234" s="237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471</v>
      </c>
      <c r="D235" s="2" t="s">
        <v>552</v>
      </c>
      <c r="J235" s="475">
        <f>'Pg 7 of 8 Cap Str'!C24</f>
        <v>2560757416</v>
      </c>
      <c r="K235"/>
      <c r="L235"/>
      <c r="M235" s="306"/>
      <c r="N235" s="306"/>
      <c r="O235" s="306"/>
      <c r="P235" s="442"/>
      <c r="Q235" s="2"/>
      <c r="R235" s="2"/>
    </row>
    <row r="236" spans="1:18">
      <c r="A236" s="201">
        <v>24</v>
      </c>
      <c r="B236" s="194"/>
      <c r="C236" s="306" t="s">
        <v>506</v>
      </c>
      <c r="D236" s="2" t="s">
        <v>503</v>
      </c>
      <c r="E236" s="194"/>
      <c r="F236" s="237"/>
      <c r="G236" s="210"/>
      <c r="H236" s="210"/>
      <c r="I236" s="210"/>
      <c r="J236" s="215">
        <f>'Pg 7 of 8 Cap Str'!C25</f>
        <v>744291460</v>
      </c>
      <c r="K236"/>
      <c r="L236"/>
      <c r="M236" s="306"/>
      <c r="N236" s="306"/>
      <c r="O236" s="306"/>
      <c r="P236" s="442"/>
      <c r="Q236" s="2"/>
      <c r="R236" s="2"/>
    </row>
    <row r="237" spans="1:18" ht="15.75" thickBot="1">
      <c r="A237" s="201">
        <v>25</v>
      </c>
      <c r="B237" s="194"/>
      <c r="C237" s="306" t="s">
        <v>504</v>
      </c>
      <c r="D237" s="2" t="s">
        <v>505</v>
      </c>
      <c r="E237" s="210"/>
      <c r="F237" s="237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6" t="s">
        <v>560</v>
      </c>
      <c r="E238" s="305" t="s">
        <v>85</v>
      </c>
      <c r="F238" s="568"/>
      <c r="G238" s="305"/>
      <c r="H238" s="305"/>
      <c r="I238" s="194"/>
      <c r="J238" s="360">
        <f>J235+J236+J237</f>
        <v>3305048876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6"/>
      <c r="E239" s="306"/>
      <c r="F239" s="577"/>
      <c r="G239" s="306"/>
      <c r="H239" s="489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28" t="s">
        <v>67</v>
      </c>
      <c r="F240" s="528" t="s">
        <v>86</v>
      </c>
      <c r="G240" s="306"/>
      <c r="H240" s="528" t="s">
        <v>556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460</v>
      </c>
      <c r="D241" s="529" t="s">
        <v>509</v>
      </c>
      <c r="E241" s="321">
        <f>J235</f>
        <v>2560757416</v>
      </c>
      <c r="F241" s="789">
        <f>E241/E243</f>
        <v>0.77480167830353142</v>
      </c>
      <c r="G241" s="530"/>
      <c r="H241" s="531">
        <f>'Pg 7 of 8 Cap Str'!E24</f>
        <v>3.9410837734736838E-2</v>
      </c>
      <c r="J241" s="361">
        <f>F241*H241</f>
        <v>3.0535583220222248E-2</v>
      </c>
      <c r="K241"/>
      <c r="L241"/>
      <c r="M241" s="210"/>
      <c r="N241" s="306"/>
      <c r="O241" s="210"/>
      <c r="P241" s="212"/>
    </row>
    <row r="242" spans="1:23" ht="16.5" thickBot="1">
      <c r="A242" s="201">
        <v>28</v>
      </c>
      <c r="C242" s="210" t="s">
        <v>330</v>
      </c>
      <c r="D242" s="472" t="s">
        <v>501</v>
      </c>
      <c r="E242" s="532">
        <f>J236</f>
        <v>744291460</v>
      </c>
      <c r="F242" s="789">
        <f>E242/E243</f>
        <v>0.22519832169646861</v>
      </c>
      <c r="G242" s="530"/>
      <c r="H242" s="533">
        <f>'Pg 7 of 8 Cap Str'!E25</f>
        <v>0.12691334982684815</v>
      </c>
      <c r="J242" s="362">
        <f>F242*H242</f>
        <v>2.8580673381883009E-2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387</v>
      </c>
      <c r="D243" s="472"/>
      <c r="E243" s="534">
        <f>E241+E242</f>
        <v>3305048876</v>
      </c>
      <c r="F243" s="789"/>
      <c r="G243" s="530"/>
      <c r="H243" s="598" t="s">
        <v>599</v>
      </c>
      <c r="J243" s="364">
        <f>J241+J242</f>
        <v>5.911625660210526E-2</v>
      </c>
      <c r="K243"/>
      <c r="L243"/>
      <c r="M243" s="210"/>
      <c r="N243" s="210"/>
      <c r="O243" s="210"/>
      <c r="P243" s="212"/>
    </row>
    <row r="244" spans="1:23">
      <c r="D244" s="472"/>
      <c r="E244" s="2"/>
      <c r="F244" s="379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508</v>
      </c>
      <c r="D245" s="472" t="s">
        <v>557</v>
      </c>
      <c r="E245" s="321"/>
      <c r="F245" s="577" t="s">
        <v>5</v>
      </c>
      <c r="G245" s="306"/>
      <c r="H245" s="535" t="s">
        <v>388</v>
      </c>
      <c r="I245" s="228"/>
      <c r="J245" s="363">
        <f>J243/H241</f>
        <v>1.5</v>
      </c>
      <c r="M245" s="210"/>
      <c r="N245" s="210"/>
      <c r="O245" s="210"/>
      <c r="P245" s="212"/>
    </row>
    <row r="246" spans="1:23" ht="15.75">
      <c r="C246" s="277"/>
      <c r="D246" s="472"/>
      <c r="E246" s="2"/>
      <c r="F246" s="379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7" t="s">
        <v>88</v>
      </c>
      <c r="D247" s="193"/>
      <c r="E247" s="194"/>
      <c r="F247" s="201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201"/>
      <c r="G248" s="192"/>
      <c r="H248" s="192"/>
      <c r="I248" s="192"/>
      <c r="J248" s="278"/>
      <c r="K248" s="240"/>
      <c r="O248" s="210"/>
      <c r="P248" s="212"/>
    </row>
    <row r="249" spans="1:23">
      <c r="A249" s="201"/>
      <c r="C249" s="235" t="s">
        <v>421</v>
      </c>
      <c r="D249" s="193"/>
      <c r="E249" s="194" t="s">
        <v>89</v>
      </c>
      <c r="F249" s="201"/>
      <c r="G249" s="194"/>
      <c r="H249" s="194" t="s">
        <v>5</v>
      </c>
      <c r="J249" s="617"/>
      <c r="K249" s="278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331</v>
      </c>
      <c r="D250" s="193"/>
      <c r="E250" s="194"/>
      <c r="G250" s="194"/>
      <c r="H250" s="2"/>
      <c r="J250" s="742">
        <v>0</v>
      </c>
      <c r="K250" s="279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0" t="s">
        <v>266</v>
      </c>
      <c r="D251" s="454"/>
      <c r="E251" s="280"/>
      <c r="F251" s="209"/>
      <c r="G251" s="281"/>
      <c r="H251" s="281"/>
      <c r="I251" s="194"/>
      <c r="J251" s="743">
        <f>J249-J250</f>
        <v>0</v>
      </c>
      <c r="K251" s="282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36"/>
      <c r="E252" s="2"/>
      <c r="F252" s="568"/>
      <c r="G252" s="194"/>
      <c r="H252" s="194"/>
      <c r="I252" s="194"/>
      <c r="J252" s="284">
        <f>J250-J251</f>
        <v>0</v>
      </c>
      <c r="K252" s="279"/>
      <c r="O252" s="210"/>
      <c r="P252" s="212"/>
    </row>
    <row r="253" spans="1:23">
      <c r="A253" s="201"/>
      <c r="C253" s="191" t="s">
        <v>5</v>
      </c>
      <c r="D253" s="536"/>
      <c r="E253" s="2"/>
      <c r="F253" s="568"/>
      <c r="G253" s="194"/>
      <c r="H253" s="283"/>
      <c r="I253" s="194"/>
      <c r="K253" s="278"/>
      <c r="L253" s="285"/>
      <c r="M253" s="210"/>
      <c r="N253" s="237"/>
      <c r="O253" s="210"/>
      <c r="P253" s="212"/>
    </row>
    <row r="254" spans="1:23">
      <c r="A254" s="201">
        <v>34</v>
      </c>
      <c r="C254" s="235" t="s">
        <v>507</v>
      </c>
      <c r="D254" s="536" t="s">
        <v>558</v>
      </c>
      <c r="E254" s="2"/>
      <c r="F254" s="568"/>
      <c r="G254" s="194"/>
      <c r="H254" s="286"/>
      <c r="I254" s="194"/>
      <c r="J254" s="476">
        <f>ROUND('Pg 6 of 8 Rev Cred Support'!E24,0)</f>
        <v>169317</v>
      </c>
      <c r="K254" s="278"/>
      <c r="L254" s="285"/>
      <c r="M254" s="210"/>
      <c r="N254" s="237"/>
      <c r="O254" s="210"/>
      <c r="P254" s="260"/>
    </row>
    <row r="255" spans="1:23">
      <c r="A255" s="201"/>
      <c r="D255" s="305"/>
      <c r="E255" s="305"/>
      <c r="F255" s="568"/>
      <c r="G255" s="194"/>
      <c r="H255" s="194"/>
      <c r="I255" s="194"/>
      <c r="J255" s="284"/>
      <c r="K255" s="278"/>
      <c r="L255" s="488"/>
      <c r="M255" s="306"/>
      <c r="N255" s="489"/>
      <c r="O255" s="306"/>
      <c r="P255" s="237"/>
    </row>
    <row r="256" spans="1:23">
      <c r="A256" s="201">
        <v>35</v>
      </c>
      <c r="C256" s="443" t="s">
        <v>461</v>
      </c>
      <c r="D256" s="305" t="s">
        <v>559</v>
      </c>
      <c r="E256" s="305"/>
      <c r="F256" s="568"/>
      <c r="G256" s="194"/>
      <c r="H256" s="194"/>
      <c r="I256" s="194"/>
      <c r="J256" s="476">
        <f>'Pg 6 of 8 Rev Cred Support'!E46</f>
        <v>268753.37999999803</v>
      </c>
      <c r="L256" s="490"/>
      <c r="M256" s="306"/>
      <c r="N256" s="459"/>
      <c r="O256" s="304"/>
      <c r="P256" s="237"/>
    </row>
    <row r="257" spans="1:16">
      <c r="A257" s="201"/>
      <c r="C257" s="192"/>
      <c r="D257" s="337"/>
      <c r="E257" s="537"/>
      <c r="F257" s="568"/>
      <c r="G257" s="192"/>
      <c r="H257" s="192"/>
      <c r="I257" s="194"/>
      <c r="K257" s="201"/>
      <c r="L257" s="491"/>
      <c r="M257" s="318"/>
      <c r="N257" s="304"/>
      <c r="O257" s="304"/>
      <c r="P257" s="196"/>
    </row>
    <row r="258" spans="1:16">
      <c r="C258" s="192"/>
      <c r="D258" s="337"/>
      <c r="E258" s="537"/>
      <c r="F258" s="568"/>
      <c r="G258" s="192"/>
      <c r="H258" s="192"/>
      <c r="I258" s="194"/>
      <c r="L258" s="2"/>
      <c r="M258" s="492"/>
      <c r="N258" s="304"/>
      <c r="O258" s="304"/>
      <c r="P258" s="196"/>
    </row>
    <row r="259" spans="1:16">
      <c r="C259" s="192"/>
      <c r="D259" s="337"/>
      <c r="E259" s="537"/>
      <c r="F259" s="568"/>
      <c r="G259" s="192"/>
      <c r="H259" s="192"/>
      <c r="I259" s="194"/>
      <c r="L259" s="2"/>
      <c r="M259" s="492"/>
      <c r="N259" s="304"/>
      <c r="O259" s="304"/>
      <c r="P259" s="196"/>
    </row>
    <row r="260" spans="1:16" ht="18">
      <c r="A260" s="190"/>
      <c r="C260" s="192"/>
      <c r="D260" s="192"/>
      <c r="E260" s="193"/>
      <c r="F260" s="201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201"/>
      <c r="G261" s="192"/>
      <c r="H261" s="192"/>
      <c r="I261" s="194"/>
      <c r="J261" s="195" t="s">
        <v>434</v>
      </c>
      <c r="M261" s="195"/>
      <c r="N261" s="196"/>
      <c r="O261" s="196"/>
      <c r="P261" s="196"/>
    </row>
    <row r="262" spans="1:16">
      <c r="C262" s="192"/>
      <c r="D262" s="192"/>
      <c r="E262" s="193"/>
      <c r="F262" s="201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201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201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201"/>
      <c r="G265" s="192"/>
      <c r="H265" s="192"/>
      <c r="I265" s="194"/>
      <c r="J265" s="222" t="str">
        <f>$J$7</f>
        <v>For the 12 months ended 12/31/2020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201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22" t="str">
        <f>$A$8</f>
        <v>Rate Formula Template</v>
      </c>
      <c r="B267" s="822"/>
      <c r="C267" s="822"/>
      <c r="D267" s="822"/>
      <c r="E267" s="822"/>
      <c r="F267" s="822"/>
      <c r="G267" s="822"/>
      <c r="H267" s="822"/>
      <c r="I267" s="822"/>
      <c r="J267" s="822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2020 Form FF1 Data (ver. FINAL - AUDITED)</v>
      </c>
      <c r="B268" s="197"/>
      <c r="C268" s="198"/>
      <c r="D268" s="199"/>
      <c r="E268" s="197"/>
      <c r="F268" s="237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23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21" t="str">
        <f>$A$11</f>
        <v>East Kentucky Power Cooperative, Inc.</v>
      </c>
      <c r="B270" s="821"/>
      <c r="C270" s="821"/>
      <c r="D270" s="821"/>
      <c r="E270" s="821"/>
      <c r="F270" s="821"/>
      <c r="G270" s="821"/>
      <c r="H270" s="821"/>
      <c r="I270" s="821"/>
      <c r="J270" s="821"/>
      <c r="K270" s="194"/>
      <c r="L270" s="200"/>
      <c r="M270" s="194"/>
      <c r="N270" s="201"/>
      <c r="O270" s="196"/>
      <c r="P270" s="196"/>
    </row>
    <row r="271" spans="1:16" ht="15.75">
      <c r="A271" s="471"/>
      <c r="B271" s="194"/>
      <c r="C271" s="287"/>
      <c r="D271" s="201"/>
      <c r="E271" s="210"/>
      <c r="F271" s="237"/>
      <c r="G271" s="210"/>
      <c r="H271" s="210"/>
      <c r="I271" s="194"/>
      <c r="J271" s="210"/>
      <c r="K271" s="194"/>
      <c r="L271" s="288"/>
      <c r="M271" s="194"/>
      <c r="N271" s="201"/>
      <c r="O271" s="196"/>
      <c r="P271" s="196"/>
    </row>
    <row r="272" spans="1:16" ht="20.25">
      <c r="A272" s="201"/>
      <c r="B272" s="194"/>
      <c r="C272" s="277" t="s">
        <v>91</v>
      </c>
      <c r="D272" s="226"/>
      <c r="E272" s="210"/>
      <c r="F272" s="237"/>
      <c r="G272" s="210"/>
      <c r="H272" s="210"/>
      <c r="I272" s="194"/>
      <c r="J272" s="210"/>
      <c r="K272" s="194"/>
      <c r="L272" s="210"/>
      <c r="M272" s="289"/>
      <c r="N272" s="290"/>
      <c r="O272" s="196"/>
      <c r="P272" s="196"/>
    </row>
    <row r="273" spans="1:20" ht="20.25">
      <c r="A273" s="201" t="s">
        <v>93</v>
      </c>
      <c r="B273" s="194"/>
      <c r="C273" s="277" t="s">
        <v>92</v>
      </c>
      <c r="D273" s="249"/>
      <c r="E273" s="210"/>
      <c r="F273" s="237"/>
      <c r="G273" s="210"/>
      <c r="H273" s="210"/>
      <c r="I273" s="194"/>
      <c r="J273" s="210"/>
      <c r="K273" s="194"/>
      <c r="L273" s="210"/>
      <c r="M273" s="289"/>
      <c r="N273" s="290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37"/>
      <c r="G274" s="210"/>
      <c r="H274" s="210"/>
      <c r="I274" s="194"/>
      <c r="J274" s="210"/>
      <c r="K274" s="194"/>
      <c r="L274" s="210"/>
      <c r="M274" s="289"/>
      <c r="N274" s="291"/>
      <c r="O274" s="196"/>
      <c r="P274" s="196"/>
    </row>
    <row r="275" spans="1:20" ht="20.25" customHeight="1">
      <c r="A275" s="379" t="s">
        <v>95</v>
      </c>
      <c r="B275" s="2"/>
      <c r="C275" s="304" t="s">
        <v>299</v>
      </c>
      <c r="D275" s="304"/>
      <c r="E275" s="304"/>
      <c r="F275" s="580"/>
      <c r="G275" s="306"/>
      <c r="H275" s="306"/>
      <c r="I275" s="305"/>
      <c r="J275" s="306"/>
      <c r="K275" s="305"/>
      <c r="L275" s="306"/>
      <c r="M275" s="381"/>
      <c r="N275" s="291"/>
      <c r="O275" s="196"/>
      <c r="P275" s="196"/>
    </row>
    <row r="276" spans="1:20" ht="20.25" customHeight="1">
      <c r="A276" s="379"/>
      <c r="B276" s="2"/>
      <c r="C276" s="304" t="s">
        <v>248</v>
      </c>
      <c r="D276" s="340"/>
      <c r="E276" s="304"/>
      <c r="F276" s="580"/>
      <c r="G276" s="306"/>
      <c r="H276" s="306"/>
      <c r="I276" s="305"/>
      <c r="J276" s="306"/>
      <c r="K276" s="305"/>
      <c r="L276" s="306"/>
      <c r="M276" s="381"/>
      <c r="N276" s="291"/>
      <c r="O276" s="196"/>
      <c r="P276" s="196"/>
    </row>
    <row r="277" spans="1:20" ht="20.25" customHeight="1">
      <c r="A277" s="379"/>
      <c r="B277" s="2"/>
      <c r="C277" s="304" t="s">
        <v>278</v>
      </c>
      <c r="D277" s="304"/>
      <c r="E277" s="304"/>
      <c r="F277" s="580"/>
      <c r="G277" s="306"/>
      <c r="H277" s="306"/>
      <c r="I277" s="305"/>
      <c r="J277" s="306"/>
      <c r="K277" s="305"/>
      <c r="L277" s="306"/>
      <c r="M277" s="381"/>
      <c r="N277" s="291"/>
      <c r="O277" s="196"/>
      <c r="P277" s="196"/>
    </row>
    <row r="278" spans="1:20" ht="20.25" customHeight="1">
      <c r="A278" s="379"/>
      <c r="B278" s="2"/>
      <c r="C278" s="304" t="s">
        <v>433</v>
      </c>
      <c r="D278" s="304"/>
      <c r="E278" s="340"/>
      <c r="F278" s="580"/>
      <c r="G278" s="306"/>
      <c r="H278" s="306"/>
      <c r="I278" s="305"/>
      <c r="J278" s="306"/>
      <c r="K278" s="305"/>
      <c r="L278" s="306"/>
      <c r="M278" s="381"/>
      <c r="N278" s="291"/>
      <c r="O278" s="196"/>
      <c r="P278" s="196"/>
    </row>
    <row r="279" spans="1:20" ht="20.25" customHeight="1">
      <c r="A279" s="379" t="s">
        <v>96</v>
      </c>
      <c r="B279" s="305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5"/>
      <c r="E279" s="306"/>
      <c r="F279" s="577"/>
      <c r="G279" s="306"/>
      <c r="H279" s="306"/>
      <c r="I279" s="305"/>
      <c r="J279" s="306"/>
      <c r="K279" s="305"/>
      <c r="L279" s="306"/>
      <c r="M279" s="381"/>
      <c r="N279" s="291"/>
      <c r="O279" s="196"/>
      <c r="P279" s="196"/>
    </row>
    <row r="280" spans="1:20" ht="20.25" customHeight="1">
      <c r="A280" s="379" t="s">
        <v>97</v>
      </c>
      <c r="B280" s="305"/>
      <c r="C280" s="337" t="s">
        <v>564</v>
      </c>
      <c r="D280" s="305"/>
      <c r="E280" s="306"/>
      <c r="F280" s="577"/>
      <c r="G280" s="306"/>
      <c r="H280" s="306"/>
      <c r="I280" s="305"/>
      <c r="J280" s="306"/>
      <c r="K280" s="305"/>
      <c r="L280" s="306"/>
      <c r="M280" s="381"/>
      <c r="N280" s="291"/>
      <c r="O280" s="196"/>
      <c r="P280" s="196"/>
    </row>
    <row r="281" spans="1:20" ht="20.25" customHeight="1">
      <c r="A281" s="379" t="s">
        <v>98</v>
      </c>
      <c r="B281" s="305"/>
      <c r="C281" s="585" t="s">
        <v>581</v>
      </c>
      <c r="D281" s="583"/>
      <c r="E281" s="584"/>
      <c r="F281" s="577"/>
      <c r="G281" s="306"/>
      <c r="H281" s="306"/>
      <c r="I281" s="305"/>
      <c r="J281" s="306"/>
      <c r="K281" s="305"/>
      <c r="L281" s="306"/>
      <c r="M281" s="381"/>
      <c r="N281" s="538"/>
      <c r="O281" s="304"/>
      <c r="P281" s="304"/>
      <c r="Q281" s="2"/>
      <c r="R281" s="2"/>
      <c r="S281" s="2"/>
      <c r="T281" s="2"/>
    </row>
    <row r="282" spans="1:20" ht="20.25" customHeight="1">
      <c r="A282" s="379"/>
      <c r="B282" s="305"/>
      <c r="C282" s="585" t="s">
        <v>401</v>
      </c>
      <c r="D282" s="583"/>
      <c r="E282" s="584"/>
      <c r="F282" s="577"/>
      <c r="G282" s="306"/>
      <c r="H282" s="306"/>
      <c r="I282" s="305"/>
      <c r="J282" s="306"/>
      <c r="K282" s="305"/>
      <c r="L282" s="306"/>
      <c r="M282" s="381"/>
      <c r="N282" s="493"/>
      <c r="O282" s="304"/>
      <c r="P282" s="304"/>
      <c r="Q282" s="2"/>
      <c r="R282" s="2"/>
      <c r="S282" s="2"/>
      <c r="T282" s="2"/>
    </row>
    <row r="283" spans="1:20" ht="20.25" customHeight="1">
      <c r="A283" s="379"/>
      <c r="B283" s="305"/>
      <c r="C283" s="585" t="s">
        <v>582</v>
      </c>
      <c r="D283" s="583"/>
      <c r="E283" s="584"/>
      <c r="F283" s="577"/>
      <c r="G283" s="306"/>
      <c r="H283" s="306"/>
      <c r="I283" s="305"/>
      <c r="J283" s="306"/>
      <c r="K283" s="305"/>
      <c r="L283" s="306"/>
      <c r="M283" s="381"/>
      <c r="N283" s="493"/>
      <c r="O283" s="304"/>
      <c r="P283" s="304"/>
      <c r="Q283" s="2"/>
      <c r="R283" s="2"/>
      <c r="S283" s="2"/>
      <c r="T283" s="2"/>
    </row>
    <row r="284" spans="1:20" ht="20.25" customHeight="1">
      <c r="A284" s="379" t="s">
        <v>99</v>
      </c>
      <c r="B284" s="305"/>
      <c r="C284" s="585" t="s">
        <v>583</v>
      </c>
      <c r="D284" s="583"/>
      <c r="E284" s="584"/>
      <c r="F284" s="577"/>
      <c r="G284" s="306"/>
      <c r="H284" s="306"/>
      <c r="I284" s="305"/>
      <c r="J284" s="306"/>
      <c r="K284" s="305"/>
      <c r="L284" s="306"/>
      <c r="M284" s="381"/>
      <c r="N284" s="291"/>
      <c r="O284" s="196"/>
      <c r="P284" s="196"/>
    </row>
    <row r="285" spans="1:20" ht="20.25" customHeight="1">
      <c r="A285" s="379"/>
      <c r="B285" s="305"/>
      <c r="C285" s="585" t="s">
        <v>401</v>
      </c>
      <c r="D285" s="583"/>
      <c r="E285" s="584"/>
      <c r="F285" s="577"/>
      <c r="G285" s="306"/>
      <c r="H285" s="306"/>
      <c r="I285" s="305"/>
      <c r="J285" s="306"/>
      <c r="K285" s="305"/>
      <c r="L285" s="306"/>
      <c r="M285" s="381"/>
      <c r="N285" s="291"/>
      <c r="O285" s="196"/>
      <c r="P285" s="196"/>
    </row>
    <row r="286" spans="1:20" ht="20.25" customHeight="1">
      <c r="A286" s="379"/>
      <c r="B286" s="305"/>
      <c r="C286" s="585" t="s">
        <v>584</v>
      </c>
      <c r="D286" s="583"/>
      <c r="E286" s="584"/>
      <c r="F286" s="577"/>
      <c r="G286" s="306"/>
      <c r="H286" s="306"/>
      <c r="I286" s="305"/>
      <c r="J286" s="306"/>
      <c r="K286" s="305"/>
      <c r="L286" s="306"/>
      <c r="M286" s="381"/>
      <c r="N286" s="291"/>
      <c r="O286" s="196"/>
      <c r="P286" s="196"/>
    </row>
    <row r="287" spans="1:20" ht="20.25" customHeight="1">
      <c r="A287" s="379" t="s">
        <v>100</v>
      </c>
      <c r="B287" s="305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6"/>
      <c r="F287" s="577"/>
      <c r="G287" s="306"/>
      <c r="H287" s="306"/>
      <c r="I287" s="305"/>
      <c r="J287" s="306"/>
      <c r="K287" s="305"/>
      <c r="L287" s="306"/>
      <c r="M287" s="381"/>
      <c r="N287" s="291"/>
      <c r="O287" s="196"/>
      <c r="P287" s="196"/>
    </row>
    <row r="288" spans="1:20" ht="20.25" customHeight="1">
      <c r="A288" s="379" t="s">
        <v>101</v>
      </c>
      <c r="B288" s="2"/>
      <c r="C288" s="338" t="s">
        <v>561</v>
      </c>
      <c r="D288" s="338"/>
      <c r="E288" s="306"/>
      <c r="F288" s="577"/>
      <c r="G288" s="306"/>
      <c r="H288" s="306"/>
      <c r="I288" s="305"/>
      <c r="J288" s="306"/>
      <c r="K288" s="305"/>
      <c r="L288" s="306"/>
      <c r="M288" s="381"/>
      <c r="N288" s="291"/>
      <c r="O288" s="196"/>
      <c r="P288" s="196"/>
    </row>
    <row r="289" spans="1:22" ht="20.25" customHeight="1">
      <c r="A289" s="379"/>
      <c r="B289" s="305"/>
      <c r="C289" s="338" t="s">
        <v>565</v>
      </c>
      <c r="D289" s="2"/>
      <c r="E289" s="2"/>
      <c r="F289" s="577"/>
      <c r="G289" s="306"/>
      <c r="H289" s="2"/>
      <c r="I289" s="338"/>
      <c r="J289" s="338"/>
      <c r="K289" s="305"/>
      <c r="L289" s="306"/>
      <c r="M289" s="381"/>
      <c r="N289" s="291"/>
      <c r="O289" s="196"/>
      <c r="P289" s="196"/>
    </row>
    <row r="290" spans="1:22" ht="20.25" customHeight="1">
      <c r="A290" s="497" t="s">
        <v>102</v>
      </c>
      <c r="B290" s="194"/>
      <c r="C290" s="305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5"/>
      <c r="E290" s="305"/>
      <c r="F290" s="568"/>
      <c r="G290" s="305"/>
      <c r="H290" s="305"/>
      <c r="I290" s="305"/>
      <c r="J290" s="306"/>
      <c r="K290" s="305"/>
      <c r="L290" s="210"/>
      <c r="M290" s="289"/>
      <c r="N290" s="291"/>
      <c r="O290" s="196"/>
      <c r="P290" s="196"/>
    </row>
    <row r="291" spans="1:22" ht="20.25" customHeight="1">
      <c r="A291" s="497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5"/>
      <c r="E291" s="305"/>
      <c r="F291" s="568"/>
      <c r="G291" s="305"/>
      <c r="H291" s="305"/>
      <c r="I291" s="305"/>
      <c r="J291" s="306"/>
      <c r="K291" s="305"/>
      <c r="L291" s="210"/>
      <c r="M291" s="289"/>
      <c r="N291" s="291"/>
      <c r="O291" s="196"/>
      <c r="P291" s="196"/>
    </row>
    <row r="292" spans="1:22" ht="35.25" customHeight="1">
      <c r="A292" s="497"/>
      <c r="B292" s="194"/>
      <c r="C292" s="823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23"/>
      <c r="E292" s="823"/>
      <c r="F292" s="823"/>
      <c r="G292" s="823"/>
      <c r="H292" s="823"/>
      <c r="I292" s="823"/>
      <c r="J292" s="823"/>
      <c r="K292" s="305"/>
      <c r="L292" s="306"/>
      <c r="M292" s="477"/>
      <c r="N292" s="150"/>
      <c r="O292" s="304"/>
      <c r="P292" s="304"/>
      <c r="Q292" s="2"/>
      <c r="R292" s="150"/>
      <c r="S292" s="150"/>
      <c r="T292" s="150"/>
      <c r="U292" s="150"/>
      <c r="V292" s="150"/>
    </row>
    <row r="293" spans="1:22" ht="20.25" customHeight="1">
      <c r="A293" s="497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5"/>
      <c r="E293" s="305"/>
      <c r="F293" s="568"/>
      <c r="G293" s="305"/>
      <c r="H293" s="305"/>
      <c r="I293" s="305"/>
      <c r="J293" s="306"/>
      <c r="K293" s="305"/>
      <c r="L293" s="306"/>
      <c r="M293" s="477"/>
      <c r="N293" s="150"/>
      <c r="O293" s="304"/>
      <c r="P293" s="304"/>
      <c r="Q293" s="2"/>
      <c r="R293" s="150"/>
      <c r="S293" s="150"/>
      <c r="T293" s="150"/>
      <c r="U293" s="150"/>
      <c r="V293" s="150"/>
    </row>
    <row r="294" spans="1:22" ht="20.25" customHeight="1">
      <c r="A294" s="497" t="s">
        <v>103</v>
      </c>
      <c r="B294" s="194"/>
      <c r="C294" s="305" t="s">
        <v>534</v>
      </c>
      <c r="D294" s="305"/>
      <c r="E294" s="305"/>
      <c r="F294" s="568"/>
      <c r="G294" s="305"/>
      <c r="H294" s="305"/>
      <c r="I294" s="305"/>
      <c r="J294" s="306"/>
      <c r="K294" s="305"/>
      <c r="L294" s="306"/>
      <c r="M294" s="477"/>
      <c r="N294" s="382"/>
      <c r="O294" s="304"/>
      <c r="P294" s="304"/>
      <c r="Q294" s="2"/>
      <c r="R294" s="150"/>
      <c r="S294" s="150"/>
      <c r="T294" s="150"/>
      <c r="U294" s="150"/>
      <c r="V294" s="150"/>
    </row>
    <row r="295" spans="1:22" ht="20.25" customHeight="1">
      <c r="A295" s="497"/>
      <c r="B295" s="194"/>
      <c r="C295" s="305" t="s">
        <v>535</v>
      </c>
      <c r="D295" s="305"/>
      <c r="E295" s="305"/>
      <c r="F295" s="568"/>
      <c r="G295" s="305"/>
      <c r="H295" s="305"/>
      <c r="I295" s="305"/>
      <c r="J295" s="306"/>
      <c r="K295" s="305"/>
      <c r="L295" s="306"/>
      <c r="M295" s="477"/>
      <c r="N295" s="382"/>
      <c r="O295" s="304"/>
      <c r="P295" s="304"/>
      <c r="Q295" s="2"/>
      <c r="R295" s="150"/>
      <c r="S295" s="150"/>
      <c r="T295" s="150"/>
      <c r="U295" s="150"/>
      <c r="V295" s="150"/>
    </row>
    <row r="296" spans="1:22" ht="20.25" customHeight="1">
      <c r="A296" s="379" t="s">
        <v>104</v>
      </c>
      <c r="B296" s="305"/>
      <c r="C296" s="305" t="s">
        <v>548</v>
      </c>
      <c r="D296" s="305"/>
      <c r="E296" s="305"/>
      <c r="F296" s="568"/>
      <c r="G296" s="305"/>
      <c r="H296" s="305"/>
      <c r="I296" s="305"/>
      <c r="J296" s="305"/>
      <c r="K296" s="305"/>
      <c r="L296"/>
      <c r="N296" s="150"/>
      <c r="O296" s="150"/>
      <c r="P296" s="150"/>
      <c r="Q296" s="150"/>
      <c r="R296" s="150"/>
    </row>
    <row r="297" spans="1:22" ht="20.25" customHeight="1">
      <c r="A297" s="497" t="s">
        <v>105</v>
      </c>
      <c r="B297" s="194"/>
      <c r="C297" s="305" t="s">
        <v>533</v>
      </c>
      <c r="D297" s="305"/>
      <c r="E297" s="305"/>
      <c r="F297" s="379"/>
      <c r="G297" s="2"/>
      <c r="H297" s="2"/>
      <c r="I297" s="305"/>
      <c r="J297" s="306"/>
      <c r="K297" s="305"/>
      <c r="L297" s="210"/>
      <c r="M297" s="289"/>
      <c r="N297" s="291"/>
      <c r="O297" s="196"/>
      <c r="P297" s="196"/>
    </row>
    <row r="298" spans="1:22" ht="20.25" customHeight="1">
      <c r="A298" s="497"/>
      <c r="B298" s="194"/>
      <c r="C298" s="305" t="s">
        <v>536</v>
      </c>
      <c r="D298" s="305"/>
      <c r="E298" s="305"/>
      <c r="F298" s="568"/>
      <c r="G298" s="305"/>
      <c r="H298" s="305"/>
      <c r="I298" s="305"/>
      <c r="J298" s="306"/>
      <c r="K298" s="305"/>
      <c r="L298" s="194"/>
      <c r="M298" s="289"/>
      <c r="N298" s="292"/>
      <c r="O298" s="196"/>
      <c r="P298" s="196"/>
    </row>
    <row r="299" spans="1:22" ht="20.25" customHeight="1">
      <c r="A299" s="497"/>
      <c r="B299" s="194"/>
      <c r="C299" s="305" t="s">
        <v>537</v>
      </c>
      <c r="D299" s="305"/>
      <c r="E299" s="305"/>
      <c r="F299" s="568"/>
      <c r="G299" s="305"/>
      <c r="H299" s="305"/>
      <c r="I299" s="305"/>
      <c r="J299" s="2"/>
      <c r="K299" s="305"/>
      <c r="L299" s="194"/>
      <c r="M299" s="289"/>
      <c r="N299" s="292"/>
      <c r="O299" s="196"/>
      <c r="P299" s="196"/>
    </row>
    <row r="300" spans="1:22" ht="20.25" customHeight="1">
      <c r="A300" s="497" t="s">
        <v>106</v>
      </c>
      <c r="B300" s="194"/>
      <c r="C300" s="305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5"/>
      <c r="E300" s="305"/>
      <c r="F300" s="568"/>
      <c r="G300" s="305"/>
      <c r="H300" s="305"/>
      <c r="I300" s="305"/>
      <c r="J300" s="305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7" t="s">
        <v>107</v>
      </c>
      <c r="B301" s="194"/>
      <c r="C301" s="305" t="s">
        <v>432</v>
      </c>
      <c r="D301" s="305"/>
      <c r="E301" s="338"/>
      <c r="F301" s="568"/>
      <c r="G301" s="305"/>
      <c r="H301" s="305"/>
      <c r="I301" s="305"/>
      <c r="J301" s="338"/>
      <c r="K301" s="305"/>
      <c r="L301" s="150"/>
      <c r="M301" s="150"/>
      <c r="N301" s="150"/>
      <c r="O301" s="150"/>
      <c r="P301" s="150"/>
      <c r="Q301" s="150"/>
    </row>
    <row r="302" spans="1:22" ht="20.25" customHeight="1">
      <c r="A302" s="497" t="s">
        <v>108</v>
      </c>
      <c r="B302" s="194"/>
      <c r="C302" s="337" t="str">
        <f>CONCATENATE('Pg 7 of 8 Cap Str'!I28,TEXT('Pg 7 of 8 Cap Str'!J28,"#.00"))</f>
        <v>TIER Target =1.50</v>
      </c>
      <c r="D302" s="305"/>
      <c r="E302" s="2"/>
      <c r="F302" s="142"/>
      <c r="G302" s="338"/>
      <c r="H302" s="338"/>
      <c r="I302" s="338"/>
      <c r="J302" s="338"/>
      <c r="K302" s="305"/>
      <c r="L302" s="150"/>
      <c r="M302" s="150"/>
      <c r="N302" s="150"/>
      <c r="O302" s="150"/>
      <c r="P302" s="150"/>
      <c r="Q302" s="150"/>
    </row>
    <row r="303" spans="1:22" ht="20.25" customHeight="1">
      <c r="A303" s="497" t="s">
        <v>109</v>
      </c>
      <c r="B303" s="194"/>
      <c r="C303" s="766" t="str">
        <f>CONCATENATE(LEFT('Pg 7 of 8 Cap Str'!B28,14)," based on calculated amounts")</f>
        <v>Effective TIER based on calculated amounts</v>
      </c>
      <c r="D303" s="305"/>
      <c r="E303" s="2"/>
      <c r="F303" s="142"/>
      <c r="G303" s="338"/>
      <c r="H303" s="338"/>
      <c r="I303" s="338"/>
      <c r="J303" s="338"/>
      <c r="K303" s="305"/>
      <c r="L303" s="194"/>
      <c r="M303" s="289"/>
      <c r="N303" s="290"/>
      <c r="O303" s="196"/>
      <c r="P303" s="196"/>
    </row>
    <row r="304" spans="1:22" ht="20.25" customHeight="1">
      <c r="A304" s="497" t="s">
        <v>110</v>
      </c>
      <c r="B304" s="194"/>
      <c r="C304" s="305" t="s">
        <v>113</v>
      </c>
      <c r="D304" s="2"/>
      <c r="E304" s="2"/>
      <c r="F304" s="142"/>
      <c r="G304" s="478"/>
      <c r="H304" s="338"/>
      <c r="I304" s="338"/>
      <c r="J304" s="305"/>
      <c r="K304" s="305"/>
      <c r="L304" s="194"/>
      <c r="M304" s="289"/>
      <c r="N304" s="493"/>
      <c r="O304" s="196"/>
      <c r="P304" s="196"/>
    </row>
    <row r="305" spans="1:18" ht="20.25" customHeight="1">
      <c r="A305" s="506" t="s">
        <v>111</v>
      </c>
      <c r="B305" s="305"/>
      <c r="C305" s="305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379"/>
      <c r="G305" s="2"/>
      <c r="H305" s="2"/>
      <c r="I305" s="2"/>
      <c r="J305" s="2"/>
      <c r="K305" s="305"/>
      <c r="L305" s="305"/>
      <c r="M305" s="381"/>
      <c r="N305" s="493"/>
      <c r="O305" s="304"/>
      <c r="P305" s="304"/>
      <c r="Q305" s="2"/>
      <c r="R305" s="2"/>
    </row>
    <row r="306" spans="1:18">
      <c r="C306" s="2"/>
      <c r="D306" s="2"/>
      <c r="E306" s="2"/>
      <c r="F306" s="379"/>
      <c r="G306" s="2"/>
      <c r="H306" s="2"/>
      <c r="I306" s="2"/>
      <c r="J306" s="305"/>
      <c r="K306" s="305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379"/>
      <c r="G307" s="2"/>
      <c r="H307" s="2"/>
      <c r="I307" s="2"/>
      <c r="J307" s="305"/>
      <c r="K307" s="305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379"/>
      <c r="G308" s="2"/>
      <c r="H308" s="2"/>
      <c r="I308" s="305"/>
      <c r="J308" s="305"/>
      <c r="K308" s="305"/>
      <c r="L308" s="194"/>
      <c r="M308" s="289"/>
      <c r="N308" s="290"/>
      <c r="O308" s="196"/>
      <c r="P308" s="196"/>
    </row>
    <row r="309" spans="1:18" ht="20.25">
      <c r="C309" s="2"/>
      <c r="D309" s="2"/>
      <c r="E309" s="2"/>
      <c r="F309" s="379"/>
      <c r="G309" s="2"/>
      <c r="H309" s="2"/>
      <c r="I309" s="2"/>
      <c r="J309" s="2"/>
      <c r="K309" s="305"/>
      <c r="L309" s="305"/>
      <c r="M309" s="289"/>
      <c r="N309" s="290"/>
      <c r="O309" s="196"/>
      <c r="P309" s="196"/>
    </row>
    <row r="310" spans="1:18" ht="20.25">
      <c r="F310" s="568"/>
      <c r="G310" s="305"/>
      <c r="H310" s="305"/>
      <c r="I310" s="194"/>
      <c r="J310" s="194"/>
      <c r="K310" s="194"/>
      <c r="L310" s="194"/>
      <c r="M310" s="289"/>
      <c r="N310" s="493"/>
      <c r="O310" s="196"/>
      <c r="P310" s="196"/>
    </row>
    <row r="311" spans="1:18" ht="20.25">
      <c r="D311" s="305"/>
      <c r="E311" s="305"/>
      <c r="F311" s="568"/>
      <c r="G311" s="305"/>
      <c r="H311" s="305"/>
      <c r="I311" s="194"/>
      <c r="J311" s="194"/>
      <c r="K311" s="194"/>
      <c r="L311" s="194"/>
      <c r="M311" s="289"/>
      <c r="N311" s="290"/>
      <c r="O311" s="196"/>
      <c r="P311" s="196"/>
    </row>
    <row r="312" spans="1:18" ht="20.25">
      <c r="F312" s="568"/>
      <c r="G312" s="305"/>
      <c r="H312" s="305"/>
      <c r="I312" s="194"/>
      <c r="J312" s="194"/>
      <c r="K312" s="194"/>
      <c r="L312" s="194"/>
      <c r="M312" s="289"/>
      <c r="N312" s="290"/>
      <c r="O312" s="196"/>
      <c r="P312" s="196"/>
    </row>
    <row r="313" spans="1:18" ht="20.25">
      <c r="F313" s="568"/>
      <c r="G313" s="305"/>
      <c r="H313" s="305"/>
      <c r="I313" s="194"/>
      <c r="J313" s="194"/>
      <c r="K313" s="194"/>
      <c r="L313" s="194"/>
      <c r="M313" s="289"/>
      <c r="N313" s="290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7"/>
  <sheetViews>
    <sheetView zoomScale="70" zoomScaleNormal="70" workbookViewId="0">
      <selection activeCell="C17" sqref="C17"/>
    </sheetView>
  </sheetViews>
  <sheetFormatPr defaultColWidth="7.109375" defaultRowHeight="15"/>
  <cols>
    <col min="1" max="1" width="7.109375" style="28"/>
    <col min="2" max="2" width="60.5546875" style="28" customWidth="1"/>
    <col min="3" max="3" width="29.21875" style="28" customWidth="1"/>
    <col min="4" max="4" width="11.6640625" style="28" customWidth="1"/>
    <col min="5" max="5" width="17.6640625" style="296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1">
      <c r="B1" s="1"/>
      <c r="C1" s="1"/>
      <c r="D1" s="336" t="str">
        <f>EKPC!J1</f>
        <v>Attachment H-24A</v>
      </c>
    </row>
    <row r="2" spans="1:11">
      <c r="B2" s="1"/>
      <c r="C2" s="1"/>
      <c r="D2" s="168" t="s">
        <v>551</v>
      </c>
    </row>
    <row r="3" spans="1:11">
      <c r="B3" s="480"/>
      <c r="C3" s="17"/>
      <c r="D3" s="168" t="s">
        <v>379</v>
      </c>
    </row>
    <row r="4" spans="1:11" ht="15.75">
      <c r="B4" s="16"/>
      <c r="C4" s="17"/>
      <c r="D4" s="168" t="str">
        <f>EKPC!$J$124</f>
        <v>For the 12 months ended 12/31/2020</v>
      </c>
    </row>
    <row r="5" spans="1:11" ht="15.75">
      <c r="B5" s="16"/>
      <c r="C5" s="17"/>
      <c r="D5" s="17"/>
      <c r="E5" s="168"/>
    </row>
    <row r="6" spans="1:11" ht="15.75">
      <c r="B6" s="841" t="str">
        <f>EKPC!A11</f>
        <v>East Kentucky Power Cooperative, Inc.</v>
      </c>
      <c r="C6" s="841"/>
      <c r="D6" s="841"/>
      <c r="E6" s="733"/>
    </row>
    <row r="7" spans="1:11" ht="15.75">
      <c r="B7" s="841" t="str">
        <f>EKPC!A9</f>
        <v>Utilizing EKPC 2020 Form FF1 Data (ver. FINAL - AUDITED)</v>
      </c>
      <c r="C7" s="841"/>
      <c r="D7" s="841"/>
      <c r="E7" s="335"/>
    </row>
    <row r="8" spans="1:11" ht="15.75">
      <c r="B8" s="16"/>
      <c r="C8" s="168"/>
    </row>
    <row r="9" spans="1:11" ht="15.75">
      <c r="B9" s="16"/>
      <c r="C9" s="6"/>
    </row>
    <row r="10" spans="1:11" ht="15.75">
      <c r="B10" s="16" t="s">
        <v>259</v>
      </c>
      <c r="C10" s="17"/>
    </row>
    <row r="11" spans="1:11" ht="15.75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56" t="s">
        <v>399</v>
      </c>
      <c r="F14" s="540"/>
      <c r="H14" s="540" t="s">
        <v>400</v>
      </c>
      <c r="I14" s="540"/>
    </row>
    <row r="15" spans="1:11" ht="20.25">
      <c r="A15" s="447" t="s">
        <v>188</v>
      </c>
      <c r="B15" s="18"/>
      <c r="C15" s="793" t="s">
        <v>321</v>
      </c>
      <c r="D15" s="786"/>
      <c r="E15" s="810">
        <v>34721627.130000003</v>
      </c>
      <c r="F15" s="540" t="s">
        <v>322</v>
      </c>
      <c r="G15" s="786"/>
      <c r="H15" s="810">
        <v>27605472.809999999</v>
      </c>
      <c r="I15" s="540" t="s">
        <v>322</v>
      </c>
      <c r="K15" s="699"/>
    </row>
    <row r="16" spans="1:11" ht="20.25">
      <c r="B16" s="18"/>
      <c r="C16" s="21"/>
      <c r="D16" s="786"/>
      <c r="E16" s="810">
        <v>14624016.83</v>
      </c>
      <c r="F16" s="540" t="s">
        <v>323</v>
      </c>
      <c r="G16" s="786"/>
      <c r="H16" s="810">
        <v>11994989.26</v>
      </c>
      <c r="I16" s="540" t="s">
        <v>323</v>
      </c>
      <c r="K16" s="699"/>
    </row>
    <row r="17" spans="1:12">
      <c r="A17" s="444" t="s">
        <v>484</v>
      </c>
      <c r="B17" s="22" t="s">
        <v>395</v>
      </c>
      <c r="C17" s="769">
        <v>27605472.809999999</v>
      </c>
      <c r="D17" s="786"/>
      <c r="E17" s="761">
        <f>E15-E16</f>
        <v>20097610.300000004</v>
      </c>
      <c r="F17" s="540" t="s">
        <v>324</v>
      </c>
      <c r="H17" s="761">
        <f>H15-H16</f>
        <v>15610483.549999999</v>
      </c>
      <c r="I17" s="540" t="s">
        <v>324</v>
      </c>
      <c r="K17" s="699"/>
    </row>
    <row r="18" spans="1:12" ht="15.75">
      <c r="A18" s="444" t="s">
        <v>206</v>
      </c>
      <c r="B18" s="22" t="s">
        <v>169</v>
      </c>
      <c r="C18" s="300">
        <v>0</v>
      </c>
      <c r="E18" s="297"/>
    </row>
    <row r="19" spans="1:12" ht="17.25">
      <c r="A19" s="444" t="s">
        <v>485</v>
      </c>
      <c r="B19" s="22" t="s">
        <v>170</v>
      </c>
      <c r="C19" s="745">
        <v>0</v>
      </c>
      <c r="E19"/>
      <c r="F19"/>
      <c r="G19"/>
      <c r="H19"/>
      <c r="I19"/>
      <c r="J19"/>
      <c r="K19"/>
      <c r="L19"/>
    </row>
    <row r="20" spans="1:12">
      <c r="A20" s="445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4" t="s">
        <v>486</v>
      </c>
      <c r="B21" s="171" t="s">
        <v>445</v>
      </c>
      <c r="C21" s="691">
        <f>SUM(C17:C20)</f>
        <v>27605472.809999999</v>
      </c>
      <c r="E21" s="764"/>
      <c r="F21" s="556"/>
      <c r="G21" s="540"/>
      <c r="H21" s="540"/>
      <c r="I21" s="540"/>
      <c r="J21" s="540"/>
      <c r="K21" s="540"/>
      <c r="L21" s="540"/>
    </row>
    <row r="22" spans="1:12" ht="15.75" thickTop="1">
      <c r="B22" s="18"/>
      <c r="C22" s="376"/>
      <c r="E22" s="765"/>
      <c r="F22" s="556"/>
      <c r="G22" s="540"/>
      <c r="H22" s="540"/>
      <c r="I22" s="540"/>
      <c r="J22" s="540"/>
      <c r="K22" s="540"/>
      <c r="L22" s="540"/>
    </row>
    <row r="23" spans="1:12">
      <c r="B23" s="609" t="s">
        <v>392</v>
      </c>
      <c r="C23" s="603"/>
      <c r="D23" s="603"/>
    </row>
    <row r="24" spans="1:12" ht="29.25" customHeight="1">
      <c r="B24" s="846" t="s">
        <v>595</v>
      </c>
      <c r="C24" s="846"/>
      <c r="D24" s="846"/>
      <c r="E24"/>
      <c r="F24"/>
      <c r="G24"/>
      <c r="H24"/>
      <c r="I24"/>
      <c r="J24"/>
      <c r="K24"/>
      <c r="L24"/>
    </row>
    <row r="25" spans="1:12">
      <c r="B25" s="540" t="str">
        <f>CONCATENATE(" (2) To ",EKPC!J1,", page 4 of 5, Line 3")</f>
        <v xml:space="preserve"> (2) To Attachment H-24A, page 4 of 5, Line 3</v>
      </c>
      <c r="C25" s="540"/>
      <c r="E25"/>
      <c r="F25"/>
      <c r="G25"/>
      <c r="H25"/>
      <c r="I25"/>
      <c r="J25"/>
      <c r="K25"/>
      <c r="L25"/>
    </row>
    <row r="27" spans="1:12" ht="15.75">
      <c r="E27" s="378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0"/>
  <sheetViews>
    <sheetView zoomScale="70" zoomScaleNormal="70" workbookViewId="0">
      <selection activeCell="B22" sqref="B22"/>
    </sheetView>
  </sheetViews>
  <sheetFormatPr defaultColWidth="7.109375" defaultRowHeight="15"/>
  <cols>
    <col min="1" max="1" width="7.109375" style="435"/>
    <col min="2" max="2" width="51.33203125" style="18" customWidth="1"/>
    <col min="3" max="3" width="18.886718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298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34"/>
      <c r="B1" s="1"/>
      <c r="C1" s="1"/>
      <c r="D1" s="1"/>
      <c r="E1" s="1"/>
      <c r="F1" s="336" t="str">
        <f>EKPC!J1</f>
        <v>Attachment H-24A</v>
      </c>
      <c r="I1" s="298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4"/>
      <c r="B2" s="776"/>
      <c r="C2" s="1"/>
      <c r="D2" s="1"/>
      <c r="E2" s="1"/>
      <c r="F2" s="168" t="s">
        <v>551</v>
      </c>
      <c r="I2" s="298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4"/>
      <c r="B3"/>
      <c r="C3"/>
      <c r="D3" s="17"/>
      <c r="E3" s="17"/>
      <c r="F3" s="168" t="s">
        <v>378</v>
      </c>
      <c r="I3" s="298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34"/>
      <c r="B4" s="25"/>
      <c r="C4" s="25"/>
      <c r="D4" s="17"/>
      <c r="E4" s="17"/>
      <c r="F4" s="168" t="str">
        <f>EKPC!$J$124</f>
        <v>For the 12 months ended 12/31/2020</v>
      </c>
      <c r="I4" s="298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34"/>
      <c r="B5" s="25"/>
      <c r="C5" s="25"/>
      <c r="D5" s="17"/>
      <c r="E5" s="17"/>
      <c r="F5" s="168"/>
      <c r="I5" s="298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34"/>
      <c r="B6" s="841" t="str">
        <f>EKPC!A11</f>
        <v>East Kentucky Power Cooperative, Inc.</v>
      </c>
      <c r="C6" s="841"/>
      <c r="D6" s="841"/>
      <c r="E6" s="841"/>
      <c r="F6" s="841"/>
      <c r="H6" s="746"/>
      <c r="I6" s="29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34"/>
      <c r="B7" s="841" t="str">
        <f>EKPC!A9</f>
        <v>Utilizing EKPC 2020 Form FF1 Data (ver. FINAL - AUDITED)</v>
      </c>
      <c r="C7" s="841"/>
      <c r="D7" s="841"/>
      <c r="E7" s="841"/>
      <c r="F7" s="841"/>
      <c r="I7" s="298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34"/>
      <c r="B8" s="16"/>
      <c r="C8" s="16"/>
      <c r="D8" s="16"/>
      <c r="E8" s="168"/>
      <c r="I8" s="298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34"/>
      <c r="B9" s="16"/>
      <c r="C9" s="16"/>
      <c r="D9" s="16"/>
      <c r="E9" s="168"/>
      <c r="I9" s="298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34"/>
      <c r="B10" s="16" t="s">
        <v>531</v>
      </c>
      <c r="C10" s="16"/>
      <c r="D10" s="16"/>
      <c r="E10" s="17"/>
      <c r="I10" s="298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37"/>
      <c r="E13" s="79" t="s">
        <v>112</v>
      </c>
      <c r="F13" s="152"/>
      <c r="G13" s="152"/>
      <c r="H13" s="152"/>
      <c r="J13" s="153"/>
    </row>
    <row r="14" spans="1:24" ht="20.25">
      <c r="A14" s="448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8">
        <v>1</v>
      </c>
      <c r="B15" s="548" t="s">
        <v>527</v>
      </c>
      <c r="C15" s="423"/>
      <c r="D15" s="155"/>
      <c r="E15" s="811">
        <v>787081695</v>
      </c>
      <c r="F15" s="786"/>
      <c r="G15" s="776"/>
      <c r="H15" s="571"/>
      <c r="I15" s="349"/>
      <c r="J15" s="349"/>
      <c r="K15"/>
      <c r="L15" s="564"/>
      <c r="M15" s="571"/>
      <c r="N15" s="571"/>
      <c r="O15" s="571"/>
      <c r="P15" s="571"/>
      <c r="Q15" s="571"/>
      <c r="R15"/>
    </row>
    <row r="16" spans="1:24">
      <c r="A16" s="438"/>
      <c r="B16" s="296"/>
      <c r="G16" s="571"/>
      <c r="H16" s="571"/>
      <c r="I16" s="349"/>
      <c r="J16" s="349"/>
      <c r="K16"/>
      <c r="L16"/>
      <c r="M16"/>
      <c r="N16"/>
      <c r="O16"/>
      <c r="P16"/>
      <c r="Q16"/>
      <c r="R16"/>
    </row>
    <row r="17" spans="1:18">
      <c r="A17" s="438">
        <v>2</v>
      </c>
      <c r="B17" s="296" t="s">
        <v>213</v>
      </c>
      <c r="C17" s="438"/>
      <c r="E17" s="714">
        <v>0</v>
      </c>
      <c r="G17" s="571"/>
      <c r="H17" s="571"/>
      <c r="I17" s="349"/>
      <c r="J17" s="349"/>
      <c r="K17"/>
      <c r="L17"/>
      <c r="M17"/>
      <c r="N17"/>
      <c r="O17"/>
      <c r="P17"/>
      <c r="Q17"/>
      <c r="R17"/>
    </row>
    <row r="18" spans="1:18">
      <c r="A18" s="438"/>
      <c r="B18" s="296"/>
      <c r="C18" s="438"/>
      <c r="E18" s="82"/>
      <c r="G18" s="571"/>
      <c r="H18" s="571"/>
      <c r="I18" s="349"/>
      <c r="J18" s="349"/>
      <c r="K18"/>
      <c r="L18"/>
      <c r="M18"/>
      <c r="N18"/>
      <c r="O18"/>
      <c r="P18"/>
      <c r="Q18"/>
      <c r="R18"/>
    </row>
    <row r="19" spans="1:18">
      <c r="A19" s="438">
        <v>3</v>
      </c>
      <c r="B19" s="556" t="s">
        <v>488</v>
      </c>
      <c r="C19" s="439" t="s">
        <v>474</v>
      </c>
      <c r="E19" s="711">
        <v>169317</v>
      </c>
      <c r="F19" s="786"/>
      <c r="G19" s="776"/>
      <c r="H19" s="571"/>
      <c r="I19" s="349"/>
      <c r="J19" s="349"/>
      <c r="K19"/>
      <c r="L19"/>
      <c r="M19"/>
      <c r="N19"/>
      <c r="O19"/>
      <c r="P19"/>
      <c r="Q19"/>
      <c r="R19"/>
    </row>
    <row r="20" spans="1:18">
      <c r="A20" s="438">
        <v>4</v>
      </c>
      <c r="B20" s="296" t="s">
        <v>316</v>
      </c>
      <c r="C20" s="438"/>
      <c r="E20" s="747">
        <v>1</v>
      </c>
      <c r="G20" s="571"/>
      <c r="H20" s="571"/>
      <c r="I20" s="349"/>
      <c r="J20" s="349"/>
      <c r="K20"/>
      <c r="L20"/>
      <c r="M20"/>
      <c r="N20"/>
      <c r="O20"/>
      <c r="P20"/>
      <c r="Q20"/>
      <c r="R20"/>
    </row>
    <row r="21" spans="1:18" ht="17.25">
      <c r="A21" s="438">
        <v>5</v>
      </c>
      <c r="B21" s="550" t="str">
        <f>CONCATENATE("  Revenue Credit Applicable to ", EKPC!J1)</f>
        <v xml:space="preserve">  Revenue Credit Applicable to Attachment H-24A</v>
      </c>
      <c r="C21" s="438"/>
      <c r="D21" s="156"/>
      <c r="E21" s="158">
        <f>ROUND(E19*E20,0)+E17</f>
        <v>169317</v>
      </c>
      <c r="G21" s="571"/>
      <c r="H21"/>
      <c r="I21"/>
      <c r="J21"/>
      <c r="K21"/>
      <c r="L21"/>
      <c r="M21"/>
      <c r="N21"/>
      <c r="O21"/>
      <c r="P21"/>
      <c r="Q21"/>
      <c r="R21"/>
    </row>
    <row r="22" spans="1:18">
      <c r="A22" s="438"/>
      <c r="B22" s="296"/>
      <c r="C22" s="438"/>
      <c r="E22" s="170"/>
      <c r="G22" s="571"/>
      <c r="H22"/>
      <c r="I22"/>
      <c r="J22"/>
      <c r="K22"/>
      <c r="L22"/>
      <c r="M22"/>
      <c r="N22"/>
      <c r="O22"/>
      <c r="P22"/>
      <c r="Q22"/>
      <c r="R22"/>
    </row>
    <row r="23" spans="1:18">
      <c r="A23" s="438"/>
      <c r="B23" s="296"/>
      <c r="C23" s="438"/>
      <c r="E23" s="170"/>
      <c r="G23" s="571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38">
        <v>6</v>
      </c>
      <c r="B24" s="549" t="s">
        <v>491</v>
      </c>
      <c r="C24" s="440" t="s">
        <v>473</v>
      </c>
      <c r="E24" s="158">
        <f>E23+E21</f>
        <v>169317</v>
      </c>
      <c r="G24" s="571"/>
      <c r="H24"/>
      <c r="I24"/>
      <c r="J24"/>
      <c r="K24"/>
      <c r="L24"/>
      <c r="M24"/>
      <c r="N24"/>
      <c r="O24"/>
      <c r="P24"/>
      <c r="Q24"/>
      <c r="R24"/>
    </row>
    <row r="25" spans="1:18">
      <c r="A25" s="438"/>
      <c r="C25" s="438"/>
      <c r="E25" s="170"/>
      <c r="G25" s="571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38"/>
      <c r="B26" s="19"/>
      <c r="C26" s="19"/>
      <c r="D26" s="19"/>
      <c r="E26" s="82"/>
      <c r="G26" s="571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38"/>
      <c r="C27" s="438"/>
      <c r="E27" s="79" t="s">
        <v>403</v>
      </c>
      <c r="F27" s="152"/>
      <c r="G27" s="571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38"/>
      <c r="C28" s="438"/>
      <c r="E28" s="80" t="s">
        <v>321</v>
      </c>
      <c r="F28" s="154"/>
      <c r="G28" s="571"/>
      <c r="H28"/>
      <c r="I28"/>
      <c r="J28"/>
      <c r="K28"/>
      <c r="L28"/>
      <c r="M28"/>
      <c r="N28"/>
      <c r="O28"/>
      <c r="P28"/>
      <c r="Q28"/>
      <c r="R28"/>
    </row>
    <row r="29" spans="1:18">
      <c r="A29" s="438">
        <v>7</v>
      </c>
      <c r="B29" s="176" t="s">
        <v>591</v>
      </c>
      <c r="C29" s="441" t="s">
        <v>476</v>
      </c>
      <c r="D29" s="22"/>
      <c r="E29" s="769">
        <v>15350764</v>
      </c>
      <c r="F29" s="786"/>
      <c r="G29" s="776"/>
      <c r="H29"/>
      <c r="I29"/>
      <c r="J29"/>
      <c r="K29"/>
      <c r="L29"/>
      <c r="M29"/>
      <c r="N29"/>
      <c r="O29"/>
      <c r="P29"/>
      <c r="Q29"/>
      <c r="R29"/>
    </row>
    <row r="30" spans="1:18" ht="17.25">
      <c r="A30" s="438"/>
      <c r="B30" s="22" t="s">
        <v>252</v>
      </c>
      <c r="C30" s="440"/>
      <c r="D30" s="22"/>
      <c r="E30" s="158"/>
      <c r="G30" s="571"/>
      <c r="H30"/>
      <c r="I30"/>
      <c r="J30"/>
      <c r="K30"/>
      <c r="L30"/>
      <c r="M30"/>
      <c r="N30"/>
      <c r="O30"/>
      <c r="P30"/>
      <c r="Q30"/>
      <c r="R30"/>
    </row>
    <row r="31" spans="1:18">
      <c r="A31" s="438">
        <v>8</v>
      </c>
      <c r="B31" s="155" t="s">
        <v>589</v>
      </c>
      <c r="C31" s="440"/>
      <c r="D31" s="155"/>
      <c r="E31" s="812">
        <f>10399384+17258+23678+1174010.37</f>
        <v>11614330.370000001</v>
      </c>
      <c r="F31" s="786"/>
      <c r="G31" s="776"/>
      <c r="H31" s="571"/>
      <c r="I31" s="349"/>
      <c r="J31" s="349"/>
      <c r="K31" s="349"/>
      <c r="L31" s="349"/>
      <c r="M31" s="349"/>
      <c r="N31" s="349"/>
      <c r="O31" s="349"/>
      <c r="P31" s="349"/>
      <c r="Q31" s="349"/>
      <c r="R31"/>
    </row>
    <row r="32" spans="1:18" ht="15.75">
      <c r="A32" s="438">
        <v>9</v>
      </c>
      <c r="B32" s="155" t="s">
        <v>373</v>
      </c>
      <c r="C32" s="440"/>
      <c r="D32" s="155"/>
      <c r="E32" s="711">
        <v>0</v>
      </c>
      <c r="G32" s="571"/>
      <c r="H32" s="571"/>
      <c r="I32" s="349"/>
      <c r="J32" s="349"/>
      <c r="K32" s="349"/>
      <c r="L32" s="349"/>
      <c r="M32" s="349"/>
      <c r="N32" s="349"/>
      <c r="O32" s="349"/>
      <c r="P32" s="349"/>
      <c r="Q32" s="349"/>
      <c r="R32"/>
    </row>
    <row r="33" spans="1:18">
      <c r="A33" s="438">
        <v>10</v>
      </c>
      <c r="B33" s="155" t="s">
        <v>150</v>
      </c>
      <c r="C33" s="440"/>
      <c r="D33" s="155"/>
      <c r="E33" s="711">
        <v>0</v>
      </c>
      <c r="G33" s="571"/>
      <c r="H33" s="571"/>
      <c r="I33" s="349"/>
      <c r="J33" s="349"/>
      <c r="K33" s="349"/>
      <c r="L33" s="349"/>
      <c r="M33" s="349"/>
      <c r="N33" s="349"/>
      <c r="O33" s="349"/>
      <c r="P33" s="349"/>
      <c r="Q33" s="349"/>
      <c r="R33"/>
    </row>
    <row r="34" spans="1:18">
      <c r="A34" s="438">
        <v>11</v>
      </c>
      <c r="B34" s="155" t="s">
        <v>574</v>
      </c>
      <c r="C34" s="440"/>
      <c r="D34" s="155"/>
      <c r="E34" s="711">
        <f>43200+54870.96</f>
        <v>98070.959999999992</v>
      </c>
      <c r="F34" s="786"/>
      <c r="G34" s="776"/>
      <c r="H34" s="460"/>
      <c r="I34" s="460"/>
      <c r="J34" s="460"/>
      <c r="K34" s="460"/>
      <c r="L34" s="460"/>
      <c r="M34" s="460"/>
      <c r="N34" s="460"/>
      <c r="O34" s="460"/>
      <c r="P34" s="460"/>
      <c r="Q34" s="460"/>
      <c r="R34"/>
    </row>
    <row r="35" spans="1:18" ht="17.25">
      <c r="A35" s="438">
        <v>12</v>
      </c>
      <c r="B35" s="155" t="s">
        <v>575</v>
      </c>
      <c r="C35" s="440"/>
      <c r="D35" s="155"/>
      <c r="E35" s="813">
        <v>600</v>
      </c>
      <c r="F35" s="786"/>
      <c r="G35" s="776"/>
      <c r="H35" s="460"/>
      <c r="I35" s="460"/>
      <c r="J35" s="460"/>
      <c r="K35" s="460"/>
      <c r="L35" s="460"/>
      <c r="M35" s="460"/>
      <c r="N35" s="460"/>
      <c r="O35" s="460"/>
      <c r="P35" s="349"/>
      <c r="Q35" s="349"/>
      <c r="R35"/>
    </row>
    <row r="36" spans="1:18" ht="17.25">
      <c r="A36" s="438">
        <v>13</v>
      </c>
      <c r="B36" s="176" t="s">
        <v>375</v>
      </c>
      <c r="C36" s="441"/>
      <c r="D36" s="155"/>
      <c r="E36" s="158">
        <f>E29-SUM(E31:E35)</f>
        <v>3637762.6699999981</v>
      </c>
      <c r="G36" s="571"/>
      <c r="H36" s="571"/>
      <c r="I36" s="349"/>
      <c r="J36" s="349"/>
      <c r="K36" s="349"/>
      <c r="L36" s="349"/>
      <c r="M36" s="349"/>
      <c r="N36" s="349"/>
      <c r="O36" s="349"/>
      <c r="P36" s="349"/>
      <c r="Q36" s="349"/>
      <c r="R36"/>
    </row>
    <row r="37" spans="1:18">
      <c r="A37" s="438"/>
      <c r="C37" s="438"/>
      <c r="D37" s="155"/>
      <c r="E37" s="82"/>
      <c r="G37" s="571"/>
      <c r="H37" s="571"/>
      <c r="I37" s="349"/>
      <c r="J37" s="349"/>
      <c r="K37" s="349"/>
      <c r="L37" s="349"/>
      <c r="M37" s="349"/>
      <c r="N37" s="349"/>
      <c r="O37" s="349"/>
      <c r="P37" s="349"/>
      <c r="Q37" s="349"/>
      <c r="R37"/>
    </row>
    <row r="38" spans="1:18" ht="17.25">
      <c r="A38" s="438">
        <v>14</v>
      </c>
      <c r="B38" s="82" t="s">
        <v>468</v>
      </c>
      <c r="C38" s="439"/>
      <c r="E38" s="814">
        <v>3258169.79</v>
      </c>
      <c r="F38" s="786"/>
      <c r="G38" s="776"/>
      <c r="H38" s="571"/>
      <c r="I38" s="349"/>
      <c r="J38" s="349"/>
      <c r="K38" s="349"/>
      <c r="L38" s="349"/>
      <c r="M38" s="349"/>
      <c r="N38" s="349"/>
      <c r="O38" s="349"/>
      <c r="P38" s="349"/>
      <c r="Q38" s="349"/>
      <c r="R38"/>
    </row>
    <row r="39" spans="1:18">
      <c r="A39" s="438"/>
      <c r="C39" s="438"/>
      <c r="E39" s="82"/>
      <c r="G39" s="571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38">
        <v>15</v>
      </c>
      <c r="B40" s="155" t="s">
        <v>592</v>
      </c>
      <c r="C40" s="440"/>
      <c r="E40" s="158">
        <f>E36-E38</f>
        <v>379592.87999999803</v>
      </c>
      <c r="G40" s="571"/>
      <c r="H40"/>
      <c r="I40"/>
      <c r="J40"/>
      <c r="K40"/>
      <c r="L40"/>
      <c r="M40"/>
      <c r="N40"/>
      <c r="O40"/>
      <c r="P40"/>
      <c r="Q40"/>
      <c r="R40"/>
    </row>
    <row r="41" spans="1:18">
      <c r="A41" s="438"/>
      <c r="C41" s="438"/>
      <c r="E41" s="82"/>
      <c r="G41" s="82"/>
      <c r="H41" s="173"/>
      <c r="I41" s="299"/>
      <c r="J41" s="173"/>
    </row>
    <row r="42" spans="1:18">
      <c r="A42" s="438"/>
      <c r="C42" s="438"/>
      <c r="E42" s="82"/>
      <c r="G42" s="82"/>
      <c r="H42" s="173"/>
      <c r="I42" s="299"/>
      <c r="J42" s="173"/>
    </row>
    <row r="43" spans="1:18" ht="15.75">
      <c r="A43" s="438"/>
      <c r="C43" s="438"/>
      <c r="E43" s="677" t="s">
        <v>402</v>
      </c>
      <c r="G43" s="82"/>
      <c r="H43" s="175"/>
      <c r="I43" s="461"/>
      <c r="J43" s="175"/>
      <c r="K43" s="157"/>
    </row>
    <row r="44" spans="1:18">
      <c r="A44" s="438">
        <v>16</v>
      </c>
      <c r="B44" s="18" t="s">
        <v>609</v>
      </c>
      <c r="C44" s="438" t="s">
        <v>490</v>
      </c>
      <c r="E44" s="815">
        <v>110839.5</v>
      </c>
      <c r="F44" s="786"/>
      <c r="G44" s="776"/>
      <c r="H44" s="175"/>
      <c r="I44" s="461"/>
      <c r="J44" s="175"/>
      <c r="K44" s="564"/>
    </row>
    <row r="45" spans="1:18" ht="15.75">
      <c r="A45" s="438"/>
      <c r="C45" s="438"/>
      <c r="E45" s="380"/>
      <c r="G45" s="82"/>
      <c r="H45" s="175"/>
      <c r="I45" s="461"/>
      <c r="J45" s="175"/>
      <c r="K45" s="564"/>
    </row>
    <row r="46" spans="1:18" ht="15.75">
      <c r="A46" s="438">
        <v>17</v>
      </c>
      <c r="B46" s="18" t="s">
        <v>489</v>
      </c>
      <c r="C46" s="438" t="s">
        <v>596</v>
      </c>
      <c r="E46" s="433">
        <f>E40-E44</f>
        <v>268753.37999999803</v>
      </c>
      <c r="G46" s="82"/>
      <c r="H46" s="82"/>
      <c r="I46" s="461"/>
      <c r="J46" s="175"/>
      <c r="K46" s="564"/>
    </row>
    <row r="47" spans="1:18" ht="15.75">
      <c r="E47" s="380"/>
      <c r="G47" s="82"/>
      <c r="H47" s="175"/>
      <c r="I47" s="461"/>
      <c r="J47" s="175"/>
      <c r="K47" s="564"/>
    </row>
    <row r="48" spans="1:18">
      <c r="G48" s="175"/>
      <c r="H48" s="82"/>
      <c r="I48" s="461"/>
      <c r="J48" s="175"/>
      <c r="K48" s="564"/>
    </row>
    <row r="49" spans="1:24">
      <c r="B49" s="377" t="s">
        <v>392</v>
      </c>
      <c r="C49" s="377"/>
      <c r="D49" s="155"/>
      <c r="F49" s="159"/>
      <c r="G49" s="175"/>
      <c r="H49" s="82"/>
      <c r="I49" s="300"/>
      <c r="J49" s="82"/>
      <c r="K49" s="564"/>
    </row>
    <row r="50" spans="1:24">
      <c r="B50" s="541" t="s">
        <v>637</v>
      </c>
      <c r="C50" s="541"/>
      <c r="D50" s="155"/>
      <c r="E50" s="173"/>
      <c r="F50" s="174"/>
      <c r="G50" s="175"/>
      <c r="H50" s="175"/>
      <c r="I50" s="461"/>
      <c r="J50" s="175"/>
      <c r="K50" s="562"/>
      <c r="L50" s="175"/>
      <c r="M50" s="175"/>
    </row>
    <row r="51" spans="1:24" s="173" customFormat="1">
      <c r="A51" s="436"/>
      <c r="B51" s="542" t="str">
        <f>CONCATENATE("(2) To ",EKPC!J1,", Page 4 of 5, line 34")</f>
        <v>(2) To Attachment H-24A, Page 4 of 5, line 34</v>
      </c>
      <c r="C51" s="542"/>
      <c r="D51" s="155"/>
      <c r="F51" s="174"/>
      <c r="G51" s="175"/>
      <c r="H51" s="175"/>
      <c r="I51" s="461"/>
      <c r="J51" s="175"/>
      <c r="K51" s="562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6"/>
      <c r="B52" s="847" t="s">
        <v>608</v>
      </c>
      <c r="C52" s="847"/>
      <c r="D52" s="847"/>
      <c r="E52" s="847"/>
      <c r="F52" s="174"/>
      <c r="G52" s="175"/>
      <c r="H52" s="175"/>
      <c r="I52" s="461"/>
      <c r="J52" s="175"/>
      <c r="K52" s="562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3" t="str">
        <f>CONCATENATE("(4) Revenue from AEP GFA Account 456101- to ",EKPC!J1,", Page 1 of 5, Line 4.")</f>
        <v>(4) Revenue from AEP GFA Account 456101- to Attachment H-24A, Page 1 of 5, Line 4.</v>
      </c>
      <c r="C53" s="543"/>
      <c r="D53" s="82"/>
      <c r="E53" s="80"/>
      <c r="F53" s="82"/>
      <c r="G53" s="82"/>
      <c r="H53" s="82"/>
      <c r="I53" s="300"/>
      <c r="J53" s="82"/>
      <c r="K53" s="157"/>
    </row>
    <row r="54" spans="1:24" ht="15.75">
      <c r="B54" s="544" t="str">
        <f>CONCATENATE("(5) To ",EKPC!J1,", Page 4 of 5, Line 35")</f>
        <v>(5) To Attachment H-24A, Page 4 of 5, Line 35</v>
      </c>
      <c r="C54" s="544"/>
      <c r="D54" s="184"/>
      <c r="E54" s="170"/>
      <c r="F54" s="82"/>
      <c r="G54" s="185"/>
      <c r="H54" s="82"/>
      <c r="I54" s="300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0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0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0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0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0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0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0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0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0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0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0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0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0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0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0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0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0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0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0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0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0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0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0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0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0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0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48"/>
  <sheetViews>
    <sheetView zoomScale="70" zoomScaleNormal="70" workbookViewId="0">
      <selection activeCell="C5" sqref="C5"/>
    </sheetView>
  </sheetViews>
  <sheetFormatPr defaultRowHeight="14.25"/>
  <cols>
    <col min="1" max="1" width="7" style="89" customWidth="1"/>
    <col min="2" max="2" width="43.6640625" style="89" customWidth="1"/>
    <col min="3" max="3" width="17.33203125" style="89" bestFit="1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34"/>
      <c r="B1" s="1"/>
      <c r="C1" s="1"/>
      <c r="D1" s="1"/>
      <c r="E1" s="1"/>
      <c r="F1" s="680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7" customFormat="1" ht="15" customHeight="1">
      <c r="A2" s="434"/>
      <c r="B2" s="1"/>
      <c r="C2" s="1"/>
      <c r="D2" s="1"/>
      <c r="E2" s="1"/>
      <c r="F2" s="680"/>
      <c r="G2" s="168" t="s">
        <v>551</v>
      </c>
      <c r="H2" s="324"/>
      <c r="K2"/>
      <c r="L2"/>
      <c r="M2"/>
      <c r="N2"/>
      <c r="O2"/>
      <c r="P2"/>
      <c r="Q2"/>
      <c r="R2"/>
      <c r="S2"/>
    </row>
    <row r="3" spans="1:19" s="177" customFormat="1" ht="15.75">
      <c r="A3" s="434"/>
      <c r="B3" s="563"/>
      <c r="C3" s="563"/>
      <c r="D3" s="17"/>
      <c r="E3" s="17"/>
      <c r="F3" s="680"/>
      <c r="G3" s="505" t="s">
        <v>376</v>
      </c>
      <c r="H3" s="324"/>
      <c r="K3"/>
      <c r="L3"/>
      <c r="M3"/>
      <c r="N3"/>
      <c r="O3"/>
      <c r="P3"/>
      <c r="Q3"/>
      <c r="R3"/>
      <c r="S3"/>
    </row>
    <row r="4" spans="1:19" s="177" customFormat="1" ht="15.75">
      <c r="A4" s="434"/>
      <c r="B4" s="16"/>
      <c r="C4" s="16"/>
      <c r="D4" s="17"/>
      <c r="E4" s="17"/>
      <c r="F4" s="680"/>
      <c r="G4" s="168" t="str">
        <f>EKPC!$J$124</f>
        <v>For the 12 months ended 12/31/2020</v>
      </c>
      <c r="H4" s="324"/>
      <c r="K4"/>
      <c r="L4"/>
      <c r="M4"/>
      <c r="N4"/>
      <c r="O4"/>
      <c r="P4"/>
      <c r="Q4"/>
      <c r="R4"/>
      <c r="S4"/>
    </row>
    <row r="5" spans="1:19" ht="15.75">
      <c r="A5" s="434"/>
      <c r="B5" s="16"/>
      <c r="C5" s="16"/>
      <c r="D5" s="17"/>
      <c r="E5" s="17"/>
      <c r="F5" s="168"/>
      <c r="G5" s="681"/>
      <c r="K5"/>
      <c r="L5"/>
      <c r="M5"/>
      <c r="N5"/>
      <c r="O5"/>
      <c r="P5"/>
      <c r="Q5"/>
      <c r="R5"/>
      <c r="S5"/>
    </row>
    <row r="6" spans="1:19" ht="15">
      <c r="A6" s="434"/>
      <c r="B6" s="840" t="str">
        <f>EKPC!A11</f>
        <v>East Kentucky Power Cooperative, Inc.</v>
      </c>
      <c r="C6" s="840"/>
      <c r="D6" s="840"/>
      <c r="E6" s="840"/>
      <c r="F6" s="840"/>
      <c r="G6" s="505"/>
      <c r="J6" s="733"/>
      <c r="K6"/>
      <c r="L6"/>
      <c r="M6"/>
      <c r="N6"/>
      <c r="O6"/>
      <c r="P6"/>
      <c r="Q6"/>
      <c r="R6"/>
      <c r="S6"/>
    </row>
    <row r="7" spans="1:19" ht="15">
      <c r="A7" s="434"/>
      <c r="B7" s="840" t="str">
        <f>EKPC!A9</f>
        <v>Utilizing EKPC 2020 Form FF1 Data (ver. FINAL - AUDITED)</v>
      </c>
      <c r="C7" s="840"/>
      <c r="D7" s="840"/>
      <c r="E7" s="840"/>
      <c r="F7" s="840"/>
      <c r="G7" s="505"/>
      <c r="K7"/>
      <c r="L7"/>
      <c r="M7"/>
      <c r="N7"/>
      <c r="O7"/>
      <c r="P7"/>
      <c r="Q7"/>
      <c r="R7"/>
      <c r="S7"/>
    </row>
    <row r="8" spans="1:19" ht="15">
      <c r="A8" s="681"/>
      <c r="B8" s="681"/>
      <c r="C8" s="681"/>
      <c r="D8" s="682"/>
      <c r="E8" s="681"/>
      <c r="F8" s="681"/>
      <c r="G8" s="505"/>
      <c r="K8"/>
      <c r="L8"/>
      <c r="M8"/>
      <c r="N8"/>
      <c r="O8"/>
      <c r="P8"/>
      <c r="Q8"/>
      <c r="R8"/>
      <c r="S8"/>
    </row>
    <row r="9" spans="1:19" ht="15">
      <c r="A9" s="851" t="s">
        <v>3</v>
      </c>
      <c r="B9" s="851"/>
      <c r="C9" s="851"/>
      <c r="D9" s="851"/>
      <c r="E9" s="851"/>
      <c r="F9" s="851"/>
      <c r="G9" s="596"/>
      <c r="H9" s="332"/>
      <c r="K9"/>
      <c r="L9"/>
      <c r="M9"/>
      <c r="N9"/>
      <c r="O9"/>
      <c r="P9"/>
      <c r="Q9"/>
      <c r="R9"/>
      <c r="S9"/>
    </row>
    <row r="10" spans="1:19" ht="15">
      <c r="A10" s="839" t="str">
        <f>CONCATENATE("As of December 31, ",TEXT(RIGHT(EKPC!J7,10),"YYYY"))</f>
        <v>As of December 31, 2020</v>
      </c>
      <c r="B10" s="839"/>
      <c r="C10" s="839"/>
      <c r="D10" s="839"/>
      <c r="E10" s="839"/>
      <c r="F10" s="839"/>
      <c r="G10" s="597"/>
      <c r="H10" s="333"/>
      <c r="K10"/>
      <c r="L10"/>
      <c r="M10"/>
      <c r="N10"/>
      <c r="O10"/>
      <c r="P10"/>
      <c r="Q10"/>
      <c r="R10"/>
      <c r="S10"/>
    </row>
    <row r="11" spans="1:19" ht="15">
      <c r="A11" s="852" t="s">
        <v>214</v>
      </c>
      <c r="B11" s="852"/>
      <c r="C11" s="852"/>
      <c r="D11" s="852"/>
      <c r="E11" s="852"/>
      <c r="F11" s="852"/>
      <c r="G11" s="683"/>
      <c r="H11" s="479"/>
      <c r="K11"/>
      <c r="L11"/>
      <c r="M11"/>
      <c r="N11"/>
      <c r="O11"/>
      <c r="P11"/>
      <c r="Q11"/>
      <c r="R11"/>
      <c r="S11"/>
    </row>
    <row r="12" spans="1:19" ht="15">
      <c r="A12" s="683"/>
      <c r="B12" s="683"/>
      <c r="C12" s="683"/>
      <c r="D12" s="683"/>
      <c r="E12" s="683"/>
      <c r="F12" s="683"/>
      <c r="G12" s="1"/>
      <c r="H12" s="480"/>
      <c r="I12" s="480"/>
      <c r="K12"/>
      <c r="L12"/>
      <c r="M12"/>
      <c r="N12"/>
      <c r="O12"/>
      <c r="P12"/>
      <c r="Q12"/>
      <c r="R12"/>
      <c r="S12"/>
    </row>
    <row r="13" spans="1:19" ht="15">
      <c r="A13" s="681"/>
      <c r="B13" s="681"/>
      <c r="C13" s="681"/>
      <c r="D13" s="682"/>
      <c r="E13" s="681"/>
      <c r="F13" s="681"/>
      <c r="G13" s="1"/>
      <c r="H13" s="480"/>
      <c r="I13" s="480"/>
      <c r="K13"/>
      <c r="L13"/>
      <c r="M13"/>
      <c r="N13"/>
      <c r="O13"/>
      <c r="P13"/>
      <c r="Q13"/>
      <c r="R13"/>
      <c r="S13"/>
    </row>
    <row r="14" spans="1:19" ht="15">
      <c r="A14" s="310" t="s">
        <v>6</v>
      </c>
      <c r="B14" s="311"/>
      <c r="C14" s="311"/>
      <c r="D14" s="311"/>
      <c r="E14" s="311"/>
      <c r="F14" s="311"/>
      <c r="G14" s="1"/>
      <c r="H14" s="480"/>
      <c r="I14" s="480"/>
      <c r="K14"/>
      <c r="L14"/>
      <c r="M14"/>
      <c r="N14"/>
      <c r="O14"/>
      <c r="P14"/>
      <c r="Q14"/>
      <c r="R14"/>
      <c r="S14"/>
    </row>
    <row r="15" spans="1:19" ht="15">
      <c r="A15" s="312" t="s">
        <v>8</v>
      </c>
      <c r="B15" s="313" t="s">
        <v>306</v>
      </c>
      <c r="C15" s="311"/>
      <c r="D15" s="314"/>
      <c r="E15" s="167"/>
      <c r="F15" s="311"/>
      <c r="G15" s="1"/>
      <c r="H15" s="480"/>
      <c r="I15" s="480"/>
      <c r="K15"/>
      <c r="L15"/>
      <c r="M15"/>
      <c r="N15"/>
      <c r="O15"/>
      <c r="P15"/>
      <c r="Q15"/>
      <c r="R15"/>
      <c r="S15"/>
    </row>
    <row r="16" spans="1:19" ht="15">
      <c r="A16" s="310"/>
      <c r="B16" s="311"/>
      <c r="C16" s="314"/>
      <c r="D16" s="314"/>
      <c r="E16" s="315"/>
      <c r="F16" s="311"/>
      <c r="G16" s="1"/>
      <c r="H16" s="480"/>
      <c r="I16" s="480"/>
      <c r="K16"/>
      <c r="L16"/>
      <c r="M16"/>
      <c r="N16"/>
      <c r="O16"/>
      <c r="P16"/>
      <c r="Q16"/>
      <c r="R16"/>
      <c r="S16"/>
    </row>
    <row r="17" spans="1:22" ht="15.75">
      <c r="A17" s="310"/>
      <c r="B17" s="850" t="s">
        <v>346</v>
      </c>
      <c r="C17" s="850"/>
      <c r="D17" s="314"/>
      <c r="E17" s="315"/>
      <c r="F17" s="311"/>
      <c r="G17" s="1"/>
      <c r="H17" s="480"/>
      <c r="I17" s="480"/>
    </row>
    <row r="18" spans="1:22" ht="15">
      <c r="A18" s="310">
        <v>1</v>
      </c>
      <c r="B18" s="566" t="s">
        <v>425</v>
      </c>
      <c r="C18" s="816">
        <v>100921595</v>
      </c>
      <c r="D18" s="786"/>
      <c r="E18" s="776"/>
      <c r="F18" s="311"/>
      <c r="G18" s="1"/>
      <c r="H18" s="480"/>
      <c r="I18" s="480"/>
    </row>
    <row r="19" spans="1:22" ht="15">
      <c r="A19" s="310">
        <f>A18+1</f>
        <v>2</v>
      </c>
      <c r="B19" s="566" t="s">
        <v>426</v>
      </c>
      <c r="C19" s="816">
        <v>2560757416</v>
      </c>
      <c r="D19" s="786"/>
      <c r="E19" s="776"/>
      <c r="F19" s="311"/>
      <c r="G19" s="1"/>
      <c r="H19" s="480"/>
      <c r="I19" s="480"/>
    </row>
    <row r="20" spans="1:22" ht="15.75">
      <c r="A20" s="310">
        <f>A19+1</f>
        <v>3</v>
      </c>
      <c r="B20" s="502" t="s">
        <v>347</v>
      </c>
      <c r="C20" s="678">
        <f>C18/C19</f>
        <v>3.9410837734736838E-2</v>
      </c>
      <c r="D20" s="315"/>
      <c r="E20" s="315"/>
      <c r="F20" s="311"/>
      <c r="G20" s="1"/>
      <c r="H20" s="480"/>
      <c r="I20" s="480"/>
    </row>
    <row r="21" spans="1:22" ht="15">
      <c r="A21" s="310"/>
      <c r="B21" s="566"/>
      <c r="C21" s="167"/>
      <c r="D21" s="315"/>
      <c r="E21" s="315"/>
      <c r="F21" s="311"/>
      <c r="G21" s="1"/>
      <c r="H21" s="480"/>
      <c r="I21" s="480"/>
    </row>
    <row r="22" spans="1:22" ht="15.75">
      <c r="A22" s="310"/>
      <c r="B22" s="848" t="s">
        <v>385</v>
      </c>
      <c r="C22" s="848"/>
      <c r="D22" s="311"/>
      <c r="E22" s="311"/>
      <c r="F22" s="311"/>
      <c r="G22" s="1"/>
      <c r="H22" s="480"/>
      <c r="I22" s="480"/>
    </row>
    <row r="23" spans="1:22" s="91" customFormat="1" ht="15.75">
      <c r="A23" s="684"/>
      <c r="B23" s="684"/>
      <c r="C23" s="39" t="s">
        <v>348</v>
      </c>
      <c r="D23" s="316" t="s">
        <v>349</v>
      </c>
      <c r="E23" s="316" t="s">
        <v>427</v>
      </c>
      <c r="F23" s="316" t="s">
        <v>350</v>
      </c>
      <c r="G23" s="1"/>
      <c r="H23" s="480"/>
      <c r="I23" s="480"/>
    </row>
    <row r="24" spans="1:22" ht="15">
      <c r="A24" s="310">
        <f>A20+1</f>
        <v>4</v>
      </c>
      <c r="B24" s="566" t="s">
        <v>351</v>
      </c>
      <c r="C24" s="710">
        <f>C19</f>
        <v>2560757416</v>
      </c>
      <c r="D24" s="355">
        <f>C24/C26</f>
        <v>0.77480167830353142</v>
      </c>
      <c r="E24" s="317">
        <f>C20</f>
        <v>3.9410837734736838E-2</v>
      </c>
      <c r="F24" s="356">
        <f>D24*E24</f>
        <v>3.0535583220222248E-2</v>
      </c>
      <c r="G24" s="1"/>
      <c r="H24" s="480"/>
      <c r="I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</row>
    <row r="25" spans="1:22" ht="15.75" thickBot="1">
      <c r="A25" s="310">
        <f>A24+1</f>
        <v>5</v>
      </c>
      <c r="B25" s="584" t="s">
        <v>422</v>
      </c>
      <c r="C25" s="817">
        <v>744291460</v>
      </c>
      <c r="D25" s="355">
        <f>C25/C26</f>
        <v>0.22519832169646861</v>
      </c>
      <c r="E25" s="481">
        <f>((C20*J28)-F24)/D25</f>
        <v>0.12691334982684815</v>
      </c>
      <c r="F25" s="357">
        <f>D25*E25</f>
        <v>2.8580673381883009E-2</v>
      </c>
      <c r="G25" s="776"/>
      <c r="H25" s="480"/>
      <c r="I25" s="480"/>
      <c r="J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</row>
    <row r="26" spans="1:22" s="91" customFormat="1" ht="21" customHeight="1" thickTop="1">
      <c r="A26" s="310">
        <f>A25+1</f>
        <v>6</v>
      </c>
      <c r="B26" s="584" t="s">
        <v>386</v>
      </c>
      <c r="C26" s="679">
        <f>C24+C25</f>
        <v>3305048876</v>
      </c>
      <c r="D26" s="685"/>
      <c r="E26" s="685"/>
      <c r="F26" s="391">
        <f>SUM(F24:F25)</f>
        <v>5.911625660210526E-2</v>
      </c>
      <c r="G26" s="614"/>
      <c r="H26" s="390"/>
      <c r="I26" s="389"/>
      <c r="J26" s="389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</row>
    <row r="27" spans="1:22" ht="15.75">
      <c r="A27" s="681"/>
      <c r="B27" s="358"/>
      <c r="C27" s="786"/>
      <c r="D27" s="614"/>
      <c r="E27" s="614"/>
      <c r="F27" s="614"/>
      <c r="G27" s="614"/>
      <c r="H27" s="389"/>
      <c r="I27" s="695"/>
      <c r="J27" s="695"/>
      <c r="L27" s="696"/>
      <c r="M27" s="696"/>
      <c r="N27" s="696"/>
      <c r="O27" s="480"/>
      <c r="P27" s="480"/>
      <c r="Q27" s="480"/>
      <c r="R27" s="480"/>
      <c r="S27" s="480"/>
      <c r="T27" s="480"/>
      <c r="U27" s="480"/>
      <c r="V27" s="480"/>
    </row>
    <row r="28" spans="1:22" ht="15.75">
      <c r="A28" s="310">
        <f>A26+1</f>
        <v>7</v>
      </c>
      <c r="B28" s="595" t="s">
        <v>424</v>
      </c>
      <c r="C28" s="359"/>
      <c r="D28" s="614"/>
      <c r="E28" s="316" t="s">
        <v>388</v>
      </c>
      <c r="F28" s="392">
        <f>F26/E24</f>
        <v>1.5</v>
      </c>
      <c r="G28" s="614"/>
      <c r="H28" s="389"/>
      <c r="I28" s="566" t="s">
        <v>423</v>
      </c>
      <c r="J28" s="762">
        <v>1.5</v>
      </c>
      <c r="L28" s="696"/>
      <c r="M28" s="696"/>
      <c r="N28" s="696"/>
      <c r="O28" s="480"/>
      <c r="P28" s="480"/>
      <c r="Q28" s="480"/>
      <c r="R28" s="480"/>
      <c r="S28" s="480"/>
      <c r="T28" s="480"/>
      <c r="U28" s="480"/>
      <c r="V28" s="480"/>
    </row>
    <row r="29" spans="1:22" ht="15">
      <c r="A29" s="310"/>
      <c r="B29" s="682"/>
      <c r="C29" s="682"/>
      <c r="D29" s="314"/>
      <c r="E29" s="311"/>
      <c r="F29" s="311"/>
      <c r="G29" s="1"/>
      <c r="H29" s="480"/>
      <c r="I29" s="696"/>
      <c r="L29" s="696"/>
      <c r="M29" s="696"/>
      <c r="N29" s="696"/>
      <c r="O29" s="480"/>
      <c r="P29" s="480"/>
      <c r="Q29" s="480"/>
      <c r="R29" s="480"/>
      <c r="S29" s="480"/>
      <c r="T29" s="480"/>
      <c r="U29" s="480"/>
      <c r="V29" s="480"/>
    </row>
    <row r="30" spans="1:22" ht="15.75">
      <c r="A30" s="682"/>
      <c r="B30" s="849"/>
      <c r="C30" s="849"/>
      <c r="D30" s="682"/>
      <c r="E30" s="682"/>
      <c r="F30" s="681"/>
      <c r="G30" s="1"/>
      <c r="H30" s="480"/>
      <c r="I30" s="696"/>
      <c r="L30" s="696"/>
      <c r="M30" s="696"/>
      <c r="N30" s="696"/>
      <c r="O30" s="480"/>
      <c r="P30" s="480"/>
      <c r="Q30" s="480"/>
      <c r="R30" s="480"/>
      <c r="S30" s="480"/>
      <c r="T30" s="480"/>
      <c r="U30" s="480"/>
      <c r="V30" s="480"/>
    </row>
    <row r="31" spans="1:22" ht="15.75">
      <c r="A31" s="314"/>
      <c r="B31" s="610" t="s">
        <v>144</v>
      </c>
      <c r="C31" s="611"/>
      <c r="D31" s="611"/>
      <c r="E31" s="611"/>
      <c r="F31" s="614"/>
      <c r="G31" s="614"/>
      <c r="H31" s="389"/>
      <c r="I31" s="571"/>
      <c r="L31" s="696"/>
      <c r="M31" s="696"/>
      <c r="N31" s="696"/>
      <c r="O31" s="480"/>
      <c r="P31" s="480"/>
      <c r="Q31" s="480"/>
      <c r="R31" s="480"/>
      <c r="S31" s="480"/>
      <c r="T31" s="480"/>
      <c r="U31" s="480"/>
      <c r="V31" s="480"/>
    </row>
    <row r="32" spans="1:22" ht="15.75">
      <c r="A32" s="612" t="s">
        <v>428</v>
      </c>
      <c r="B32" s="613" t="s">
        <v>462</v>
      </c>
      <c r="C32" s="614"/>
      <c r="D32" s="614"/>
      <c r="E32" s="614"/>
      <c r="F32" s="614"/>
      <c r="G32" s="614"/>
      <c r="H32" s="389"/>
      <c r="I32" s="696"/>
      <c r="L32" s="696"/>
      <c r="M32" s="696"/>
      <c r="N32" s="696"/>
      <c r="O32" s="480"/>
      <c r="P32" s="480"/>
      <c r="Q32" s="480"/>
      <c r="R32" s="480"/>
      <c r="S32" s="480"/>
      <c r="T32" s="480"/>
      <c r="U32" s="480"/>
      <c r="V32" s="480"/>
    </row>
    <row r="33" spans="1:22" ht="15.75">
      <c r="A33" s="612" t="s">
        <v>429</v>
      </c>
      <c r="B33" s="615" t="str">
        <f>CONCATENATE("EKPC Form FF1 for ",'Appx C - True Up'!K77, " Ref Pg 112, Row 23 Bal at End of Year")</f>
        <v>EKPC Form FF1 for 2020 Ref Pg 112, Row 23 Bal at End of Year</v>
      </c>
      <c r="C33" s="614"/>
      <c r="D33" s="614"/>
      <c r="E33" s="614"/>
      <c r="F33" s="614"/>
      <c r="G33" s="614"/>
      <c r="H33" s="389"/>
      <c r="I33" s="696"/>
      <c r="L33" s="696"/>
      <c r="M33" s="696"/>
      <c r="N33" s="696"/>
      <c r="O33" s="480"/>
      <c r="P33" s="480"/>
      <c r="Q33" s="480"/>
      <c r="R33" s="480"/>
      <c r="S33" s="480"/>
      <c r="T33" s="480"/>
      <c r="U33" s="480"/>
      <c r="V33" s="480"/>
    </row>
    <row r="34" spans="1:22" ht="15.75">
      <c r="A34" s="612" t="s">
        <v>430</v>
      </c>
      <c r="B34" s="615" t="str">
        <f>CONCATENATE("EKPC Form FF1 for ",'Appx C - True Up'!K77, " Ref Pg 112, Row 15 Bal at End of Year")</f>
        <v>EKPC Form FF1 for 2020 Ref Pg 112, Row 15 Bal at End of Year</v>
      </c>
      <c r="C34" s="614"/>
      <c r="D34" s="614"/>
      <c r="E34" s="614"/>
      <c r="F34" s="614"/>
      <c r="G34" s="614"/>
      <c r="H34" s="389"/>
      <c r="I34" s="696"/>
      <c r="L34" s="696"/>
      <c r="M34" s="696"/>
      <c r="N34" s="696"/>
      <c r="O34" s="480"/>
      <c r="P34" s="480"/>
      <c r="Q34" s="480"/>
      <c r="R34" s="480"/>
      <c r="S34" s="480"/>
      <c r="T34" s="480"/>
      <c r="U34" s="480"/>
      <c r="V34" s="480"/>
    </row>
    <row r="35" spans="1:22" ht="15">
      <c r="A35" s="612" t="s">
        <v>431</v>
      </c>
      <c r="B35" s="615" t="str">
        <f>CONCATENATE(I30, TEXT(J28,"#.00"),". ",I31)</f>
        <v xml:space="preserve">1.50. </v>
      </c>
      <c r="C35" s="311"/>
      <c r="D35" s="311"/>
      <c r="E35" s="311"/>
      <c r="F35" s="686"/>
      <c r="G35" s="1"/>
      <c r="H35" s="480"/>
      <c r="I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</row>
    <row r="36" spans="1:22" ht="15">
      <c r="A36" s="314"/>
      <c r="B36" s="314"/>
      <c r="C36" s="314"/>
      <c r="D36" s="314"/>
      <c r="E36" s="311"/>
      <c r="F36" s="311"/>
      <c r="G36" s="1"/>
      <c r="H36" s="480"/>
      <c r="I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</row>
    <row r="37" spans="1:22" ht="15">
      <c r="A37" s="90"/>
      <c r="B37" s="90"/>
      <c r="C37" s="90"/>
      <c r="D37" s="314"/>
      <c r="E37" s="311"/>
      <c r="F37" s="311"/>
      <c r="G37" s="1"/>
      <c r="H37" s="480"/>
      <c r="I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</row>
    <row r="38" spans="1:22" ht="15">
      <c r="D38" s="311"/>
      <c r="E38" s="311"/>
      <c r="F38" s="311"/>
      <c r="G38" s="1"/>
      <c r="H38" s="480"/>
      <c r="I38" s="480"/>
    </row>
    <row r="39" spans="1:22" ht="15">
      <c r="D39" s="311"/>
      <c r="E39" s="311"/>
      <c r="F39" s="311"/>
      <c r="G39" s="1"/>
      <c r="H39" s="480"/>
      <c r="I39" s="480"/>
    </row>
    <row r="40" spans="1:22" ht="15">
      <c r="E40" s="93"/>
      <c r="F40" s="93"/>
      <c r="G40" s="480"/>
      <c r="H40" s="480"/>
      <c r="I40" s="480"/>
    </row>
    <row r="41" spans="1:22" ht="15">
      <c r="G41" s="480"/>
      <c r="H41" s="480"/>
      <c r="I41" s="480"/>
    </row>
    <row r="42" spans="1:22" ht="15">
      <c r="A42" s="92"/>
      <c r="G42" s="480"/>
      <c r="H42" s="480"/>
      <c r="I42" s="480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5"/>
  <sheetViews>
    <sheetView zoomScale="80" zoomScaleNormal="80" workbookViewId="0"/>
  </sheetViews>
  <sheetFormatPr defaultColWidth="9.21875" defaultRowHeight="15"/>
  <cols>
    <col min="1" max="1" width="6.44140625" style="563" customWidth="1"/>
    <col min="2" max="2" width="41.6640625" style="563" customWidth="1"/>
    <col min="3" max="14" width="13.6640625" style="563" bestFit="1" customWidth="1"/>
    <col min="15" max="15" width="13.5546875" style="563" bestFit="1" customWidth="1"/>
    <col min="16" max="16" width="12.21875" style="563" customWidth="1"/>
    <col min="17" max="17" width="10.88671875" style="563" bestFit="1" customWidth="1"/>
    <col min="18" max="16384" width="9.21875" style="563"/>
  </cols>
  <sheetData>
    <row r="1" spans="1:19"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36" t="str">
        <f>EKPC!J1</f>
        <v>Attachment H-24A</v>
      </c>
    </row>
    <row r="2" spans="1:19" ht="20.25">
      <c r="B2" s="330" t="str">
        <f>EKPC!A11</f>
        <v>East Kentucky Power Cooperative, Inc.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168" t="s">
        <v>551</v>
      </c>
    </row>
    <row r="3" spans="1:19">
      <c r="B3" s="776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377</v>
      </c>
    </row>
    <row r="4" spans="1:19">
      <c r="A4" s="564"/>
      <c r="B4" s="586" t="s">
        <v>590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05" t="str">
        <f>EKPC!$J$124</f>
        <v>For the 12 months ended 12/31/2020</v>
      </c>
    </row>
    <row r="5" spans="1:19">
      <c r="B5" s="733"/>
      <c r="C5" s="4"/>
      <c r="D5" s="4"/>
      <c r="E5" s="4"/>
      <c r="F5" s="590"/>
      <c r="G5" s="4"/>
      <c r="H5" s="4"/>
      <c r="I5" s="4"/>
      <c r="J5" s="4"/>
      <c r="K5" s="4"/>
      <c r="L5" s="4"/>
      <c r="M5" s="4"/>
      <c r="N5" s="590"/>
      <c r="O5" s="97"/>
    </row>
    <row r="8" spans="1:19" ht="17.25">
      <c r="A8" s="327" t="s">
        <v>188</v>
      </c>
      <c r="B8" s="97"/>
      <c r="C8" s="5" t="s">
        <v>136</v>
      </c>
      <c r="D8" s="5" t="s">
        <v>137</v>
      </c>
      <c r="E8" s="5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7"/>
      <c r="B9" s="9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8">
        <v>1</v>
      </c>
      <c r="B10" s="587" t="s">
        <v>576</v>
      </c>
      <c r="C10" s="582">
        <f>C45</f>
        <v>2517487.36</v>
      </c>
      <c r="D10" s="582">
        <f t="shared" ref="D10:N10" si="0">D45</f>
        <v>2504174.0699999998</v>
      </c>
      <c r="E10" s="582">
        <f t="shared" si="0"/>
        <v>2016383.04</v>
      </c>
      <c r="F10" s="582">
        <f t="shared" si="0"/>
        <v>1704097.29</v>
      </c>
      <c r="G10" s="582">
        <f t="shared" si="0"/>
        <v>1707766.2</v>
      </c>
      <c r="H10" s="582">
        <f t="shared" si="0"/>
        <v>1976463.2400000002</v>
      </c>
      <c r="I10" s="582">
        <f t="shared" si="0"/>
        <v>2263169.6500000004</v>
      </c>
      <c r="J10" s="582">
        <f t="shared" si="0"/>
        <v>2177236.17</v>
      </c>
      <c r="K10" s="582">
        <f t="shared" si="0"/>
        <v>2059324.42</v>
      </c>
      <c r="L10" s="582">
        <f t="shared" si="0"/>
        <v>1624575.3</v>
      </c>
      <c r="M10" s="582">
        <f t="shared" si="0"/>
        <v>2099671.12</v>
      </c>
      <c r="N10" s="582">
        <f t="shared" si="0"/>
        <v>2580857.21</v>
      </c>
      <c r="O10" s="347">
        <f>SUM(C10:N10)</f>
        <v>25231205.07</v>
      </c>
      <c r="P10" s="348">
        <f>ROUND(O10/12,0)</f>
        <v>2102600</v>
      </c>
      <c r="Q10"/>
      <c r="R10" s="466"/>
      <c r="S10"/>
    </row>
    <row r="11" spans="1:19">
      <c r="B11" s="588"/>
      <c r="C11" s="582"/>
      <c r="D11" s="582"/>
      <c r="E11" s="582"/>
      <c r="F11" s="582"/>
      <c r="G11" s="582"/>
      <c r="H11" s="582"/>
      <c r="I11" s="582"/>
      <c r="J11" s="582"/>
      <c r="K11" s="582"/>
      <c r="L11" s="582"/>
      <c r="M11" s="582"/>
      <c r="N11" s="582"/>
      <c r="O11" s="564"/>
      <c r="P11" s="564"/>
      <c r="Q11"/>
    </row>
    <row r="12" spans="1:19">
      <c r="B12" s="588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/>
    </row>
    <row r="13" spans="1:19" ht="17.25">
      <c r="A13" s="329">
        <f>A10+1</f>
        <v>2</v>
      </c>
      <c r="B13" s="587" t="s">
        <v>357</v>
      </c>
      <c r="C13" s="351" t="s">
        <v>136</v>
      </c>
      <c r="D13" s="351" t="s">
        <v>137</v>
      </c>
      <c r="E13" s="351" t="s">
        <v>138</v>
      </c>
      <c r="F13" s="351" t="s">
        <v>139</v>
      </c>
      <c r="G13" s="351" t="s">
        <v>222</v>
      </c>
      <c r="H13" s="351" t="s">
        <v>140</v>
      </c>
      <c r="I13" s="351" t="s">
        <v>223</v>
      </c>
      <c r="J13" s="351" t="s">
        <v>141</v>
      </c>
      <c r="K13" s="351" t="s">
        <v>224</v>
      </c>
      <c r="L13" s="351" t="s">
        <v>225</v>
      </c>
      <c r="M13" s="351" t="s">
        <v>226</v>
      </c>
      <c r="N13" s="351" t="s">
        <v>142</v>
      </c>
      <c r="O13" s="351" t="s">
        <v>10</v>
      </c>
      <c r="P13" s="351" t="s">
        <v>143</v>
      </c>
      <c r="Q13"/>
    </row>
    <row r="14" spans="1:19">
      <c r="A14" s="329">
        <f>A13+1</f>
        <v>3</v>
      </c>
      <c r="B14" s="589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347"/>
      <c r="P14" s="348"/>
      <c r="Q14"/>
    </row>
    <row r="15" spans="1:19">
      <c r="A15" s="329">
        <f t="shared" ref="A15:A31" si="1">A14+1</f>
        <v>4</v>
      </c>
      <c r="B15" s="587" t="s">
        <v>611</v>
      </c>
      <c r="C15" s="767">
        <v>14624.82</v>
      </c>
      <c r="D15" s="767">
        <v>13616.6</v>
      </c>
      <c r="E15" s="767">
        <v>11299.02</v>
      </c>
      <c r="F15" s="767">
        <v>10811.38</v>
      </c>
      <c r="G15" s="767">
        <v>15783.29</v>
      </c>
      <c r="H15" s="767">
        <v>21566.57</v>
      </c>
      <c r="I15" s="767">
        <v>21120.61</v>
      </c>
      <c r="J15" s="767">
        <v>21185.25</v>
      </c>
      <c r="K15" s="767">
        <v>18537.03</v>
      </c>
      <c r="L15" s="767">
        <v>11494.28</v>
      </c>
      <c r="M15" s="767">
        <v>17001.580000000002</v>
      </c>
      <c r="N15" s="767">
        <v>16806.560000000001</v>
      </c>
      <c r="O15" s="347">
        <f>SUM(C15:N15)</f>
        <v>193846.99</v>
      </c>
      <c r="P15" s="348">
        <f>ROUND(O15/12,0)</f>
        <v>16154</v>
      </c>
      <c r="Q15" s="786"/>
    </row>
    <row r="16" spans="1:19">
      <c r="A16" s="329">
        <f t="shared" si="1"/>
        <v>5</v>
      </c>
      <c r="B16" s="587" t="s">
        <v>639</v>
      </c>
      <c r="C16" s="768">
        <v>2810</v>
      </c>
      <c r="D16" s="768">
        <v>2650</v>
      </c>
      <c r="E16" s="768">
        <v>2260</v>
      </c>
      <c r="F16" s="768">
        <v>1950</v>
      </c>
      <c r="G16" s="767">
        <v>2450</v>
      </c>
      <c r="H16" s="767">
        <v>3680</v>
      </c>
      <c r="I16" s="767">
        <v>4290</v>
      </c>
      <c r="J16" s="767">
        <v>4130</v>
      </c>
      <c r="K16" s="767">
        <v>3740</v>
      </c>
      <c r="L16" s="767">
        <v>1970</v>
      </c>
      <c r="M16" s="767">
        <v>2470</v>
      </c>
      <c r="N16" s="767">
        <v>2660</v>
      </c>
      <c r="O16" s="347">
        <f>SUM(C16:N16)</f>
        <v>35060</v>
      </c>
      <c r="P16" s="348">
        <f>ROUND(O16/12,0)</f>
        <v>2922</v>
      </c>
      <c r="Q16" s="786"/>
    </row>
    <row r="17" spans="1:17">
      <c r="A17" s="329">
        <f t="shared" si="1"/>
        <v>6</v>
      </c>
      <c r="B17" s="587" t="s">
        <v>612</v>
      </c>
      <c r="C17" s="696"/>
      <c r="D17" s="696"/>
      <c r="E17" s="696"/>
      <c r="F17" s="696"/>
      <c r="G17" s="696"/>
      <c r="H17" s="696"/>
      <c r="I17" s="696"/>
      <c r="J17" s="696"/>
      <c r="K17" s="696"/>
      <c r="L17" s="696"/>
      <c r="M17" s="696"/>
      <c r="N17" s="696"/>
      <c r="O17" s="564"/>
      <c r="P17" s="564"/>
      <c r="Q17"/>
    </row>
    <row r="18" spans="1:17">
      <c r="A18" s="329">
        <f t="shared" si="1"/>
        <v>7</v>
      </c>
      <c r="B18" s="587" t="s">
        <v>360</v>
      </c>
      <c r="C18" s="767">
        <v>3293.19</v>
      </c>
      <c r="D18" s="767">
        <v>3446.01</v>
      </c>
      <c r="E18" s="767">
        <v>2422.17</v>
      </c>
      <c r="F18" s="767">
        <v>2001.78</v>
      </c>
      <c r="G18" s="767">
        <v>2070.36</v>
      </c>
      <c r="H18" s="767">
        <v>2505.6</v>
      </c>
      <c r="I18" s="767">
        <v>2900.61</v>
      </c>
      <c r="J18" s="767">
        <v>2719.17</v>
      </c>
      <c r="K18" s="767">
        <v>2532.06</v>
      </c>
      <c r="L18" s="767">
        <v>1934.37</v>
      </c>
      <c r="M18" s="767">
        <v>2749.68</v>
      </c>
      <c r="N18" s="767">
        <v>3619.98</v>
      </c>
      <c r="O18" s="347">
        <f t="shared" ref="O18:O30" si="2">SUM(C18:N18)</f>
        <v>32194.98</v>
      </c>
      <c r="P18" s="348">
        <f t="shared" ref="P18:P31" si="3">ROUND(O18/12,0)</f>
        <v>2683</v>
      </c>
      <c r="Q18" s="786"/>
    </row>
    <row r="19" spans="1:17">
      <c r="A19" s="329">
        <f t="shared" si="1"/>
        <v>8</v>
      </c>
      <c r="B19" s="587" t="s">
        <v>361</v>
      </c>
      <c r="C19" s="767">
        <v>6613.92</v>
      </c>
      <c r="D19" s="767">
        <v>5947.2</v>
      </c>
      <c r="E19" s="767">
        <v>4752</v>
      </c>
      <c r="F19" s="767">
        <v>4311.3599999999997</v>
      </c>
      <c r="G19" s="767">
        <v>4588.32</v>
      </c>
      <c r="H19" s="767">
        <v>5945.76</v>
      </c>
      <c r="I19" s="767">
        <v>6369.6</v>
      </c>
      <c r="J19" s="767">
        <v>6085.92</v>
      </c>
      <c r="K19" s="767">
        <v>6081.6</v>
      </c>
      <c r="L19" s="767">
        <v>3589.44</v>
      </c>
      <c r="M19" s="767">
        <v>5174.88</v>
      </c>
      <c r="N19" s="767">
        <v>6101.76</v>
      </c>
      <c r="O19" s="347">
        <f t="shared" si="2"/>
        <v>65561.759999999995</v>
      </c>
      <c r="P19" s="348">
        <f t="shared" si="3"/>
        <v>5463</v>
      </c>
      <c r="Q19" s="786"/>
    </row>
    <row r="20" spans="1:17">
      <c r="A20" s="329">
        <f t="shared" si="1"/>
        <v>9</v>
      </c>
      <c r="B20" s="587" t="s">
        <v>362</v>
      </c>
      <c r="C20" s="767">
        <v>4127.04</v>
      </c>
      <c r="D20" s="767">
        <v>4701.6000000000004</v>
      </c>
      <c r="E20" s="767">
        <v>3808.8</v>
      </c>
      <c r="F20" s="767">
        <v>3267.36</v>
      </c>
      <c r="G20" s="767">
        <v>3653.28</v>
      </c>
      <c r="H20" s="767">
        <v>4461.12</v>
      </c>
      <c r="I20" s="767">
        <v>4772.16</v>
      </c>
      <c r="J20" s="767">
        <v>4466.88</v>
      </c>
      <c r="K20" s="767">
        <v>4224.96</v>
      </c>
      <c r="L20" s="767">
        <v>2743.2</v>
      </c>
      <c r="M20" s="767">
        <v>4105.4399999999996</v>
      </c>
      <c r="N20" s="767">
        <v>4904.6400000000003</v>
      </c>
      <c r="O20" s="347">
        <f t="shared" si="2"/>
        <v>49236.479999999996</v>
      </c>
      <c r="P20" s="348">
        <f t="shared" si="3"/>
        <v>4103</v>
      </c>
      <c r="Q20" s="786"/>
    </row>
    <row r="21" spans="1:17">
      <c r="A21" s="329">
        <f t="shared" si="1"/>
        <v>10</v>
      </c>
      <c r="B21" s="587" t="s">
        <v>363</v>
      </c>
      <c r="C21" s="767">
        <v>121.32</v>
      </c>
      <c r="D21" s="767">
        <v>69.48</v>
      </c>
      <c r="E21" s="767">
        <v>63.72</v>
      </c>
      <c r="F21" s="767">
        <v>5.4</v>
      </c>
      <c r="G21" s="767">
        <v>5.4</v>
      </c>
      <c r="H21" s="767">
        <v>5.4</v>
      </c>
      <c r="I21" s="767">
        <v>5.76</v>
      </c>
      <c r="J21" s="767">
        <v>5.76</v>
      </c>
      <c r="K21" s="767">
        <v>5.76</v>
      </c>
      <c r="L21" s="767">
        <v>5.4</v>
      </c>
      <c r="M21" s="767">
        <v>15.12</v>
      </c>
      <c r="N21" s="767">
        <v>5.4</v>
      </c>
      <c r="O21" s="347">
        <f t="shared" si="2"/>
        <v>313.9199999999999</v>
      </c>
      <c r="P21" s="348">
        <f t="shared" si="3"/>
        <v>26</v>
      </c>
      <c r="Q21" s="786"/>
    </row>
    <row r="22" spans="1:17">
      <c r="A22" s="329">
        <f t="shared" si="1"/>
        <v>11</v>
      </c>
      <c r="B22" s="587" t="s">
        <v>364</v>
      </c>
      <c r="C22" s="767">
        <v>40420.800000000003</v>
      </c>
      <c r="D22" s="767">
        <v>34867.199999999997</v>
      </c>
      <c r="E22" s="767">
        <v>29990.400000000001</v>
      </c>
      <c r="F22" s="767">
        <v>36038.400000000001</v>
      </c>
      <c r="G22" s="767">
        <v>32236.799999999999</v>
      </c>
      <c r="H22" s="767">
        <v>37286.400000000001</v>
      </c>
      <c r="I22" s="767">
        <v>43483.199999999997</v>
      </c>
      <c r="J22" s="767">
        <v>42273.599999999999</v>
      </c>
      <c r="K22" s="767">
        <v>39547.199999999997</v>
      </c>
      <c r="L22" s="767">
        <v>30676.799999999999</v>
      </c>
      <c r="M22" s="767">
        <v>36427.199999999997</v>
      </c>
      <c r="N22" s="767">
        <v>25627.200000000001</v>
      </c>
      <c r="O22" s="347">
        <f t="shared" si="2"/>
        <v>428875.19999999995</v>
      </c>
      <c r="P22" s="348">
        <f t="shared" si="3"/>
        <v>35740</v>
      </c>
      <c r="Q22" s="786"/>
    </row>
    <row r="23" spans="1:17">
      <c r="A23" s="329">
        <f t="shared" si="1"/>
        <v>12</v>
      </c>
      <c r="B23" s="587" t="s">
        <v>365</v>
      </c>
      <c r="C23" s="767">
        <v>1956.96</v>
      </c>
      <c r="D23" s="767">
        <v>1954.8</v>
      </c>
      <c r="E23" s="767">
        <v>1487.88</v>
      </c>
      <c r="F23" s="767">
        <v>1635.84</v>
      </c>
      <c r="G23" s="767">
        <v>992.52</v>
      </c>
      <c r="H23" s="767">
        <v>1341.36</v>
      </c>
      <c r="I23" s="767">
        <v>2488.6799999999998</v>
      </c>
      <c r="J23" s="767">
        <v>2336.7600000000002</v>
      </c>
      <c r="K23" s="767">
        <v>1312.2</v>
      </c>
      <c r="L23" s="767">
        <v>2067.7199999999998</v>
      </c>
      <c r="M23" s="767">
        <v>1522.68</v>
      </c>
      <c r="N23" s="767">
        <v>2112.96</v>
      </c>
      <c r="O23" s="347">
        <f t="shared" si="2"/>
        <v>21210.36</v>
      </c>
      <c r="P23" s="348">
        <f t="shared" si="3"/>
        <v>1768</v>
      </c>
      <c r="Q23" s="786"/>
    </row>
    <row r="24" spans="1:17">
      <c r="A24" s="329">
        <f t="shared" si="1"/>
        <v>13</v>
      </c>
      <c r="B24" s="587" t="s">
        <v>366</v>
      </c>
      <c r="C24" s="767">
        <v>11033.28</v>
      </c>
      <c r="D24" s="767">
        <v>9581.76</v>
      </c>
      <c r="E24" s="767">
        <v>7936.92</v>
      </c>
      <c r="F24" s="767">
        <v>7405.56</v>
      </c>
      <c r="G24" s="767">
        <v>5664.6</v>
      </c>
      <c r="H24" s="767">
        <v>7473.6</v>
      </c>
      <c r="I24" s="767">
        <v>8403.48</v>
      </c>
      <c r="J24" s="767">
        <v>7722</v>
      </c>
      <c r="K24" s="767">
        <v>7214.4</v>
      </c>
      <c r="L24" s="767">
        <v>5465.88</v>
      </c>
      <c r="M24" s="767">
        <v>7498.44</v>
      </c>
      <c r="N24" s="767">
        <v>9654.1200000000008</v>
      </c>
      <c r="O24" s="347">
        <f t="shared" si="2"/>
        <v>95054.04</v>
      </c>
      <c r="P24" s="348">
        <f t="shared" si="3"/>
        <v>7921</v>
      </c>
      <c r="Q24" s="786"/>
    </row>
    <row r="25" spans="1:17">
      <c r="A25" s="329">
        <f t="shared" si="1"/>
        <v>14</v>
      </c>
      <c r="B25" s="587" t="s">
        <v>367</v>
      </c>
      <c r="C25" s="767">
        <v>688.86</v>
      </c>
      <c r="D25" s="767">
        <v>741.6</v>
      </c>
      <c r="E25" s="767">
        <v>518.76</v>
      </c>
      <c r="F25" s="767">
        <v>401.04</v>
      </c>
      <c r="G25" s="767">
        <v>279.54000000000002</v>
      </c>
      <c r="H25" s="767">
        <v>405.54</v>
      </c>
      <c r="I25" s="767">
        <v>489.96</v>
      </c>
      <c r="J25" s="767">
        <v>439.02</v>
      </c>
      <c r="K25" s="767">
        <v>376.2</v>
      </c>
      <c r="L25" s="767">
        <v>362.88</v>
      </c>
      <c r="M25" s="767">
        <v>540.72</v>
      </c>
      <c r="N25" s="767">
        <v>776.34</v>
      </c>
      <c r="O25" s="347">
        <f t="shared" si="2"/>
        <v>6020.4600000000009</v>
      </c>
      <c r="P25" s="348">
        <f t="shared" si="3"/>
        <v>502</v>
      </c>
      <c r="Q25" s="786"/>
    </row>
    <row r="26" spans="1:17">
      <c r="A26" s="329">
        <f t="shared" si="1"/>
        <v>15</v>
      </c>
      <c r="B26" s="587" t="s">
        <v>368</v>
      </c>
      <c r="C26" s="767">
        <v>5180.3999999999996</v>
      </c>
      <c r="D26" s="767">
        <v>4997.5200000000004</v>
      </c>
      <c r="E26" s="767">
        <v>4008.24</v>
      </c>
      <c r="F26" s="767">
        <v>3823.92</v>
      </c>
      <c r="G26" s="767">
        <v>4258.8</v>
      </c>
      <c r="H26" s="767">
        <v>5083.92</v>
      </c>
      <c r="I26" s="767">
        <v>5736.24</v>
      </c>
      <c r="J26" s="767">
        <v>5187.6000000000004</v>
      </c>
      <c r="K26" s="767">
        <v>4954.32</v>
      </c>
      <c r="L26" s="767">
        <v>2931.12</v>
      </c>
      <c r="M26" s="767">
        <v>4137.84</v>
      </c>
      <c r="N26" s="767">
        <v>4874.3999999999996</v>
      </c>
      <c r="O26" s="347">
        <f t="shared" si="2"/>
        <v>55174.32</v>
      </c>
      <c r="P26" s="348">
        <f t="shared" si="3"/>
        <v>4598</v>
      </c>
      <c r="Q26" s="786"/>
    </row>
    <row r="27" spans="1:17">
      <c r="A27" s="329">
        <f t="shared" si="1"/>
        <v>16</v>
      </c>
      <c r="B27" s="587" t="s">
        <v>369</v>
      </c>
      <c r="C27" s="767">
        <v>6405.48</v>
      </c>
      <c r="D27" s="767">
        <v>5447.52</v>
      </c>
      <c r="E27" s="767">
        <v>4757.3999999999996</v>
      </c>
      <c r="F27" s="767">
        <v>5120.28</v>
      </c>
      <c r="G27" s="767">
        <v>5847.12</v>
      </c>
      <c r="H27" s="767">
        <v>6801.12</v>
      </c>
      <c r="I27" s="767">
        <v>7530.84</v>
      </c>
      <c r="J27" s="767">
        <v>7019.64</v>
      </c>
      <c r="K27" s="767">
        <v>6944.4</v>
      </c>
      <c r="L27" s="767">
        <v>4390.92</v>
      </c>
      <c r="M27" s="767">
        <v>4935.96</v>
      </c>
      <c r="N27" s="767">
        <v>5073.4799999999996</v>
      </c>
      <c r="O27" s="347">
        <f t="shared" si="2"/>
        <v>70274.159999999989</v>
      </c>
      <c r="P27" s="348">
        <f t="shared" si="3"/>
        <v>5856</v>
      </c>
      <c r="Q27" s="786"/>
    </row>
    <row r="28" spans="1:17">
      <c r="A28" s="329">
        <f t="shared" si="1"/>
        <v>17</v>
      </c>
      <c r="B28" s="587" t="s">
        <v>370</v>
      </c>
      <c r="C28" s="767">
        <v>3137.25</v>
      </c>
      <c r="D28" s="767">
        <v>2322.79</v>
      </c>
      <c r="E28" s="767">
        <v>1758.83</v>
      </c>
      <c r="F28" s="767">
        <v>1736.16</v>
      </c>
      <c r="G28" s="767">
        <v>1097.69</v>
      </c>
      <c r="H28" s="767">
        <v>1363.66</v>
      </c>
      <c r="I28" s="767">
        <v>1629.63</v>
      </c>
      <c r="J28" s="767">
        <v>1512.66</v>
      </c>
      <c r="K28" s="767">
        <v>1424.12</v>
      </c>
      <c r="L28" s="767">
        <v>1255.69</v>
      </c>
      <c r="M28" s="767">
        <v>1913.23</v>
      </c>
      <c r="N28" s="767">
        <v>2451.2800000000002</v>
      </c>
      <c r="O28" s="347">
        <f t="shared" si="2"/>
        <v>21602.989999999998</v>
      </c>
      <c r="P28" s="348">
        <f t="shared" si="3"/>
        <v>1800</v>
      </c>
      <c r="Q28" s="786"/>
    </row>
    <row r="29" spans="1:17">
      <c r="A29" s="329">
        <f t="shared" si="1"/>
        <v>18</v>
      </c>
      <c r="B29" s="587" t="s">
        <v>371</v>
      </c>
      <c r="C29" s="767">
        <v>9355.68</v>
      </c>
      <c r="D29" s="767">
        <v>8910.7199999999993</v>
      </c>
      <c r="E29" s="767">
        <v>6582.24</v>
      </c>
      <c r="F29" s="767">
        <v>6490.08</v>
      </c>
      <c r="G29" s="767">
        <v>5114.88</v>
      </c>
      <c r="H29" s="767">
        <v>5901.12</v>
      </c>
      <c r="I29" s="767">
        <v>6636.96</v>
      </c>
      <c r="J29" s="767">
        <v>6372</v>
      </c>
      <c r="K29" s="767">
        <v>6117.12</v>
      </c>
      <c r="L29" s="767">
        <v>4340.16</v>
      </c>
      <c r="M29" s="767">
        <v>6966.72</v>
      </c>
      <c r="N29" s="767">
        <v>9023.0400000000009</v>
      </c>
      <c r="O29" s="347">
        <f t="shared" si="2"/>
        <v>81810.720000000001</v>
      </c>
      <c r="P29" s="348">
        <f t="shared" si="3"/>
        <v>6818</v>
      </c>
      <c r="Q29" s="786"/>
    </row>
    <row r="30" spans="1:17">
      <c r="A30" s="329">
        <f t="shared" si="1"/>
        <v>19</v>
      </c>
      <c r="B30" s="587" t="s">
        <v>372</v>
      </c>
      <c r="C30" s="818">
        <v>6808.32</v>
      </c>
      <c r="D30" s="818">
        <v>6238.08</v>
      </c>
      <c r="E30" s="818">
        <v>4740.4799999999996</v>
      </c>
      <c r="F30" s="818">
        <v>4263.84</v>
      </c>
      <c r="G30" s="818">
        <v>3000.96</v>
      </c>
      <c r="H30" s="818">
        <v>3870.72</v>
      </c>
      <c r="I30" s="818">
        <v>4363.2</v>
      </c>
      <c r="J30" s="818">
        <v>4005.36</v>
      </c>
      <c r="K30" s="818">
        <v>3607.2</v>
      </c>
      <c r="L30" s="818">
        <v>3217.68</v>
      </c>
      <c r="M30" s="818">
        <v>4467.6000000000004</v>
      </c>
      <c r="N30" s="818">
        <v>6620.4</v>
      </c>
      <c r="O30" s="350">
        <f t="shared" si="2"/>
        <v>55203.839999999997</v>
      </c>
      <c r="P30" s="352">
        <f t="shared" si="3"/>
        <v>4600</v>
      </c>
      <c r="Q30" s="786"/>
    </row>
    <row r="31" spans="1:17">
      <c r="A31" s="329">
        <f t="shared" si="1"/>
        <v>20</v>
      </c>
      <c r="B31" s="587" t="s">
        <v>526</v>
      </c>
      <c r="C31" s="346">
        <f t="shared" ref="C31:O31" si="4">SUM(C18:C30)</f>
        <v>99142.5</v>
      </c>
      <c r="D31" s="346">
        <f t="shared" si="4"/>
        <v>89226.28</v>
      </c>
      <c r="E31" s="346">
        <f t="shared" si="4"/>
        <v>72827.839999999997</v>
      </c>
      <c r="F31" s="346">
        <f t="shared" si="4"/>
        <v>76501.01999999999</v>
      </c>
      <c r="G31" s="346">
        <f t="shared" si="4"/>
        <v>68810.270000000019</v>
      </c>
      <c r="H31" s="346">
        <f t="shared" si="4"/>
        <v>82445.319999999992</v>
      </c>
      <c r="I31" s="346">
        <f t="shared" si="4"/>
        <v>94810.320000000022</v>
      </c>
      <c r="J31" s="346">
        <f t="shared" si="4"/>
        <v>90146.37000000001</v>
      </c>
      <c r="K31" s="346">
        <f t="shared" si="4"/>
        <v>84341.539999999964</v>
      </c>
      <c r="L31" s="346">
        <f t="shared" si="4"/>
        <v>62981.26</v>
      </c>
      <c r="M31" s="346">
        <f t="shared" si="4"/>
        <v>80455.510000000009</v>
      </c>
      <c r="N31" s="346">
        <f t="shared" si="4"/>
        <v>80845</v>
      </c>
      <c r="O31" s="346">
        <f t="shared" si="4"/>
        <v>982533.22999999986</v>
      </c>
      <c r="P31" s="348">
        <f t="shared" si="3"/>
        <v>81878</v>
      </c>
      <c r="Q31" s="348"/>
    </row>
    <row r="32" spans="1:17">
      <c r="B32" s="587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64"/>
      <c r="O32" s="467"/>
      <c r="P32" s="467"/>
    </row>
    <row r="33" spans="1:18">
      <c r="A33" s="328">
        <f>A31+1</f>
        <v>21</v>
      </c>
      <c r="B33" s="587" t="s">
        <v>358</v>
      </c>
      <c r="C33" s="353">
        <f t="shared" ref="C33:P33" si="5">C15+C31+C16</f>
        <v>116577.32</v>
      </c>
      <c r="D33" s="353">
        <f t="shared" si="5"/>
        <v>105492.88</v>
      </c>
      <c r="E33" s="353">
        <f t="shared" si="5"/>
        <v>86386.86</v>
      </c>
      <c r="F33" s="353">
        <f t="shared" si="5"/>
        <v>89262.399999999994</v>
      </c>
      <c r="G33" s="353">
        <f t="shared" si="5"/>
        <v>87043.560000000027</v>
      </c>
      <c r="H33" s="353">
        <f t="shared" si="5"/>
        <v>107691.88999999998</v>
      </c>
      <c r="I33" s="353">
        <f t="shared" si="5"/>
        <v>120220.93000000002</v>
      </c>
      <c r="J33" s="353">
        <f t="shared" si="5"/>
        <v>115461.62000000001</v>
      </c>
      <c r="K33" s="353">
        <f t="shared" si="5"/>
        <v>106618.56999999996</v>
      </c>
      <c r="L33" s="353">
        <f t="shared" si="5"/>
        <v>76445.540000000008</v>
      </c>
      <c r="M33" s="353">
        <f t="shared" si="5"/>
        <v>99927.090000000011</v>
      </c>
      <c r="N33" s="353">
        <f t="shared" si="5"/>
        <v>100311.56</v>
      </c>
      <c r="O33" s="353">
        <f t="shared" si="5"/>
        <v>1211440.2199999997</v>
      </c>
      <c r="P33" s="353">
        <f t="shared" si="5"/>
        <v>100954</v>
      </c>
    </row>
    <row r="34" spans="1:18">
      <c r="B34" s="587"/>
      <c r="C34" s="564"/>
      <c r="D34" s="564"/>
      <c r="E34" s="564"/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4"/>
    </row>
    <row r="35" spans="1:18" ht="15.75" thickBot="1">
      <c r="A35" s="328">
        <f>A33+1</f>
        <v>22</v>
      </c>
      <c r="B35" s="587" t="s">
        <v>359</v>
      </c>
      <c r="C35" s="706">
        <f t="shared" ref="C35:N35" si="6">C10+C33</f>
        <v>2634064.6799999997</v>
      </c>
      <c r="D35" s="706">
        <f t="shared" si="6"/>
        <v>2609666.9499999997</v>
      </c>
      <c r="E35" s="706">
        <f t="shared" si="6"/>
        <v>2102769.9</v>
      </c>
      <c r="F35" s="706">
        <f t="shared" si="6"/>
        <v>1793359.69</v>
      </c>
      <c r="G35" s="706">
        <f t="shared" si="6"/>
        <v>1794809.76</v>
      </c>
      <c r="H35" s="706">
        <f t="shared" si="6"/>
        <v>2084155.1300000001</v>
      </c>
      <c r="I35" s="706">
        <f t="shared" si="6"/>
        <v>2383390.5800000005</v>
      </c>
      <c r="J35" s="706">
        <f t="shared" si="6"/>
        <v>2292697.79</v>
      </c>
      <c r="K35" s="706">
        <f t="shared" si="6"/>
        <v>2165942.9899999998</v>
      </c>
      <c r="L35" s="706">
        <f t="shared" si="6"/>
        <v>1701020.84</v>
      </c>
      <c r="M35" s="706">
        <f t="shared" si="6"/>
        <v>2199598.21</v>
      </c>
      <c r="N35" s="706">
        <f t="shared" si="6"/>
        <v>2681168.77</v>
      </c>
      <c r="O35" s="354">
        <f>SUM(C35:N35)</f>
        <v>26442645.289999999</v>
      </c>
      <c r="P35" s="354">
        <f>ROUND(O35/12,0)</f>
        <v>2203554</v>
      </c>
    </row>
    <row r="36" spans="1:18" ht="15.75" thickTop="1"/>
    <row r="37" spans="1:18" ht="15.75">
      <c r="C37" s="703"/>
      <c r="D37" s="703"/>
      <c r="E37" s="703"/>
      <c r="F37" s="703"/>
      <c r="G37" s="703"/>
      <c r="H37" s="703"/>
      <c r="I37" s="703"/>
      <c r="J37" s="703"/>
      <c r="K37" s="559"/>
      <c r="L37" s="559"/>
      <c r="M37" s="559"/>
      <c r="N37" s="704"/>
      <c r="O37" s="705"/>
      <c r="P37" s="559"/>
      <c r="Q37" s="564"/>
      <c r="R37" s="564"/>
    </row>
    <row r="38" spans="1:18">
      <c r="B38" s="509" t="s">
        <v>144</v>
      </c>
      <c r="C38" s="510"/>
      <c r="D38" s="510"/>
      <c r="E38" s="510"/>
      <c r="F38" s="510"/>
      <c r="G38" s="510"/>
      <c r="H38" s="510"/>
      <c r="I38" s="510"/>
      <c r="J38" s="510"/>
      <c r="K38" s="467"/>
      <c r="L38" s="467"/>
      <c r="M38" s="467"/>
      <c r="N38" s="564"/>
      <c r="O38" s="564"/>
      <c r="P38" s="564"/>
      <c r="Q38" s="564"/>
      <c r="R38" s="564"/>
    </row>
    <row r="39" spans="1:18">
      <c r="A39" s="564"/>
      <c r="B39" s="572" t="str">
        <f>CONCATENATE("(1) Reflects the system peak demand (coincident peak) during a 60-minute clock hour.  January ",'Appx C - True Up'!K77," through December ",'Appx C - True Up'!K77," information is sourced from the MV90 system.")</f>
        <v>(1) Reflects the system peak demand (coincident peak) during a 60-minute clock hour.  January 2020 through December 2020 information is sourced from the MV90 system.</v>
      </c>
      <c r="C39" s="564"/>
      <c r="D39" s="564"/>
      <c r="E39" s="564"/>
      <c r="F39" s="564"/>
      <c r="G39" s="468"/>
      <c r="H39" s="468"/>
      <c r="I39" s="468"/>
      <c r="J39" s="468"/>
      <c r="K39" s="560"/>
      <c r="L39" s="564"/>
      <c r="M39" s="564"/>
      <c r="N39" s="591"/>
      <c r="O39" s="559"/>
      <c r="P39" s="564"/>
      <c r="Q39" s="564"/>
      <c r="R39" s="564"/>
    </row>
    <row r="40" spans="1:18" ht="15" customHeight="1">
      <c r="B40" s="572"/>
      <c r="K40" s="564"/>
      <c r="L40" s="564"/>
      <c r="M40" s="564"/>
      <c r="N40" s="591"/>
      <c r="O40" s="559"/>
      <c r="P40" s="564"/>
      <c r="Q40" s="564"/>
      <c r="R40" s="564"/>
    </row>
    <row r="41" spans="1:18">
      <c r="B41" s="707" t="s">
        <v>614</v>
      </c>
      <c r="C41" s="767">
        <v>2546119.19</v>
      </c>
      <c r="D41" s="767">
        <v>2527112.75</v>
      </c>
      <c r="E41" s="767">
        <v>2035253.28</v>
      </c>
      <c r="F41" s="767">
        <v>1725089.56</v>
      </c>
      <c r="G41" s="767">
        <v>1726225.09</v>
      </c>
      <c r="H41" s="767">
        <v>2003778.06</v>
      </c>
      <c r="I41" s="767">
        <v>2293412.62</v>
      </c>
      <c r="J41" s="767">
        <v>2206398.44</v>
      </c>
      <c r="K41" s="767">
        <v>2087196.91</v>
      </c>
      <c r="L41" s="767">
        <v>1640827.25</v>
      </c>
      <c r="M41" s="767">
        <v>2121564.09</v>
      </c>
      <c r="N41" s="767">
        <v>2601411.31</v>
      </c>
      <c r="O41" s="347">
        <f>SUM(C41:N41)</f>
        <v>25514388.550000001</v>
      </c>
      <c r="P41" s="348">
        <f>ROUND(O41/12,0)</f>
        <v>2126199</v>
      </c>
      <c r="Q41" s="786"/>
      <c r="R41" s="564"/>
    </row>
    <row r="42" spans="1:18">
      <c r="B42" s="723"/>
      <c r="C42" s="724"/>
      <c r="D42" s="724"/>
      <c r="E42" s="724"/>
      <c r="F42" s="724"/>
      <c r="G42" s="724"/>
      <c r="H42" s="724"/>
      <c r="I42" s="724"/>
      <c r="J42" s="724"/>
      <c r="K42" s="724"/>
      <c r="L42" s="724"/>
      <c r="M42" s="724"/>
      <c r="N42" s="725"/>
      <c r="O42" s="726"/>
      <c r="P42" s="724"/>
      <c r="Q42" s="564"/>
      <c r="R42" s="564"/>
    </row>
    <row r="43" spans="1:18">
      <c r="B43" s="708" t="s">
        <v>616</v>
      </c>
      <c r="C43" s="768">
        <v>2128211</v>
      </c>
      <c r="D43" s="768">
        <v>2033220.28</v>
      </c>
      <c r="E43" s="768">
        <v>1633315.44</v>
      </c>
      <c r="F43" s="768">
        <v>1425897.56</v>
      </c>
      <c r="G43" s="768">
        <v>1332225.03</v>
      </c>
      <c r="H43" s="768">
        <v>1592286.62</v>
      </c>
      <c r="I43" s="768">
        <v>1816276.62</v>
      </c>
      <c r="J43" s="768">
        <v>1729660.12</v>
      </c>
      <c r="K43" s="768">
        <v>1621490.75</v>
      </c>
      <c r="L43" s="768">
        <v>1277380.53</v>
      </c>
      <c r="M43" s="768">
        <v>1659367.31</v>
      </c>
      <c r="N43" s="819">
        <v>2049014.75</v>
      </c>
      <c r="O43" s="346">
        <f>SUM(C43:N43)</f>
        <v>20298346.010000002</v>
      </c>
      <c r="P43" s="346">
        <f>ROUND(O43/12,0)</f>
        <v>1691529</v>
      </c>
      <c r="Q43" s="786"/>
      <c r="R43" s="564"/>
    </row>
    <row r="44" spans="1:18">
      <c r="B44" s="708" t="s">
        <v>615</v>
      </c>
      <c r="C44" s="768">
        <v>389276.36</v>
      </c>
      <c r="D44" s="768">
        <v>470953.79</v>
      </c>
      <c r="E44" s="768">
        <v>383067.6</v>
      </c>
      <c r="F44" s="768">
        <v>278199.73</v>
      </c>
      <c r="G44" s="768">
        <v>375541.17</v>
      </c>
      <c r="H44" s="768">
        <v>384176.62</v>
      </c>
      <c r="I44" s="768">
        <v>446893.03</v>
      </c>
      <c r="J44" s="768">
        <v>447576.05</v>
      </c>
      <c r="K44" s="768">
        <v>437833.67</v>
      </c>
      <c r="L44" s="768">
        <v>347194.77</v>
      </c>
      <c r="M44" s="768">
        <v>440303.81</v>
      </c>
      <c r="N44" s="819">
        <v>531842.46</v>
      </c>
      <c r="O44" s="346">
        <f>SUM(C44:N44)</f>
        <v>4932859.0599999996</v>
      </c>
      <c r="P44" s="346">
        <f>ROUND(O44/12,0)</f>
        <v>411072</v>
      </c>
      <c r="Q44" s="786"/>
      <c r="R44" s="564"/>
    </row>
    <row r="45" spans="1:18">
      <c r="B45" s="708" t="s">
        <v>613</v>
      </c>
      <c r="C45" s="346">
        <f>SUM(C43:C44)</f>
        <v>2517487.36</v>
      </c>
      <c r="D45" s="346">
        <f t="shared" ref="D45:N45" si="7">SUM(D43:D44)</f>
        <v>2504174.0699999998</v>
      </c>
      <c r="E45" s="346">
        <f t="shared" si="7"/>
        <v>2016383.04</v>
      </c>
      <c r="F45" s="346">
        <f t="shared" si="7"/>
        <v>1704097.29</v>
      </c>
      <c r="G45" s="346">
        <f t="shared" si="7"/>
        <v>1707766.2</v>
      </c>
      <c r="H45" s="346">
        <f t="shared" si="7"/>
        <v>1976463.2400000002</v>
      </c>
      <c r="I45" s="346">
        <f t="shared" si="7"/>
        <v>2263169.6500000004</v>
      </c>
      <c r="J45" s="346">
        <f t="shared" si="7"/>
        <v>2177236.17</v>
      </c>
      <c r="K45" s="346">
        <f t="shared" si="7"/>
        <v>2059324.42</v>
      </c>
      <c r="L45" s="346">
        <f t="shared" si="7"/>
        <v>1624575.3</v>
      </c>
      <c r="M45" s="346">
        <f t="shared" si="7"/>
        <v>2099671.12</v>
      </c>
      <c r="N45" s="346">
        <f t="shared" si="7"/>
        <v>2580857.21</v>
      </c>
      <c r="O45" s="709">
        <f>SUM(O43:O44)</f>
        <v>25231205.07</v>
      </c>
      <c r="P45" s="709">
        <f>SUM(P43:P44)</f>
        <v>2102601</v>
      </c>
      <c r="Q45" s="346"/>
      <c r="R45" s="564"/>
    </row>
    <row r="46" spans="1:18">
      <c r="B46" s="708"/>
      <c r="C46" s="724"/>
      <c r="D46" s="724"/>
      <c r="E46" s="724"/>
      <c r="F46" s="724"/>
      <c r="G46" s="724"/>
      <c r="H46" s="724"/>
      <c r="I46" s="724"/>
      <c r="J46" s="724"/>
      <c r="K46" s="724"/>
      <c r="L46" s="724"/>
      <c r="M46" s="724"/>
      <c r="N46" s="725"/>
      <c r="O46" s="726"/>
      <c r="P46" s="724"/>
      <c r="Q46" s="564"/>
      <c r="R46" s="564"/>
    </row>
    <row r="47" spans="1:18">
      <c r="B47" s="708" t="s">
        <v>617</v>
      </c>
      <c r="C47" s="726">
        <f>C41-C45</f>
        <v>28631.830000000075</v>
      </c>
      <c r="D47" s="726">
        <f t="shared" ref="D47:N47" si="8">D41-D45</f>
        <v>22938.680000000168</v>
      </c>
      <c r="E47" s="726">
        <f t="shared" si="8"/>
        <v>18870.239999999991</v>
      </c>
      <c r="F47" s="726">
        <f t="shared" si="8"/>
        <v>20992.270000000019</v>
      </c>
      <c r="G47" s="726">
        <f t="shared" si="8"/>
        <v>18458.89000000013</v>
      </c>
      <c r="H47" s="726">
        <f t="shared" si="8"/>
        <v>27314.819999999832</v>
      </c>
      <c r="I47" s="726">
        <f t="shared" si="8"/>
        <v>30242.969999999739</v>
      </c>
      <c r="J47" s="726">
        <f t="shared" si="8"/>
        <v>29162.270000000019</v>
      </c>
      <c r="K47" s="726">
        <f t="shared" si="8"/>
        <v>27872.489999999991</v>
      </c>
      <c r="L47" s="726">
        <f t="shared" si="8"/>
        <v>16251.949999999953</v>
      </c>
      <c r="M47" s="726">
        <f t="shared" si="8"/>
        <v>21892.969999999739</v>
      </c>
      <c r="N47" s="726">
        <f t="shared" si="8"/>
        <v>20554.100000000093</v>
      </c>
      <c r="O47" s="346">
        <f>SUM(C47:N47)</f>
        <v>283183.47999999975</v>
      </c>
      <c r="P47" s="346">
        <f>ROUND(O47/12,0)</f>
        <v>23599</v>
      </c>
      <c r="Q47" s="564"/>
      <c r="R47" s="564"/>
    </row>
    <row r="48" spans="1:18">
      <c r="B48" s="708"/>
      <c r="C48" s="726"/>
      <c r="D48" s="726"/>
      <c r="E48" s="726"/>
      <c r="F48" s="726"/>
      <c r="G48" s="726"/>
      <c r="H48" s="726"/>
      <c r="I48" s="726"/>
      <c r="J48" s="726"/>
      <c r="K48" s="726"/>
      <c r="L48" s="726"/>
      <c r="M48" s="726"/>
      <c r="N48" s="726"/>
      <c r="O48" s="346"/>
      <c r="P48" s="346"/>
      <c r="Q48" s="564"/>
      <c r="R48" s="564"/>
    </row>
    <row r="49" spans="2:18">
      <c r="B49" s="708" t="s">
        <v>620</v>
      </c>
      <c r="C49" s="820">
        <v>20299.36</v>
      </c>
      <c r="D49" s="820">
        <v>14993.26</v>
      </c>
      <c r="E49" s="820">
        <v>12058.75</v>
      </c>
      <c r="F49" s="820">
        <v>15668.71</v>
      </c>
      <c r="G49" s="820">
        <v>13281.67</v>
      </c>
      <c r="H49" s="820">
        <v>21584.81</v>
      </c>
      <c r="I49" s="820">
        <v>22827.73</v>
      </c>
      <c r="J49" s="820">
        <v>22443.96</v>
      </c>
      <c r="K49" s="820">
        <v>21779.4</v>
      </c>
      <c r="L49" s="820">
        <v>11650.27</v>
      </c>
      <c r="M49" s="820">
        <v>15922.88</v>
      </c>
      <c r="N49" s="820">
        <v>12380.09</v>
      </c>
      <c r="O49" s="346">
        <f>SUM(C49:N49)</f>
        <v>204890.88999999998</v>
      </c>
      <c r="P49" s="346">
        <f>ROUND(O49/12,0)</f>
        <v>17074</v>
      </c>
      <c r="Q49" s="786"/>
      <c r="R49" s="564"/>
    </row>
    <row r="50" spans="2:18">
      <c r="B50" s="708" t="s">
        <v>621</v>
      </c>
      <c r="C50" s="820">
        <v>8332.4699999999993</v>
      </c>
      <c r="D50" s="820">
        <v>7945.37</v>
      </c>
      <c r="E50" s="820">
        <v>6811.48</v>
      </c>
      <c r="F50" s="820">
        <v>5323.57</v>
      </c>
      <c r="G50" s="820">
        <v>5177.2</v>
      </c>
      <c r="H50" s="820">
        <v>5729.84</v>
      </c>
      <c r="I50" s="820">
        <v>7415.27</v>
      </c>
      <c r="J50" s="820">
        <v>6718.33</v>
      </c>
      <c r="K50" s="820">
        <v>6093.11</v>
      </c>
      <c r="L50" s="820">
        <v>4601.6499999999996</v>
      </c>
      <c r="M50" s="820">
        <v>5970.17</v>
      </c>
      <c r="N50" s="820">
        <v>8174.09</v>
      </c>
      <c r="O50" s="346">
        <f>SUM(C50:N50)</f>
        <v>78292.55</v>
      </c>
      <c r="P50" s="346">
        <f>ROUND(O50/12,0)</f>
        <v>6524</v>
      </c>
      <c r="Q50" s="786"/>
      <c r="R50" s="564"/>
    </row>
    <row r="51" spans="2:18">
      <c r="B51" s="708" t="s">
        <v>619</v>
      </c>
      <c r="C51" s="727">
        <f>SUM(C49:C50)</f>
        <v>28631.83</v>
      </c>
      <c r="D51" s="727">
        <f t="shared" ref="D51:N51" si="9">SUM(D49:D50)</f>
        <v>22938.63</v>
      </c>
      <c r="E51" s="727">
        <f t="shared" si="9"/>
        <v>18870.23</v>
      </c>
      <c r="F51" s="727">
        <f t="shared" si="9"/>
        <v>20992.28</v>
      </c>
      <c r="G51" s="727">
        <f t="shared" si="9"/>
        <v>18458.87</v>
      </c>
      <c r="H51" s="727">
        <f t="shared" si="9"/>
        <v>27314.65</v>
      </c>
      <c r="I51" s="727">
        <f t="shared" si="9"/>
        <v>30243</v>
      </c>
      <c r="J51" s="727">
        <f t="shared" si="9"/>
        <v>29162.29</v>
      </c>
      <c r="K51" s="727">
        <f t="shared" si="9"/>
        <v>27872.510000000002</v>
      </c>
      <c r="L51" s="727">
        <f t="shared" si="9"/>
        <v>16251.92</v>
      </c>
      <c r="M51" s="727">
        <f t="shared" si="9"/>
        <v>21893.05</v>
      </c>
      <c r="N51" s="727">
        <f t="shared" si="9"/>
        <v>20554.18</v>
      </c>
      <c r="O51" s="709">
        <f>SUM(O48:O50)</f>
        <v>283183.44</v>
      </c>
      <c r="P51" s="709">
        <f>SUM(P48:P50)</f>
        <v>23598</v>
      </c>
      <c r="Q51" s="564"/>
      <c r="R51" s="564"/>
    </row>
    <row r="52" spans="2:18">
      <c r="B52" s="708"/>
      <c r="C52" s="727"/>
      <c r="D52" s="727"/>
      <c r="E52" s="727"/>
      <c r="F52" s="727"/>
      <c r="G52" s="727"/>
      <c r="H52" s="727"/>
      <c r="I52" s="727"/>
      <c r="J52" s="727"/>
      <c r="K52" s="727"/>
      <c r="L52" s="727"/>
      <c r="M52" s="727"/>
      <c r="N52" s="727"/>
      <c r="O52" s="724"/>
      <c r="P52" s="724"/>
      <c r="Q52" s="564"/>
      <c r="R52" s="564"/>
    </row>
    <row r="53" spans="2:18">
      <c r="B53" s="708" t="s">
        <v>618</v>
      </c>
      <c r="C53" s="727">
        <f>C47-C51</f>
        <v>7.2759576141834259E-11</v>
      </c>
      <c r="D53" s="727">
        <f t="shared" ref="D53:N53" si="10">D47-D51</f>
        <v>5.0000000166619429E-2</v>
      </c>
      <c r="E53" s="727">
        <f t="shared" si="10"/>
        <v>9.9999999911233317E-3</v>
      </c>
      <c r="F53" s="727">
        <f t="shared" si="10"/>
        <v>-9.9999999802093953E-3</v>
      </c>
      <c r="G53" s="727">
        <f t="shared" si="10"/>
        <v>2.0000000131403795E-2</v>
      </c>
      <c r="H53" s="727">
        <f t="shared" si="10"/>
        <v>0.16999999983090675</v>
      </c>
      <c r="I53" s="727">
        <f t="shared" si="10"/>
        <v>-3.0000000260770321E-2</v>
      </c>
      <c r="J53" s="727">
        <f t="shared" si="10"/>
        <v>-1.9999999982246663E-2</v>
      </c>
      <c r="K53" s="727">
        <f t="shared" si="10"/>
        <v>-2.0000000011350494E-2</v>
      </c>
      <c r="L53" s="727">
        <f t="shared" si="10"/>
        <v>2.9999999953361112E-2</v>
      </c>
      <c r="M53" s="727">
        <f t="shared" si="10"/>
        <v>-8.0000000260042725E-2</v>
      </c>
      <c r="N53" s="727">
        <f t="shared" si="10"/>
        <v>-7.9999999907158781E-2</v>
      </c>
      <c r="O53" s="724"/>
      <c r="P53" s="724"/>
      <c r="Q53" s="564"/>
      <c r="R53" s="564"/>
    </row>
    <row r="54" spans="2:18">
      <c r="N54" s="592"/>
    </row>
    <row r="55" spans="2:18">
      <c r="C55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zoomScale="70" zoomScaleNormal="70" zoomScaleSheetLayoutView="70" workbookViewId="0">
      <selection activeCell="G27" sqref="G27"/>
    </sheetView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14" style="99" bestFit="1" customWidth="1"/>
    <col min="12" max="12" width="13.44140625" style="99" bestFit="1" customWidth="1"/>
    <col min="13" max="13" width="9.33203125" style="99"/>
    <col min="14" max="14" width="13.44140625" style="99" bestFit="1" customWidth="1"/>
    <col min="15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12/31/2020</v>
      </c>
      <c r="H5" s="108"/>
      <c r="J5" s="136"/>
    </row>
    <row r="6" spans="1:10" ht="15.75">
      <c r="A6" s="295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2020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759" t="s">
        <v>649</v>
      </c>
      <c r="B9" s="760"/>
      <c r="C9" s="760"/>
      <c r="D9" s="760"/>
      <c r="E9" s="133"/>
      <c r="F9" s="133"/>
      <c r="G9" s="486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47" t="s">
        <v>246</v>
      </c>
      <c r="B11" s="547"/>
      <c r="C11" s="547"/>
      <c r="D11" s="547"/>
      <c r="E11" s="547"/>
      <c r="F11" s="547"/>
      <c r="G11" s="547"/>
      <c r="H11" s="128"/>
      <c r="I11" s="131"/>
      <c r="J11" s="733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6"/>
      <c r="K17" s="516"/>
      <c r="L17" s="516"/>
      <c r="M17" s="516"/>
      <c r="N17" s="516"/>
    </row>
    <row r="18" spans="1:26">
      <c r="B18" s="119">
        <v>1</v>
      </c>
      <c r="C18" s="118"/>
      <c r="D18" s="124" t="s">
        <v>236</v>
      </c>
      <c r="E18" s="546" t="s">
        <v>555</v>
      </c>
      <c r="F18" s="117"/>
      <c r="G18" s="501">
        <f>'Pg 4 of 8 Sch 1 Charges 561'!D42</f>
        <v>4273255.8899999997</v>
      </c>
      <c r="H18" s="126"/>
      <c r="J18" s="517"/>
      <c r="K18" s="518"/>
      <c r="L18" s="485"/>
      <c r="M18" s="485"/>
      <c r="N18" s="485"/>
      <c r="O18" s="101"/>
      <c r="P18" s="101"/>
      <c r="Q18" s="101"/>
    </row>
    <row r="19" spans="1:26">
      <c r="B19" s="119"/>
      <c r="C19" s="118"/>
      <c r="D19" s="124" t="s">
        <v>588</v>
      </c>
      <c r="E19" s="483"/>
      <c r="F19" s="484"/>
      <c r="G19" s="500">
        <f>G35/G34*G18</f>
        <v>71101.330177203577</v>
      </c>
      <c r="H19" s="126"/>
      <c r="J19" s="517"/>
      <c r="K19" s="485"/>
      <c r="L19" s="485"/>
      <c r="M19" s="485"/>
      <c r="N19" s="485"/>
      <c r="O19" s="101"/>
      <c r="P19" s="101"/>
      <c r="Q19" s="101"/>
    </row>
    <row r="20" spans="1:26">
      <c r="B20" s="119"/>
      <c r="C20" s="118"/>
      <c r="D20" s="124" t="s">
        <v>525</v>
      </c>
      <c r="E20" s="465"/>
      <c r="F20" s="117"/>
      <c r="G20" s="500">
        <f>G18-G19</f>
        <v>4202154.5598227959</v>
      </c>
      <c r="H20" s="126"/>
      <c r="J20" s="519"/>
      <c r="K20" s="485"/>
      <c r="L20" s="485"/>
      <c r="M20" s="485"/>
      <c r="N20" s="485"/>
      <c r="O20" s="101"/>
      <c r="P20" s="101"/>
      <c r="Q20" s="101"/>
    </row>
    <row r="21" spans="1:26">
      <c r="B21" s="119"/>
      <c r="C21" s="118"/>
      <c r="D21" s="124"/>
      <c r="E21" s="465"/>
      <c r="F21" s="117"/>
      <c r="G21" s="394"/>
      <c r="H21" s="126"/>
      <c r="J21" s="485"/>
      <c r="K21" s="485"/>
      <c r="L21" s="485"/>
      <c r="M21" s="485"/>
      <c r="N21" s="485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4"/>
      <c r="H22" s="125"/>
    </row>
    <row r="23" spans="1:26">
      <c r="B23" s="119">
        <v>2</v>
      </c>
      <c r="C23" s="118"/>
      <c r="D23" s="124" t="s">
        <v>475</v>
      </c>
      <c r="E23" s="117" t="s">
        <v>474</v>
      </c>
      <c r="F23" s="108"/>
      <c r="G23" s="500">
        <v>0</v>
      </c>
      <c r="H23"/>
      <c r="J23" s="786"/>
      <c r="K23" s="101"/>
      <c r="L23" s="101"/>
      <c r="M23" s="101"/>
      <c r="N23" s="101"/>
      <c r="O23" s="101"/>
      <c r="P23" s="101"/>
    </row>
    <row r="24" spans="1:26">
      <c r="B24" s="119"/>
      <c r="C24" s="118"/>
      <c r="D24" s="124"/>
      <c r="E24" s="115"/>
      <c r="F24" s="117"/>
      <c r="G24" s="395"/>
      <c r="H24" s="125"/>
      <c r="J24" s="734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5" t="s">
        <v>235</v>
      </c>
      <c r="E25" s="416"/>
      <c r="F25" s="417"/>
      <c r="G25" s="500">
        <f>G20-G23</f>
        <v>4202154.5598227959</v>
      </c>
      <c r="H25" s="125"/>
    </row>
    <row r="26" spans="1:26">
      <c r="B26" s="119"/>
      <c r="C26" s="118"/>
      <c r="D26" s="124"/>
      <c r="E26" s="115"/>
      <c r="F26" s="117"/>
      <c r="G26" s="394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12/31/2019</v>
      </c>
      <c r="E27" s="118" t="s">
        <v>473</v>
      </c>
      <c r="F27" s="117"/>
      <c r="G27" s="394">
        <v>0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4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12/31/2020</v>
      </c>
      <c r="E29" s="115"/>
      <c r="F29" s="117"/>
      <c r="G29" s="499">
        <f>G25+G27</f>
        <v>4202154.5598227959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697" t="s">
        <v>638</v>
      </c>
      <c r="E32" s="118" t="s">
        <v>476</v>
      </c>
      <c r="F32" s="117"/>
      <c r="G32" s="771">
        <f>12483505+211429</f>
        <v>12694934</v>
      </c>
      <c r="H32" s="106" t="s">
        <v>232</v>
      </c>
      <c r="J32" s="786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45" t="s">
        <v>415</v>
      </c>
      <c r="C33" s="118"/>
      <c r="D33" s="109" t="s">
        <v>593</v>
      </c>
      <c r="E33" s="138" t="s">
        <v>490</v>
      </c>
      <c r="F33" s="117"/>
      <c r="G33" s="772">
        <f>691972-679827</f>
        <v>12145</v>
      </c>
      <c r="H33" s="106"/>
      <c r="J33" s="786"/>
      <c r="K33" s="571"/>
      <c r="L33" s="571"/>
      <c r="M33" s="571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45" t="s">
        <v>585</v>
      </c>
      <c r="C34" s="118"/>
      <c r="D34" s="109" t="s">
        <v>571</v>
      </c>
      <c r="E34" s="118" t="s">
        <v>596</v>
      </c>
      <c r="F34" s="117"/>
      <c r="G34" s="593">
        <f>G32+G33</f>
        <v>12707079</v>
      </c>
      <c r="H34" s="106"/>
      <c r="J34" s="571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45" t="s">
        <v>586</v>
      </c>
      <c r="C35" s="118"/>
      <c r="D35" s="109" t="s">
        <v>602</v>
      </c>
      <c r="E35" s="118" t="s">
        <v>600</v>
      </c>
      <c r="F35" s="117"/>
      <c r="G35" s="771">
        <v>211429</v>
      </c>
      <c r="H35" s="106"/>
      <c r="J35" s="786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5" thickBot="1">
      <c r="B36" s="545" t="s">
        <v>587</v>
      </c>
      <c r="C36" s="118"/>
      <c r="D36" s="109" t="s">
        <v>572</v>
      </c>
      <c r="E36" s="118"/>
      <c r="F36" s="117"/>
      <c r="G36" s="594">
        <f>G34-G35</f>
        <v>12495650</v>
      </c>
      <c r="H36" s="106" t="s">
        <v>232</v>
      </c>
      <c r="J36" s="735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71"/>
      <c r="Y36"/>
      <c r="Z36"/>
    </row>
    <row r="37" spans="1:26" ht="15.75">
      <c r="B37" s="111"/>
      <c r="C37" s="118"/>
      <c r="D37" s="109"/>
      <c r="E37" s="118"/>
      <c r="F37" s="117"/>
      <c r="G37" s="403"/>
      <c r="H37" s="106"/>
      <c r="J37" s="720"/>
      <c r="K37" s="571"/>
      <c r="L37" s="571"/>
      <c r="M37" s="571"/>
      <c r="N37" s="571"/>
      <c r="O37" s="571"/>
      <c r="P37" s="101"/>
      <c r="Q37" s="101"/>
      <c r="R37" s="101"/>
      <c r="S37" s="101"/>
      <c r="T37" s="101"/>
      <c r="U37" s="101"/>
      <c r="V37" s="101"/>
      <c r="W37" s="101"/>
      <c r="X37" s="571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 s="101"/>
      <c r="B39" s="111">
        <f>+B32+1</f>
        <v>7</v>
      </c>
      <c r="C39" s="110"/>
      <c r="D39" s="109" t="s">
        <v>472</v>
      </c>
      <c r="E39" s="114" t="str">
        <f>"(Line "&amp;B25&amp;" / Line "&amp;B32&amp;")"</f>
        <v>(Line 3 / Line 6)</v>
      </c>
      <c r="F39" s="107"/>
      <c r="G39" s="112">
        <f>+G29/G36</f>
        <v>0.33628939349475984</v>
      </c>
      <c r="H39" s="113" t="s">
        <v>231</v>
      </c>
      <c r="J39" s="734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7" t="s">
        <v>144</v>
      </c>
      <c r="C43" s="368"/>
      <c r="D43" s="369"/>
      <c r="E43" s="693"/>
      <c r="F43" s="693"/>
      <c r="G43" s="694"/>
      <c r="H43" s="693"/>
      <c r="I43" s="103"/>
      <c r="J43" s="103"/>
    </row>
    <row r="44" spans="1:26" ht="30" customHeight="1">
      <c r="B44" s="608" t="s">
        <v>16</v>
      </c>
      <c r="C44" s="110"/>
      <c r="D44" s="824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24"/>
      <c r="F44" s="824"/>
      <c r="G44" s="824"/>
      <c r="H44" s="824"/>
      <c r="I44" s="103"/>
      <c r="J44" s="349"/>
      <c r="K44" s="349"/>
      <c r="L44" s="349"/>
      <c r="M44" s="349"/>
      <c r="N44" s="349"/>
      <c r="O44" s="349"/>
      <c r="P44" s="101"/>
      <c r="Q44" s="101"/>
    </row>
    <row r="45" spans="1:26">
      <c r="B45" s="401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20"/>
      <c r="J45" s="698"/>
      <c r="K45" s="101"/>
      <c r="L45" s="101"/>
      <c r="M45" s="101"/>
      <c r="N45" s="101"/>
      <c r="O45" s="101"/>
    </row>
    <row r="46" spans="1:26" ht="15" customHeight="1">
      <c r="B46" s="401" t="s">
        <v>18</v>
      </c>
      <c r="C46" s="106"/>
      <c r="D46" s="824" t="s">
        <v>594</v>
      </c>
      <c r="E46" s="823"/>
      <c r="F46" s="823"/>
      <c r="G46" s="823"/>
      <c r="H46" s="110"/>
      <c r="I46" s="521"/>
      <c r="J46" s="103"/>
      <c r="K46" s="101"/>
      <c r="L46" s="101"/>
      <c r="M46" s="101"/>
      <c r="N46" s="101"/>
      <c r="O46" s="101"/>
    </row>
    <row r="47" spans="1:26">
      <c r="B47" s="401" t="s">
        <v>19</v>
      </c>
      <c r="C47" s="106"/>
      <c r="D47" s="101" t="s">
        <v>597</v>
      </c>
      <c r="E47" s="110"/>
      <c r="F47" s="110"/>
      <c r="G47" s="110"/>
      <c r="H47" s="110"/>
      <c r="I47" s="520"/>
      <c r="J47" s="103"/>
      <c r="K47" s="101"/>
      <c r="L47" s="101"/>
      <c r="M47" s="101"/>
      <c r="N47" s="101"/>
      <c r="O47" s="101"/>
    </row>
    <row r="48" spans="1:26">
      <c r="B48" s="401" t="s">
        <v>20</v>
      </c>
      <c r="C48" s="103"/>
      <c r="D48" s="101" t="s">
        <v>598</v>
      </c>
      <c r="E48" s="103"/>
      <c r="F48" s="103"/>
      <c r="G48" s="103"/>
      <c r="H48" s="103"/>
      <c r="I48" s="103"/>
      <c r="J48" s="103"/>
    </row>
    <row r="49" spans="2:10">
      <c r="B49" s="401" t="s">
        <v>412</v>
      </c>
      <c r="C49" s="103"/>
      <c r="D49" s="101" t="s">
        <v>601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G22" sqref="G22"/>
    </sheetView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12/31/2020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26" t="str">
        <f>EKPC!A11</f>
        <v>East Kentucky Power Cooperative, Inc.</v>
      </c>
      <c r="B9" s="826"/>
      <c r="C9" s="826"/>
      <c r="D9" s="826"/>
      <c r="E9" s="826"/>
      <c r="F9" s="826"/>
      <c r="G9" s="826"/>
      <c r="H9" s="826"/>
      <c r="I9" s="826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8">
        <f>EKPC!J76</f>
        <v>655427292</v>
      </c>
      <c r="J19" s="539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5" t="str">
        <f>CONCATENATE(EKPC!J1,", p 2, line 14 col 5 (Note B)")</f>
        <v>Attachment H-24A, p 2, line 14 col 5 (Note B)</v>
      </c>
      <c r="F20" s="43"/>
      <c r="G20" s="418">
        <f>EKPC!J92</f>
        <v>472479559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8">
        <f>EKPC!J145</f>
        <v>40392908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6.1628358313770067E-2</v>
      </c>
      <c r="I24" s="45">
        <f>G24</f>
        <v>6.1628358313770067E-2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8">
        <f>EKPC!J149+EKPC!J150</f>
        <v>1583530</v>
      </c>
      <c r="J27" s="53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2.4160269481118893E-3</v>
      </c>
      <c r="I28" s="45">
        <f>G28</f>
        <v>2.4160269481118893E-3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8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6.4044385261881956E-2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8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8">
        <f>EKPC!J176</f>
        <v>30081336.198063254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6.3666957913968203E-2</v>
      </c>
      <c r="I42" s="45">
        <f>G42</f>
        <v>6.3666957913968203E-2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6.3666957913968203E-2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52" t="s">
        <v>93</v>
      </c>
      <c r="B46" s="467"/>
      <c r="C46" s="467"/>
      <c r="D46" s="467"/>
      <c r="E46" s="467"/>
      <c r="F46" s="467"/>
      <c r="G46" s="467"/>
      <c r="H46" s="467"/>
      <c r="I46" s="467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51" t="s">
        <v>95</v>
      </c>
      <c r="B47" s="562"/>
      <c r="C47" s="827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27"/>
      <c r="E47" s="827"/>
      <c r="F47" s="827"/>
      <c r="G47" s="827"/>
      <c r="H47" s="827"/>
      <c r="I47" s="827"/>
      <c r="J47" s="514"/>
      <c r="K47" s="507"/>
      <c r="L47" s="507"/>
      <c r="M47" s="507"/>
      <c r="N47" s="507"/>
    </row>
    <row r="48" spans="1:49" ht="30" customHeight="1">
      <c r="A48" s="551" t="s">
        <v>96</v>
      </c>
      <c r="B48" s="562"/>
      <c r="C48" s="825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25"/>
      <c r="E48" s="825"/>
      <c r="F48" s="825"/>
      <c r="G48" s="825"/>
      <c r="H48" s="825"/>
      <c r="I48" s="825"/>
      <c r="J48" s="514"/>
      <c r="K48" s="507"/>
      <c r="L48" s="507"/>
      <c r="M48" s="507"/>
      <c r="N48" s="507"/>
    </row>
    <row r="49" spans="1:49" ht="29.25" customHeight="1">
      <c r="A49" s="551" t="s">
        <v>97</v>
      </c>
      <c r="B49" s="562"/>
      <c r="C49" s="825" t="s">
        <v>208</v>
      </c>
      <c r="D49" s="825"/>
      <c r="E49" s="825"/>
      <c r="F49" s="825"/>
      <c r="G49" s="825"/>
      <c r="H49" s="825"/>
      <c r="I49" s="825"/>
      <c r="J49" s="515"/>
      <c r="K49" s="508"/>
      <c r="L49" s="508"/>
      <c r="M49" s="508"/>
      <c r="N49" s="508"/>
    </row>
    <row r="50" spans="1:49">
      <c r="A50" s="551" t="s">
        <v>98</v>
      </c>
      <c r="B50" s="562"/>
      <c r="C50" s="825" t="s">
        <v>209</v>
      </c>
      <c r="D50" s="825"/>
      <c r="E50" s="825"/>
      <c r="F50" s="825"/>
      <c r="G50" s="825"/>
      <c r="H50" s="825"/>
      <c r="I50" s="825"/>
      <c r="J50" s="515"/>
      <c r="K50" s="508"/>
      <c r="L50" s="508"/>
      <c r="M50" s="508"/>
      <c r="N50" s="508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51" t="s">
        <v>99</v>
      </c>
      <c r="B51" s="562"/>
      <c r="C51" s="825" t="s">
        <v>566</v>
      </c>
      <c r="D51" s="825"/>
      <c r="E51" s="825"/>
      <c r="F51" s="825"/>
      <c r="G51" s="825"/>
      <c r="H51" s="825"/>
      <c r="I51" s="825"/>
      <c r="J51" s="514"/>
      <c r="K51" s="618"/>
      <c r="L51" s="618"/>
      <c r="M51" s="618"/>
      <c r="N51" s="618"/>
      <c r="O51" s="9"/>
      <c r="P51" s="9"/>
      <c r="Q51" s="13"/>
      <c r="R51" s="9"/>
      <c r="S51" s="9"/>
      <c r="T51" s="9"/>
      <c r="U51" s="9"/>
      <c r="V51" s="9"/>
      <c r="W51" s="13"/>
      <c r="X51" s="3" t="s">
        <v>563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51" t="s">
        <v>100</v>
      </c>
      <c r="B52" s="562"/>
      <c r="C52" s="825" t="s">
        <v>210</v>
      </c>
      <c r="D52" s="825"/>
      <c r="E52" s="825"/>
      <c r="F52" s="825"/>
      <c r="G52" s="825"/>
      <c r="H52" s="825"/>
      <c r="I52" s="825"/>
      <c r="J52" s="514"/>
      <c r="K52" s="618"/>
      <c r="L52" s="618"/>
      <c r="M52" s="618"/>
      <c r="N52" s="618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51" t="s">
        <v>101</v>
      </c>
      <c r="B53" s="562"/>
      <c r="C53" s="825" t="s">
        <v>569</v>
      </c>
      <c r="D53" s="825"/>
      <c r="E53" s="825"/>
      <c r="F53" s="825"/>
      <c r="G53" s="825"/>
      <c r="H53" s="825"/>
      <c r="I53" s="825"/>
      <c r="J53" s="514"/>
      <c r="K53" s="618"/>
      <c r="L53" s="618"/>
      <c r="M53" s="618"/>
      <c r="N53" s="618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51" t="s">
        <v>102</v>
      </c>
      <c r="B54" s="562"/>
      <c r="C54" s="825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25"/>
      <c r="E54" s="825"/>
      <c r="F54" s="825"/>
      <c r="G54" s="825"/>
      <c r="H54" s="825"/>
      <c r="I54" s="825"/>
      <c r="J54" s="513"/>
      <c r="K54" s="618"/>
      <c r="L54" s="618"/>
      <c r="M54" s="618"/>
      <c r="N54" s="618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12/31/2020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19" t="s">
        <v>188</v>
      </c>
      <c r="L61" s="620"/>
      <c r="M61" s="620" t="s">
        <v>164</v>
      </c>
      <c r="N61" s="621" t="s">
        <v>269</v>
      </c>
      <c r="O61" s="61" t="s">
        <v>189</v>
      </c>
      <c r="P61" s="61" t="s">
        <v>181</v>
      </c>
      <c r="Q61" s="622" t="s">
        <v>190</v>
      </c>
      <c r="R61" s="61" t="s">
        <v>191</v>
      </c>
      <c r="S61" s="61" t="s">
        <v>187</v>
      </c>
      <c r="T61" s="622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33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4" t="s">
        <v>1</v>
      </c>
      <c r="L64" s="9"/>
      <c r="M64" s="9"/>
      <c r="N64" s="9"/>
      <c r="O64" s="756">
        <v>0</v>
      </c>
      <c r="P64" s="56">
        <f>$I$34</f>
        <v>6.4044385261881956E-2</v>
      </c>
      <c r="Q64" s="623">
        <f>O64*P64</f>
        <v>0</v>
      </c>
      <c r="R64" s="692">
        <v>0</v>
      </c>
      <c r="S64" s="56">
        <f>$I$44</f>
        <v>6.3666957913968203E-2</v>
      </c>
      <c r="T64" s="623">
        <f>R64*S64</f>
        <v>0</v>
      </c>
      <c r="U64" s="757">
        <v>0</v>
      </c>
      <c r="V64" s="623">
        <f>Q64+T64+U64</f>
        <v>0</v>
      </c>
      <c r="W64" s="756">
        <v>0</v>
      </c>
      <c r="X64" s="623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4" t="s">
        <v>204</v>
      </c>
      <c r="L65" s="9"/>
      <c r="M65" s="9"/>
      <c r="N65" s="9"/>
      <c r="O65" s="756">
        <v>0</v>
      </c>
      <c r="P65" s="56">
        <f>$I$34</f>
        <v>6.4044385261881956E-2</v>
      </c>
      <c r="Q65" s="623">
        <f>O65*P65</f>
        <v>0</v>
      </c>
      <c r="R65" s="692">
        <v>0</v>
      </c>
      <c r="S65" s="56">
        <f>$I$44</f>
        <v>6.3666957913968203E-2</v>
      </c>
      <c r="T65" s="623">
        <f>R65*S65</f>
        <v>0</v>
      </c>
      <c r="U65" s="757">
        <v>0</v>
      </c>
      <c r="V65" s="623">
        <f>Q65+T65+U65</f>
        <v>0</v>
      </c>
      <c r="W65" s="756">
        <v>0</v>
      </c>
      <c r="X65" s="623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4" t="s">
        <v>205</v>
      </c>
      <c r="L66" s="9"/>
      <c r="M66" s="9"/>
      <c r="N66" s="9"/>
      <c r="O66" s="756">
        <v>0</v>
      </c>
      <c r="P66" s="56">
        <f>$I$34</f>
        <v>6.4044385261881956E-2</v>
      </c>
      <c r="Q66" s="623">
        <f>O66*P66</f>
        <v>0</v>
      </c>
      <c r="R66" s="692">
        <v>0</v>
      </c>
      <c r="S66" s="56">
        <f>$I$44</f>
        <v>6.3666957913968203E-2</v>
      </c>
      <c r="T66" s="623">
        <f>R66*S66</f>
        <v>0</v>
      </c>
      <c r="U66" s="757">
        <v>0</v>
      </c>
      <c r="V66" s="623">
        <f>Q66+T66+U66</f>
        <v>0</v>
      </c>
      <c r="W66" s="756">
        <v>0</v>
      </c>
      <c r="X66" s="623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4"/>
      <c r="L67" s="9"/>
      <c r="M67" s="9"/>
      <c r="N67" s="9"/>
      <c r="O67" s="9"/>
      <c r="P67" s="9"/>
      <c r="Q67" s="623"/>
      <c r="R67" s="9"/>
      <c r="S67" s="9"/>
      <c r="T67" s="623"/>
      <c r="U67" s="9"/>
      <c r="V67" s="623"/>
      <c r="W67" s="9"/>
      <c r="X67" s="623"/>
      <c r="Y67" s="73"/>
      <c r="Z67" s="73"/>
      <c r="AA67" s="73"/>
      <c r="AB67" s="73"/>
      <c r="AC67" s="73"/>
      <c r="AD67" s="73"/>
      <c r="AE67" s="73"/>
    </row>
    <row r="68" spans="11:31">
      <c r="K68" s="624"/>
      <c r="L68" s="9"/>
      <c r="M68" s="9"/>
      <c r="N68" s="9"/>
      <c r="O68" s="9"/>
      <c r="P68" s="9"/>
      <c r="Q68" s="623"/>
      <c r="R68" s="9"/>
      <c r="S68" s="9"/>
      <c r="T68" s="623"/>
      <c r="U68" s="9"/>
      <c r="V68" s="623"/>
      <c r="W68" s="9"/>
      <c r="X68" s="623"/>
      <c r="Y68" s="73"/>
      <c r="Z68" s="73"/>
      <c r="AA68" s="73"/>
      <c r="AB68" s="73"/>
      <c r="AC68" s="73"/>
      <c r="AD68" s="73"/>
      <c r="AE68" s="73"/>
    </row>
    <row r="69" spans="11:31">
      <c r="K69" s="624"/>
      <c r="L69" s="9"/>
      <c r="M69" s="9"/>
      <c r="N69" s="9"/>
      <c r="O69" s="9"/>
      <c r="P69" s="9"/>
      <c r="Q69" s="623"/>
      <c r="R69" s="9"/>
      <c r="S69" s="9"/>
      <c r="T69" s="623"/>
      <c r="U69" s="9"/>
      <c r="V69" s="623"/>
      <c r="W69" s="9"/>
      <c r="X69" s="623"/>
      <c r="Y69" s="73"/>
      <c r="Z69" s="73"/>
      <c r="AA69" s="73"/>
      <c r="AB69" s="73"/>
      <c r="AC69" s="73"/>
      <c r="AD69" s="73"/>
      <c r="AE69" s="73"/>
    </row>
    <row r="70" spans="11:31">
      <c r="K70" s="624"/>
      <c r="L70" s="9"/>
      <c r="M70" s="9"/>
      <c r="N70" s="9"/>
      <c r="O70" s="9"/>
      <c r="P70" s="9"/>
      <c r="Q70" s="623"/>
      <c r="R70" s="9"/>
      <c r="S70" s="9"/>
      <c r="T70" s="623"/>
      <c r="U70" s="9"/>
      <c r="V70" s="623"/>
      <c r="W70" s="9"/>
      <c r="X70" s="623"/>
      <c r="Y70" s="73"/>
      <c r="Z70" s="73"/>
      <c r="AA70" s="73"/>
      <c r="AB70" s="73"/>
      <c r="AC70" s="73"/>
      <c r="AD70" s="73"/>
      <c r="AE70" s="73"/>
    </row>
    <row r="71" spans="11:31">
      <c r="K71" s="624"/>
      <c r="L71" s="9"/>
      <c r="M71" s="9"/>
      <c r="N71" s="9"/>
      <c r="O71" s="9"/>
      <c r="P71" s="9"/>
      <c r="Q71" s="623"/>
      <c r="R71" s="9"/>
      <c r="S71" s="9"/>
      <c r="T71" s="623"/>
      <c r="U71" s="9"/>
      <c r="V71" s="623"/>
      <c r="W71" s="9"/>
      <c r="X71" s="623"/>
      <c r="Y71" s="73"/>
      <c r="Z71" s="73"/>
      <c r="AA71" s="73"/>
      <c r="AB71" s="73"/>
      <c r="AC71" s="73"/>
      <c r="AD71" s="73"/>
      <c r="AE71" s="73"/>
    </row>
    <row r="72" spans="11:31">
      <c r="K72" s="624"/>
      <c r="L72" s="9"/>
      <c r="M72" s="7"/>
      <c r="N72" s="7"/>
      <c r="O72" s="7"/>
      <c r="P72" s="7"/>
      <c r="Q72" s="625"/>
      <c r="R72" s="7"/>
      <c r="S72" s="7"/>
      <c r="T72" s="625"/>
      <c r="U72" s="7"/>
      <c r="V72" s="625"/>
      <c r="W72" s="7"/>
      <c r="X72" s="625"/>
      <c r="Y72" s="73"/>
      <c r="Z72" s="73"/>
      <c r="AA72" s="73"/>
      <c r="AB72" s="73"/>
      <c r="AC72" s="73"/>
      <c r="AD72" s="73"/>
      <c r="AE72" s="73"/>
    </row>
    <row r="73" spans="11:31">
      <c r="K73" s="624"/>
      <c r="L73" s="9"/>
      <c r="M73" s="7"/>
      <c r="N73" s="7"/>
      <c r="O73" s="7"/>
      <c r="P73" s="7"/>
      <c r="Q73" s="625"/>
      <c r="R73" s="7"/>
      <c r="S73" s="7"/>
      <c r="T73" s="625"/>
      <c r="U73" s="7"/>
      <c r="V73" s="625"/>
      <c r="W73" s="7"/>
      <c r="X73" s="625"/>
      <c r="Y73" s="73"/>
      <c r="Z73" s="73"/>
      <c r="AA73" s="73"/>
      <c r="AB73" s="73"/>
      <c r="AC73" s="73"/>
      <c r="AD73" s="73"/>
      <c r="AE73" s="73"/>
    </row>
    <row r="74" spans="11:31">
      <c r="K74" s="624"/>
      <c r="L74" s="9"/>
      <c r="M74" s="7"/>
      <c r="N74" s="7"/>
      <c r="O74" s="7"/>
      <c r="P74" s="7"/>
      <c r="Q74" s="625"/>
      <c r="R74" s="7"/>
      <c r="S74" s="7"/>
      <c r="T74" s="625"/>
      <c r="U74" s="7"/>
      <c r="V74" s="625"/>
      <c r="W74" s="7"/>
      <c r="X74" s="625"/>
      <c r="Y74" s="73"/>
      <c r="Z74" s="73"/>
      <c r="AA74" s="73"/>
      <c r="AB74" s="73"/>
      <c r="AC74" s="73"/>
      <c r="AD74" s="73"/>
      <c r="AE74" s="73"/>
    </row>
    <row r="75" spans="11:31">
      <c r="K75" s="624"/>
      <c r="L75" s="9"/>
      <c r="M75" s="7"/>
      <c r="N75" s="7"/>
      <c r="O75" s="7"/>
      <c r="P75" s="7"/>
      <c r="Q75" s="625"/>
      <c r="R75" s="7"/>
      <c r="S75" s="7"/>
      <c r="T75" s="625"/>
      <c r="U75" s="7"/>
      <c r="V75" s="625"/>
      <c r="W75" s="7"/>
      <c r="X75" s="625"/>
      <c r="Y75" s="73"/>
      <c r="Z75" s="73"/>
      <c r="AA75" s="73"/>
      <c r="AB75" s="73"/>
      <c r="AC75" s="73"/>
      <c r="AD75" s="73"/>
      <c r="AE75" s="73"/>
    </row>
    <row r="76" spans="11:31">
      <c r="K76" s="624"/>
      <c r="L76" s="9"/>
      <c r="M76" s="7"/>
      <c r="N76" s="7"/>
      <c r="O76" s="7"/>
      <c r="P76" s="7"/>
      <c r="Q76" s="625"/>
      <c r="R76" s="7"/>
      <c r="S76" s="7"/>
      <c r="T76" s="625"/>
      <c r="U76" s="7"/>
      <c r="V76" s="625"/>
      <c r="W76" s="7"/>
      <c r="X76" s="625"/>
      <c r="Y76" s="73"/>
      <c r="Z76" s="73"/>
      <c r="AA76" s="73"/>
      <c r="AB76" s="73"/>
      <c r="AC76" s="73"/>
      <c r="AD76" s="73"/>
      <c r="AE76" s="73"/>
    </row>
    <row r="77" spans="11:31">
      <c r="K77" s="624"/>
      <c r="L77" s="9"/>
      <c r="M77" s="7"/>
      <c r="N77" s="7"/>
      <c r="O77" s="7"/>
      <c r="P77" s="7"/>
      <c r="Q77" s="625"/>
      <c r="R77" s="7"/>
      <c r="S77" s="7"/>
      <c r="T77" s="625"/>
      <c r="U77" s="7"/>
      <c r="V77" s="625"/>
      <c r="W77" s="7"/>
      <c r="X77" s="625"/>
      <c r="Y77" s="73"/>
      <c r="Z77" s="73"/>
      <c r="AA77" s="73"/>
      <c r="AB77" s="73"/>
      <c r="AC77" s="73"/>
      <c r="AD77" s="73"/>
      <c r="AE77" s="73"/>
    </row>
    <row r="78" spans="11:31">
      <c r="K78" s="624"/>
      <c r="L78" s="9"/>
      <c r="M78" s="7"/>
      <c r="N78" s="7"/>
      <c r="O78" s="7"/>
      <c r="P78" s="7"/>
      <c r="Q78" s="625"/>
      <c r="R78" s="7"/>
      <c r="S78" s="7"/>
      <c r="T78" s="625"/>
      <c r="U78" s="7"/>
      <c r="V78" s="625"/>
      <c r="W78" s="7"/>
      <c r="X78" s="625"/>
      <c r="Y78" s="73"/>
      <c r="Z78" s="73"/>
      <c r="AA78" s="73"/>
      <c r="AB78" s="73"/>
      <c r="AC78" s="73"/>
      <c r="AD78" s="73"/>
      <c r="AE78" s="73"/>
    </row>
    <row r="79" spans="11:31">
      <c r="K79" s="624"/>
      <c r="L79" s="9"/>
      <c r="M79" s="7"/>
      <c r="N79" s="7"/>
      <c r="O79" s="7"/>
      <c r="P79" s="7"/>
      <c r="Q79" s="625"/>
      <c r="R79" s="7"/>
      <c r="S79" s="7"/>
      <c r="T79" s="625"/>
      <c r="U79" s="7"/>
      <c r="V79" s="625"/>
      <c r="W79" s="7"/>
      <c r="X79" s="625"/>
      <c r="Y79" s="73"/>
      <c r="Z79" s="73"/>
      <c r="AA79" s="73"/>
      <c r="AB79" s="73"/>
      <c r="AC79" s="73"/>
      <c r="AD79" s="73"/>
      <c r="AE79" s="73"/>
    </row>
    <row r="80" spans="11:31">
      <c r="K80" s="624"/>
      <c r="L80" s="9"/>
      <c r="M80" s="7"/>
      <c r="N80" s="7"/>
      <c r="O80" s="7"/>
      <c r="P80" s="7"/>
      <c r="Q80" s="625"/>
      <c r="R80" s="7"/>
      <c r="S80" s="7"/>
      <c r="T80" s="625"/>
      <c r="U80" s="7"/>
      <c r="V80" s="625"/>
      <c r="W80" s="7"/>
      <c r="X80" s="625"/>
      <c r="Y80" s="73"/>
      <c r="Z80" s="73"/>
      <c r="AA80" s="73"/>
      <c r="AB80" s="73"/>
      <c r="AC80" s="73"/>
      <c r="AD80" s="73"/>
      <c r="AE80" s="73"/>
    </row>
    <row r="81" spans="11:31">
      <c r="K81" s="624"/>
      <c r="L81" s="9"/>
      <c r="M81" s="7"/>
      <c r="N81" s="7"/>
      <c r="O81" s="7"/>
      <c r="P81" s="7"/>
      <c r="Q81" s="625"/>
      <c r="R81" s="7"/>
      <c r="S81" s="7"/>
      <c r="T81" s="625"/>
      <c r="U81" s="7"/>
      <c r="V81" s="625"/>
      <c r="W81" s="7"/>
      <c r="X81" s="625"/>
      <c r="Y81" s="73"/>
      <c r="Z81" s="73"/>
      <c r="AA81" s="73"/>
      <c r="AB81" s="73"/>
      <c r="AC81" s="73"/>
      <c r="AD81" s="73"/>
      <c r="AE81" s="73"/>
    </row>
    <row r="82" spans="11:31">
      <c r="K82" s="624"/>
      <c r="L82" s="9"/>
      <c r="M82" s="7"/>
      <c r="N82" s="7"/>
      <c r="O82" s="7"/>
      <c r="P82" s="7"/>
      <c r="Q82" s="625"/>
      <c r="R82" s="7"/>
      <c r="S82" s="7"/>
      <c r="T82" s="625"/>
      <c r="U82" s="7"/>
      <c r="V82" s="625"/>
      <c r="W82" s="7"/>
      <c r="X82" s="625"/>
      <c r="Y82" s="73"/>
      <c r="Z82" s="73"/>
      <c r="AA82" s="73"/>
      <c r="AB82" s="73"/>
      <c r="AC82" s="73"/>
      <c r="AD82" s="73"/>
      <c r="AE82" s="73"/>
    </row>
    <row r="83" spans="11:31">
      <c r="K83" s="626"/>
      <c r="L83" s="627"/>
      <c r="M83" s="628"/>
      <c r="N83" s="628"/>
      <c r="O83" s="628"/>
      <c r="P83" s="628"/>
      <c r="Q83" s="629"/>
      <c r="R83" s="628"/>
      <c r="S83" s="628"/>
      <c r="T83" s="629"/>
      <c r="U83" s="628"/>
      <c r="V83" s="629"/>
      <c r="W83" s="628"/>
      <c r="X83" s="629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30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29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28"/>
      <c r="O91" s="828"/>
      <c r="P91" s="828"/>
      <c r="Q91" s="828"/>
      <c r="R91" s="828"/>
      <c r="S91" s="828"/>
      <c r="T91" s="828"/>
      <c r="U91" s="828"/>
      <c r="V91" s="828"/>
      <c r="W91" s="828"/>
      <c r="X91" s="828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28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28"/>
      <c r="O92" s="828"/>
      <c r="P92" s="828"/>
      <c r="Q92" s="828"/>
      <c r="R92" s="828"/>
      <c r="S92" s="828"/>
      <c r="T92" s="828"/>
      <c r="U92" s="828"/>
      <c r="V92" s="828"/>
      <c r="W92" s="828"/>
      <c r="X92" s="828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31" t="s">
        <v>97</v>
      </c>
      <c r="L93" s="9"/>
      <c r="M93" s="830" t="s">
        <v>208</v>
      </c>
      <c r="N93" s="830"/>
      <c r="O93" s="830"/>
      <c r="P93" s="830"/>
      <c r="Q93" s="830"/>
      <c r="R93" s="830"/>
      <c r="S93" s="830"/>
      <c r="T93" s="830"/>
      <c r="U93" s="830"/>
      <c r="V93" s="830"/>
      <c r="W93" s="830"/>
      <c r="X93" s="830"/>
      <c r="Y93" s="73"/>
      <c r="Z93" s="73"/>
      <c r="AA93" s="73"/>
      <c r="AB93" s="73"/>
      <c r="AC93" s="73"/>
      <c r="AD93" s="73"/>
      <c r="AE93" s="73"/>
    </row>
    <row r="94" spans="11:31">
      <c r="K94" s="631" t="s">
        <v>98</v>
      </c>
      <c r="L94" s="9"/>
      <c r="M94" s="830" t="s">
        <v>209</v>
      </c>
      <c r="N94" s="830"/>
      <c r="O94" s="830"/>
      <c r="P94" s="830"/>
      <c r="Q94" s="830"/>
      <c r="R94" s="830"/>
      <c r="S94" s="830"/>
      <c r="T94" s="830"/>
      <c r="U94" s="830"/>
      <c r="V94" s="830"/>
      <c r="W94" s="830"/>
      <c r="X94" s="830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28" t="s">
        <v>566</v>
      </c>
      <c r="N95" s="828"/>
      <c r="O95" s="828"/>
      <c r="P95" s="828"/>
      <c r="Q95" s="828"/>
      <c r="R95" s="828"/>
      <c r="S95" s="828"/>
      <c r="T95" s="828"/>
      <c r="U95" s="828"/>
      <c r="V95" s="828"/>
      <c r="W95" s="828"/>
      <c r="X95" s="828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28" t="s">
        <v>210</v>
      </c>
      <c r="N96" s="828"/>
      <c r="O96" s="828"/>
      <c r="P96" s="828"/>
      <c r="Q96" s="828"/>
      <c r="R96" s="828"/>
      <c r="S96" s="828"/>
      <c r="T96" s="828"/>
      <c r="U96" s="828"/>
      <c r="V96" s="828"/>
      <c r="W96" s="828"/>
      <c r="X96" s="828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28" t="s">
        <v>211</v>
      </c>
      <c r="N97" s="828"/>
      <c r="O97" s="828"/>
      <c r="P97" s="828"/>
      <c r="Q97" s="828"/>
      <c r="R97" s="828"/>
      <c r="S97" s="828"/>
      <c r="T97" s="828"/>
      <c r="U97" s="828"/>
      <c r="V97" s="828"/>
      <c r="W97" s="828"/>
      <c r="X97" s="828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28" t="s">
        <v>267</v>
      </c>
      <c r="N98" s="828"/>
      <c r="O98" s="828"/>
      <c r="P98" s="828"/>
      <c r="Q98" s="828"/>
      <c r="R98" s="828"/>
      <c r="S98" s="828"/>
      <c r="T98" s="828"/>
      <c r="U98" s="828"/>
      <c r="V98" s="828"/>
      <c r="W98" s="828"/>
      <c r="X98" s="828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  <mergeCell ref="C50:I50"/>
    <mergeCell ref="C51:I51"/>
    <mergeCell ref="C52:I52"/>
    <mergeCell ref="C53:I53"/>
    <mergeCell ref="A9:I9"/>
    <mergeCell ref="C47:I47"/>
    <mergeCell ref="C48:I48"/>
    <mergeCell ref="C49:I49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80" zoomScaleNormal="70" zoomScaleSheetLayoutView="80" workbookViewId="0">
      <selection activeCell="G1" sqref="G1"/>
    </sheetView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7.88671875" customWidth="1"/>
  </cols>
  <sheetData>
    <row r="1" spans="1:13">
      <c r="A1" s="30"/>
      <c r="B1" s="30"/>
      <c r="C1" s="30"/>
      <c r="D1" s="30"/>
      <c r="E1" s="3" t="str">
        <f>EKPC!J1</f>
        <v>Attachment H-24A</v>
      </c>
      <c r="G1" s="30"/>
      <c r="H1" s="795">
        <v>2100</v>
      </c>
      <c r="I1" s="795">
        <v>2100</v>
      </c>
      <c r="J1" s="795">
        <v>2130</v>
      </c>
      <c r="K1" s="795">
        <v>2130</v>
      </c>
      <c r="L1" s="795">
        <v>2140</v>
      </c>
      <c r="M1" s="795">
        <v>2140</v>
      </c>
    </row>
    <row r="2" spans="1:13">
      <c r="A2" s="30"/>
      <c r="B2" s="30"/>
      <c r="C2" s="30"/>
      <c r="D2" s="30"/>
      <c r="E2" s="3" t="s">
        <v>405</v>
      </c>
      <c r="H2" s="794" t="s">
        <v>640</v>
      </c>
      <c r="I2" s="794" t="s">
        <v>641</v>
      </c>
      <c r="J2" s="794" t="s">
        <v>642</v>
      </c>
      <c r="K2" s="794" t="s">
        <v>643</v>
      </c>
      <c r="L2" s="796" t="s">
        <v>644</v>
      </c>
      <c r="M2" s="796" t="s">
        <v>645</v>
      </c>
    </row>
    <row r="3" spans="1:13">
      <c r="A3" s="30"/>
      <c r="B3" s="30"/>
      <c r="C3" s="30"/>
      <c r="D3" s="30"/>
      <c r="E3" s="167" t="s">
        <v>151</v>
      </c>
      <c r="G3" s="794" t="s">
        <v>650</v>
      </c>
      <c r="H3">
        <v>81332907.280000001</v>
      </c>
      <c r="I3">
        <v>2771352.36</v>
      </c>
      <c r="J3">
        <v>1060682.68</v>
      </c>
      <c r="K3">
        <v>-50.83</v>
      </c>
      <c r="L3">
        <v>55096.13</v>
      </c>
      <c r="M3">
        <v>7629.14</v>
      </c>
    </row>
    <row r="4" spans="1:13">
      <c r="A4" s="30"/>
      <c r="B4" s="30"/>
      <c r="C4" s="30"/>
      <c r="D4" s="30"/>
      <c r="E4" s="31" t="str">
        <f>EKPC!J7</f>
        <v>For the 12 months ended 12/31/2020</v>
      </c>
      <c r="G4" s="794"/>
    </row>
    <row r="5" spans="1:13">
      <c r="A5" s="84" t="s">
        <v>212</v>
      </c>
      <c r="B5" s="94"/>
      <c r="C5" s="94"/>
      <c r="D5" s="84"/>
      <c r="E5" s="84"/>
      <c r="F5" s="84"/>
      <c r="G5" s="794"/>
      <c r="H5" s="797"/>
      <c r="I5" s="797"/>
      <c r="J5" s="797"/>
      <c r="K5" s="797"/>
      <c r="L5" s="797"/>
      <c r="M5" s="797"/>
    </row>
    <row r="6" spans="1:13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794" t="s">
        <v>654</v>
      </c>
      <c r="H6" s="422">
        <f t="shared" ref="H6:M6" si="0">SUM(H3:H5)</f>
        <v>81332907.280000001</v>
      </c>
      <c r="I6" s="422">
        <f t="shared" si="0"/>
        <v>2771352.36</v>
      </c>
      <c r="J6" s="422">
        <f t="shared" si="0"/>
        <v>1060682.68</v>
      </c>
      <c r="K6" s="422">
        <f t="shared" si="0"/>
        <v>-50.83</v>
      </c>
      <c r="L6" s="422">
        <f t="shared" si="0"/>
        <v>55096.13</v>
      </c>
      <c r="M6" s="422">
        <f t="shared" si="0"/>
        <v>7629.14</v>
      </c>
    </row>
    <row r="7" spans="1:13">
      <c r="A7" s="86"/>
      <c r="B7" s="94"/>
      <c r="C7" s="94"/>
      <c r="D7" s="86"/>
      <c r="E7" s="733"/>
      <c r="F7" s="86"/>
      <c r="G7" s="794" t="s">
        <v>655</v>
      </c>
      <c r="H7">
        <f>SUM(H6:M6)</f>
        <v>85227616.760000005</v>
      </c>
    </row>
    <row r="8" spans="1:13">
      <c r="A8" s="826" t="str">
        <f>EKPC!A11</f>
        <v>East Kentucky Power Cooperative, Inc.</v>
      </c>
      <c r="B8" s="826"/>
      <c r="C8" s="826"/>
      <c r="D8" s="826"/>
      <c r="E8" s="826"/>
      <c r="F8" s="826"/>
      <c r="G8" s="30"/>
    </row>
    <row r="9" spans="1:13">
      <c r="A9" s="504" t="s">
        <v>603</v>
      </c>
      <c r="B9" s="94"/>
      <c r="C9" s="94"/>
      <c r="D9" s="86"/>
      <c r="E9" s="86"/>
      <c r="F9" s="86"/>
      <c r="G9" s="30"/>
    </row>
    <row r="10" spans="1:13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13">
      <c r="A11" s="142" t="s">
        <v>6</v>
      </c>
      <c r="B11" s="9"/>
      <c r="C11" s="10"/>
      <c r="D11" s="10"/>
      <c r="E11" s="729"/>
      <c r="F11" s="12"/>
      <c r="G11" s="30"/>
    </row>
    <row r="12" spans="1:13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13">
      <c r="A13" s="1"/>
      <c r="B13" s="1"/>
      <c r="C13" s="1"/>
      <c r="D13" s="1"/>
      <c r="E13" s="1"/>
      <c r="F13" s="30"/>
      <c r="G13" s="30"/>
    </row>
    <row r="14" spans="1:13" ht="15.75">
      <c r="A14" s="1"/>
      <c r="B14" s="1"/>
      <c r="C14" s="419" t="s">
        <v>409</v>
      </c>
      <c r="D14" s="1"/>
      <c r="E14" s="1"/>
      <c r="F14" s="384"/>
    </row>
    <row r="15" spans="1:13">
      <c r="A15" s="1"/>
      <c r="B15" s="1"/>
      <c r="C15" s="1"/>
      <c r="D15" s="1"/>
      <c r="E15" s="1"/>
    </row>
    <row r="16" spans="1:13" ht="30.75">
      <c r="A16" s="731">
        <f>1</f>
        <v>1</v>
      </c>
      <c r="B16" s="561"/>
      <c r="C16" s="763" t="s">
        <v>651</v>
      </c>
      <c r="D16" s="561"/>
      <c r="E16" s="777">
        <f>81032342.96+(-18238863.04)</f>
        <v>62793479.919999994</v>
      </c>
      <c r="F16" s="571"/>
      <c r="G16" s="798"/>
    </row>
    <row r="17" spans="1:12" ht="33.75" customHeight="1">
      <c r="A17" s="632">
        <f t="shared" ref="A17:A24" si="1">+A16+1</f>
        <v>2</v>
      </c>
      <c r="B17" s="561"/>
      <c r="C17" s="599" t="str">
        <f>CONCATENATE(H70,I76,"  (2)")</f>
        <v>Less: True Up Under/(Over) Recovery Adjustment for EKPC Appendix H-24A: Adjustment for 12 mo. ended 12/31/2019  (2)</v>
      </c>
      <c r="D17" s="561"/>
      <c r="E17" s="777">
        <v>-18238863.035819996</v>
      </c>
      <c r="F17" s="571"/>
      <c r="G17" s="798"/>
    </row>
    <row r="18" spans="1:12">
      <c r="A18" s="632">
        <f t="shared" si="1"/>
        <v>3</v>
      </c>
      <c r="B18" s="561"/>
      <c r="C18" s="599" t="str">
        <f>CONCATENATE("Transmission revenue requirements for the 12 months ended ",I77,"             (Line 1 - Line 2 )")</f>
        <v>Transmission revenue requirements for the 12 months ended 12/31/2020             (Line 1 - Line 2 )</v>
      </c>
      <c r="D18" s="561"/>
      <c r="E18" s="398">
        <f>E16-E17</f>
        <v>81032342.955819994</v>
      </c>
      <c r="F18" s="571"/>
    </row>
    <row r="19" spans="1:12" ht="15.75">
      <c r="A19" s="632">
        <f t="shared" si="1"/>
        <v>4</v>
      </c>
      <c r="B19" s="561"/>
      <c r="C19" s="599" t="str">
        <f>CONCATENATE(H71,I77," (3)")</f>
        <v>Less: Actual Transmission Revenue Collected for 12 months Ended 12/31/2020 (3)</v>
      </c>
      <c r="D19" s="561"/>
      <c r="E19" s="778">
        <v>85227616.760000005</v>
      </c>
      <c r="F19" s="571"/>
      <c r="G19" s="798"/>
    </row>
    <row r="20" spans="1:12">
      <c r="A20" s="632">
        <f t="shared" si="1"/>
        <v>5</v>
      </c>
      <c r="B20" s="561"/>
      <c r="C20" s="599" t="s">
        <v>626</v>
      </c>
      <c r="D20" s="561"/>
      <c r="E20" s="398">
        <f>E18-E19</f>
        <v>-4195273.8041800112</v>
      </c>
      <c r="F20" s="571"/>
    </row>
    <row r="21" spans="1:12" ht="15.75">
      <c r="A21" s="632">
        <f t="shared" si="1"/>
        <v>6</v>
      </c>
      <c r="B21" s="561"/>
      <c r="C21" s="599" t="s">
        <v>419</v>
      </c>
      <c r="D21" s="561"/>
      <c r="E21" s="779">
        <f>AVERAGE(0.0027,0.0028,0.0027,0.0028,0.0025,0.0028,0.0028,0.0027,0.0028,0.0028,0.0039,0.004,0.0039,0.0042,0.0039,0.0042,0.0046,0.0045,0.0046,0.0045,0.0047,0.0047,0.0045,0.0046)</f>
        <v>3.6749999999999999E-3</v>
      </c>
      <c r="F21" s="571"/>
      <c r="G21" s="798"/>
    </row>
    <row r="22" spans="1:12">
      <c r="A22" s="632">
        <f t="shared" si="1"/>
        <v>7</v>
      </c>
      <c r="B22" s="561"/>
      <c r="C22" s="599" t="s">
        <v>418</v>
      </c>
      <c r="D22" s="561"/>
      <c r="E22" s="741">
        <v>24</v>
      </c>
      <c r="F22" s="571"/>
    </row>
    <row r="23" spans="1:12">
      <c r="A23" s="632">
        <f t="shared" si="1"/>
        <v>8</v>
      </c>
      <c r="B23" s="561"/>
      <c r="C23" s="599" t="s">
        <v>623</v>
      </c>
      <c r="D23" s="561"/>
      <c r="E23" s="633">
        <f>E20*E21*E22</f>
        <v>-370023.14952867699</v>
      </c>
      <c r="F23" s="571"/>
    </row>
    <row r="24" spans="1:12" ht="15" customHeight="1" thickBot="1">
      <c r="A24" s="632">
        <f t="shared" si="1"/>
        <v>9</v>
      </c>
      <c r="B24" s="561"/>
      <c r="C24" s="599" t="s">
        <v>627</v>
      </c>
      <c r="D24" s="561"/>
      <c r="E24" s="634">
        <f>E20+E23</f>
        <v>-4565296.9537086878</v>
      </c>
      <c r="F24" s="571"/>
    </row>
    <row r="25" spans="1:12" ht="15.75" thickTop="1">
      <c r="A25" s="632"/>
      <c r="B25" s="561"/>
      <c r="C25" s="599"/>
      <c r="D25" s="561"/>
      <c r="E25" s="635"/>
      <c r="F25" s="571"/>
    </row>
    <row r="26" spans="1:12">
      <c r="A26" s="632"/>
      <c r="B26" s="833" t="s">
        <v>144</v>
      </c>
      <c r="C26" s="833"/>
      <c r="D26" s="627"/>
      <c r="E26" s="627"/>
      <c r="F26" s="571"/>
    </row>
    <row r="27" spans="1:12">
      <c r="A27" s="632"/>
      <c r="B27" s="608" t="s">
        <v>16</v>
      </c>
      <c r="C27" s="824" t="str">
        <f>CONCATENATE("Revenue requirement from Page 1 of 5, line 7 of ",EKPC!J1,"  for the referenced year.")</f>
        <v>Revenue requirement from Page 1 of 5, line 7 of Attachment H-24A  for the referenced year.</v>
      </c>
      <c r="D27" s="834"/>
      <c r="E27" s="834"/>
      <c r="F27" s="571"/>
    </row>
    <row r="28" spans="1:12" ht="15.75">
      <c r="A28" s="632"/>
      <c r="B28" s="401" t="s">
        <v>17</v>
      </c>
      <c r="C28" s="561" t="str">
        <f>CONCATENATE("EKPC ",EKPC!J1,", page 1 of 5, Line 6a for the referenced recovery year")</f>
        <v>EKPC Attachment H-24A, page 1 of 5, Line 6a for the referenced recovery year</v>
      </c>
      <c r="D28" s="561"/>
      <c r="E28" s="561"/>
      <c r="F28" s="571"/>
      <c r="H28" s="722"/>
      <c r="I28" s="721"/>
      <c r="J28" s="721"/>
      <c r="K28" s="721"/>
      <c r="L28" s="721"/>
    </row>
    <row r="29" spans="1:12">
      <c r="A29" s="632"/>
      <c r="B29" s="636" t="s">
        <v>18</v>
      </c>
      <c r="C29" s="824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24"/>
      <c r="E29" s="824"/>
      <c r="F29" s="571"/>
    </row>
    <row r="30" spans="1:12">
      <c r="A30" s="632"/>
      <c r="B30" s="636" t="s">
        <v>19</v>
      </c>
      <c r="C30" s="561" t="s">
        <v>628</v>
      </c>
      <c r="D30" s="561"/>
      <c r="E30" s="561"/>
      <c r="F30" s="571"/>
    </row>
    <row r="31" spans="1:12">
      <c r="A31" s="632"/>
      <c r="B31" s="636" t="s">
        <v>20</v>
      </c>
      <c r="C31" s="599" t="str">
        <f>CONCATENATE("Goes to  ",EKPC!J1,", page 1 of 5, line 6a")</f>
        <v>Goes to  Attachment H-24A, page 1 of 5, line 6a</v>
      </c>
      <c r="D31" s="561"/>
      <c r="E31" s="561"/>
      <c r="F31" s="571"/>
    </row>
    <row r="32" spans="1:12">
      <c r="A32" s="30"/>
      <c r="B32" s="30"/>
      <c r="C32" s="30"/>
      <c r="D32" s="30"/>
      <c r="E32" s="579" t="str">
        <f>E1</f>
        <v>Attachment H-24A</v>
      </c>
      <c r="F32" s="571"/>
      <c r="G32" s="30"/>
      <c r="H32" s="795">
        <v>2320</v>
      </c>
      <c r="I32" s="795"/>
    </row>
    <row r="33" spans="1:9">
      <c r="A33" s="30"/>
      <c r="B33" s="30"/>
      <c r="C33" s="728"/>
      <c r="D33" s="30"/>
      <c r="E33" s="579" t="s">
        <v>405</v>
      </c>
      <c r="F33" s="571"/>
      <c r="H33" s="794" t="s">
        <v>646</v>
      </c>
      <c r="I33" s="794"/>
    </row>
    <row r="34" spans="1:9">
      <c r="A34" s="30"/>
      <c r="B34" s="30"/>
      <c r="C34" s="30"/>
      <c r="D34" s="30"/>
      <c r="E34" s="167" t="s">
        <v>161</v>
      </c>
      <c r="F34" s="571"/>
      <c r="G34" s="794" t="s">
        <v>650</v>
      </c>
      <c r="H34">
        <v>3996053.77</v>
      </c>
    </row>
    <row r="35" spans="1:9">
      <c r="A35" s="30"/>
      <c r="B35" s="30"/>
      <c r="C35" s="30"/>
      <c r="D35" s="30"/>
      <c r="E35" s="31" t="str">
        <f>E4</f>
        <v>For the 12 months ended 12/31/2020</v>
      </c>
      <c r="F35" s="571"/>
      <c r="G35" s="794"/>
    </row>
    <row r="36" spans="1:9">
      <c r="A36" s="84" t="s">
        <v>212</v>
      </c>
      <c r="B36" s="94"/>
      <c r="C36" s="94"/>
      <c r="D36" s="84"/>
      <c r="E36" s="84"/>
      <c r="F36" s="84"/>
      <c r="G36" s="794"/>
      <c r="H36" s="797"/>
      <c r="I36" s="799"/>
    </row>
    <row r="37" spans="1:9">
      <c r="A37" s="85" t="str">
        <f>CONCATENATE("Utilizing ",EKPC!J1)</f>
        <v>Utilizing Attachment H-24A</v>
      </c>
      <c r="B37" s="94"/>
      <c r="C37" s="94"/>
      <c r="D37" s="84"/>
      <c r="E37" s="84"/>
      <c r="F37" s="84"/>
      <c r="G37" s="794" t="s">
        <v>654</v>
      </c>
      <c r="H37" s="422">
        <f>SUM(H34:H36)</f>
        <v>3996053.77</v>
      </c>
      <c r="I37" s="422"/>
    </row>
    <row r="38" spans="1:9">
      <c r="A38" s="86"/>
      <c r="B38" s="94"/>
      <c r="C38" s="94"/>
      <c r="D38" s="86"/>
      <c r="E38" s="86"/>
      <c r="F38" s="86"/>
      <c r="G38" s="794"/>
    </row>
    <row r="39" spans="1:9">
      <c r="A39" s="826" t="str">
        <f>A8</f>
        <v>East Kentucky Power Cooperative, Inc.</v>
      </c>
      <c r="B39" s="826"/>
      <c r="C39" s="826"/>
      <c r="D39" s="826"/>
      <c r="E39" s="826"/>
      <c r="F39" s="826"/>
    </row>
    <row r="40" spans="1:9">
      <c r="A40" s="637" t="s">
        <v>604</v>
      </c>
      <c r="B40" s="94"/>
      <c r="C40" s="94"/>
      <c r="D40" s="86"/>
      <c r="E40" s="86"/>
      <c r="F40" s="86"/>
    </row>
    <row r="41" spans="1:9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9">
      <c r="A42" s="142" t="s">
        <v>6</v>
      </c>
      <c r="B42" s="9"/>
      <c r="C42" s="10"/>
      <c r="D42" s="10"/>
      <c r="E42" s="9"/>
      <c r="F42" s="12"/>
    </row>
    <row r="43" spans="1:9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9">
      <c r="A44" s="561"/>
      <c r="B44" s="561"/>
      <c r="C44" s="561"/>
      <c r="D44" s="561"/>
      <c r="E44" s="561"/>
      <c r="F44" s="30"/>
    </row>
    <row r="45" spans="1:9" ht="15.75">
      <c r="A45" s="561"/>
      <c r="B45" s="561"/>
      <c r="C45" s="638" t="s">
        <v>410</v>
      </c>
      <c r="D45" s="561"/>
      <c r="E45" s="561"/>
      <c r="F45" s="571"/>
    </row>
    <row r="46" spans="1:9" ht="30.75">
      <c r="A46" s="632">
        <f>+A24+1</f>
        <v>10</v>
      </c>
      <c r="B46" s="561"/>
      <c r="C46" s="763" t="s">
        <v>652</v>
      </c>
      <c r="D46" s="561"/>
      <c r="E46" s="778">
        <f>4202154.56+(918501.69)</f>
        <v>5120656.25</v>
      </c>
      <c r="F46" s="571"/>
      <c r="G46" s="798"/>
    </row>
    <row r="47" spans="1:9" ht="30.75">
      <c r="A47" s="632">
        <f t="shared" ref="A47:A54" si="2">+A46+1</f>
        <v>11</v>
      </c>
      <c r="B47" s="561"/>
      <c r="C47" s="599" t="str">
        <f>CONCATENATE(H72,I76,"  (7)")</f>
        <v>Less: True Up Under/(Over) Recovery Adjustment for EKPC Sch. 1A for for 12 mo. ended 12/31/2019  (7)</v>
      </c>
      <c r="D47" s="561"/>
      <c r="E47" s="780">
        <v>918501.69</v>
      </c>
      <c r="F47" s="571"/>
      <c r="G47" s="798"/>
    </row>
    <row r="48" spans="1:9">
      <c r="A48" s="632">
        <f t="shared" si="2"/>
        <v>12</v>
      </c>
      <c r="B48" s="561"/>
      <c r="C48" s="730" t="s">
        <v>636</v>
      </c>
      <c r="D48" s="561"/>
      <c r="E48" s="639">
        <f>E46-E47</f>
        <v>4202154.5600000005</v>
      </c>
      <c r="F48" s="571"/>
    </row>
    <row r="49" spans="1:7" ht="15.75">
      <c r="A49" s="632">
        <f t="shared" si="2"/>
        <v>13</v>
      </c>
      <c r="B49" s="561"/>
      <c r="C49" s="599" t="str">
        <f>CONCATENATE(H81,I77," (8)")</f>
        <v>Less: Actual Sch. 1A Revenue Collected for 12 months Ended 12/31/2020 (8)</v>
      </c>
      <c r="D49" s="561"/>
      <c r="E49" s="781">
        <v>3996053.77</v>
      </c>
      <c r="F49" s="571"/>
      <c r="G49" s="798"/>
    </row>
    <row r="50" spans="1:7">
      <c r="A50" s="397">
        <f t="shared" si="2"/>
        <v>14</v>
      </c>
      <c r="B50" s="1"/>
      <c r="C50" s="386" t="s">
        <v>440</v>
      </c>
      <c r="D50" s="1"/>
      <c r="E50" s="398">
        <f>E48-E49</f>
        <v>206100.7900000005</v>
      </c>
    </row>
    <row r="51" spans="1:7">
      <c r="A51" s="397">
        <f t="shared" si="2"/>
        <v>15</v>
      </c>
      <c r="B51" s="1"/>
      <c r="C51" s="498" t="s">
        <v>550</v>
      </c>
      <c r="D51" s="1"/>
      <c r="E51" s="399">
        <f>E21</f>
        <v>3.6749999999999999E-3</v>
      </c>
    </row>
    <row r="52" spans="1:7">
      <c r="A52" s="397">
        <f t="shared" si="2"/>
        <v>16</v>
      </c>
      <c r="B52" s="1"/>
      <c r="C52" s="386" t="s">
        <v>418</v>
      </c>
      <c r="D52" s="1"/>
      <c r="E52" s="403">
        <f>E22</f>
        <v>24</v>
      </c>
      <c r="G52" s="703"/>
    </row>
    <row r="53" spans="1:7">
      <c r="A53" s="397">
        <f t="shared" si="2"/>
        <v>17</v>
      </c>
      <c r="B53" s="1"/>
      <c r="C53" s="512" t="s">
        <v>624</v>
      </c>
      <c r="D53" s="370"/>
      <c r="E53" s="396">
        <f>E50*E51*E52</f>
        <v>18178.089678000044</v>
      </c>
    </row>
    <row r="54" spans="1:7" ht="15.75" thickBot="1">
      <c r="A54" s="397">
        <f t="shared" si="2"/>
        <v>18</v>
      </c>
      <c r="B54" s="1"/>
      <c r="C54" s="386" t="s">
        <v>625</v>
      </c>
      <c r="D54" s="1"/>
      <c r="E54" s="400">
        <f>E50+E53</f>
        <v>224278.87967800055</v>
      </c>
    </row>
    <row r="55" spans="1:7" ht="15.75" thickTop="1">
      <c r="A55" s="1"/>
      <c r="B55" s="1"/>
      <c r="C55" s="1"/>
      <c r="D55" s="1"/>
      <c r="E55" s="1"/>
    </row>
    <row r="56" spans="1:7">
      <c r="A56" s="1"/>
      <c r="B56" s="833" t="s">
        <v>144</v>
      </c>
      <c r="C56" s="833"/>
      <c r="D56" s="366"/>
      <c r="E56" s="366"/>
    </row>
    <row r="57" spans="1:7">
      <c r="A57" s="1"/>
      <c r="B57" s="402" t="s">
        <v>412</v>
      </c>
      <c r="C57" s="835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35"/>
      <c r="E57" s="835"/>
    </row>
    <row r="58" spans="1:7">
      <c r="A58" s="1"/>
      <c r="B58" s="402" t="s">
        <v>413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402" t="s">
        <v>414</v>
      </c>
      <c r="C59" s="831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32"/>
      <c r="E59" s="832"/>
    </row>
    <row r="60" spans="1:7">
      <c r="A60" s="1"/>
      <c r="B60" s="402" t="s">
        <v>441</v>
      </c>
      <c r="C60" s="1" t="s">
        <v>653</v>
      </c>
    </row>
    <row r="61" spans="1:7">
      <c r="A61" s="1"/>
      <c r="B61" s="402" t="s">
        <v>442</v>
      </c>
      <c r="C61" s="386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87"/>
    </row>
    <row r="68" spans="3:16" hidden="1">
      <c r="H68" s="406" t="s">
        <v>406</v>
      </c>
      <c r="I68" s="407"/>
      <c r="J68" s="407"/>
      <c r="K68" s="407"/>
      <c r="L68" s="407"/>
      <c r="M68" s="407"/>
      <c r="N68" s="407"/>
      <c r="O68" s="407"/>
      <c r="P68" s="750"/>
    </row>
    <row r="69" spans="3:16" hidden="1">
      <c r="H69" s="408" t="s">
        <v>549</v>
      </c>
      <c r="I69" s="404"/>
      <c r="J69" s="404"/>
      <c r="K69" s="404"/>
      <c r="L69" s="404"/>
      <c r="M69" s="404"/>
      <c r="N69" s="404"/>
      <c r="O69" s="404"/>
      <c r="P69" s="751"/>
    </row>
    <row r="70" spans="3:16" hidden="1">
      <c r="H70" s="409" t="s">
        <v>634</v>
      </c>
      <c r="I70" s="404"/>
      <c r="J70" s="404"/>
      <c r="K70" s="404"/>
      <c r="L70" s="404"/>
      <c r="M70" s="404"/>
      <c r="N70" s="404"/>
      <c r="O70" s="404"/>
      <c r="P70" s="751"/>
    </row>
    <row r="71" spans="3:16" hidden="1">
      <c r="H71" s="409" t="s">
        <v>417</v>
      </c>
      <c r="I71" s="404"/>
      <c r="J71" s="404"/>
      <c r="K71" s="404"/>
      <c r="L71" s="404"/>
      <c r="M71" s="404"/>
      <c r="N71" s="404"/>
      <c r="O71" s="404"/>
      <c r="P71" s="751"/>
    </row>
    <row r="72" spans="3:16" hidden="1">
      <c r="H72" s="409" t="s">
        <v>635</v>
      </c>
      <c r="I72" s="404"/>
      <c r="J72" s="404"/>
      <c r="K72" s="404"/>
      <c r="L72" s="404"/>
      <c r="M72" s="404"/>
      <c r="N72" s="404"/>
      <c r="O72" s="404"/>
      <c r="P72" s="751"/>
    </row>
    <row r="73" spans="3:16" hidden="1">
      <c r="H73" s="409" t="s">
        <v>407</v>
      </c>
      <c r="I73" s="404"/>
      <c r="J73" s="404"/>
      <c r="K73" s="404"/>
      <c r="L73" s="404"/>
      <c r="M73" s="404"/>
      <c r="N73" s="404"/>
      <c r="O73" s="404"/>
      <c r="P73" s="751"/>
    </row>
    <row r="74" spans="3:16" hidden="1">
      <c r="H74" s="409" t="s">
        <v>408</v>
      </c>
      <c r="I74" s="404"/>
      <c r="J74" s="404"/>
      <c r="K74" s="404"/>
      <c r="L74" s="404"/>
      <c r="M74" s="404"/>
      <c r="N74" s="404"/>
      <c r="O74" s="404"/>
      <c r="P74" s="751"/>
    </row>
    <row r="75" spans="3:16" hidden="1">
      <c r="H75" s="410">
        <f>IF(OR(MOD(K77,400)=0,AND(MOD(K77,4)=0,MOD(K77,100)&lt;&gt;0)),DATEVALUE(RIGHT(EKPC!J7,10))-366-365, DATEVALUE(RIGHT(EKPC!J7,10))-365-365)</f>
        <v>43465</v>
      </c>
      <c r="I75" s="404" t="str">
        <f>TEXT(H75,"mm/dd/yyyy")</f>
        <v>12/31/2018</v>
      </c>
      <c r="J75" s="404"/>
      <c r="K75" s="752">
        <f>K76-1</f>
        <v>2018</v>
      </c>
      <c r="L75" s="404"/>
      <c r="M75" s="404"/>
      <c r="N75" s="404"/>
      <c r="O75" s="404"/>
      <c r="P75" s="751"/>
    </row>
    <row r="76" spans="3:16" hidden="1">
      <c r="H76" s="410">
        <f>IF(OR(MOD(K77,400)=0,AND(MOD(K77,4)=0,MOD(K77,100)&lt;&gt;0)),DATEVALUE(RIGHT(EKPC!J7,10))-366, DATEVALUE(RIGHT(EKPC!J7,10))-365)</f>
        <v>43830</v>
      </c>
      <c r="I76" s="404" t="str">
        <f>TEXT(H76,"mm/dd/yyyy")</f>
        <v>12/31/2019</v>
      </c>
      <c r="J76" s="404"/>
      <c r="K76" s="752">
        <f>K77-1</f>
        <v>2019</v>
      </c>
      <c r="L76" s="404"/>
      <c r="M76" s="404"/>
      <c r="N76" s="404"/>
      <c r="O76" s="404"/>
      <c r="P76" s="751"/>
    </row>
    <row r="77" spans="3:16" hidden="1">
      <c r="H77" s="410">
        <f>DATEVALUE(RIGHT(EKPC!J7,10))</f>
        <v>44196</v>
      </c>
      <c r="I77" s="404" t="str">
        <f>TEXT(H77,"mm/dd/yyyy")</f>
        <v>12/31/2020</v>
      </c>
      <c r="J77" s="404"/>
      <c r="K77" s="752" t="str">
        <f>RIGHT(EKPC!J7,4)</f>
        <v>2020</v>
      </c>
      <c r="L77" s="404"/>
      <c r="M77" s="404"/>
      <c r="N77" s="404"/>
      <c r="O77" s="404"/>
      <c r="P77" s="751"/>
    </row>
    <row r="78" spans="3:16" hidden="1">
      <c r="H78" s="410">
        <f>IF(OR(MOD(K78,400)=0,AND(MOD(K78,4)=0,MOD(K78,100)&lt;&gt;0)),DATEVALUE(RIGHT(EKPC!J7,10))+366, DATEVALUE(RIGHT(EKPC!J7,10))+365)</f>
        <v>44561</v>
      </c>
      <c r="I78" s="404" t="str">
        <f>TEXT(H78,"mm/dd/yyyy")</f>
        <v>12/31/2021</v>
      </c>
      <c r="J78" s="404"/>
      <c r="K78" s="752">
        <f>K77+1</f>
        <v>2021</v>
      </c>
      <c r="L78" s="404"/>
      <c r="M78" s="404"/>
      <c r="N78" s="404"/>
      <c r="O78" s="404"/>
      <c r="P78" s="751"/>
    </row>
    <row r="79" spans="3:16" hidden="1">
      <c r="H79" s="410"/>
      <c r="I79" s="404"/>
      <c r="J79" s="404"/>
      <c r="K79" s="753"/>
      <c r="L79" s="404"/>
      <c r="M79" s="404"/>
      <c r="N79" s="404"/>
      <c r="O79" s="404"/>
      <c r="P79" s="751"/>
    </row>
    <row r="80" spans="3:16" hidden="1">
      <c r="H80" s="409" t="s">
        <v>411</v>
      </c>
      <c r="I80" s="404"/>
      <c r="J80" s="404"/>
      <c r="K80" s="404"/>
      <c r="L80" s="404"/>
      <c r="M80" s="404"/>
      <c r="N80" s="404"/>
      <c r="O80" s="404"/>
      <c r="P80" s="751"/>
    </row>
    <row r="81" spans="8:16" hidden="1">
      <c r="H81" s="411" t="s">
        <v>420</v>
      </c>
      <c r="I81" s="405"/>
      <c r="J81" s="405"/>
      <c r="K81" s="405"/>
      <c r="L81" s="405"/>
      <c r="M81" s="405"/>
      <c r="N81" s="405"/>
      <c r="O81" s="405"/>
      <c r="P81" s="754"/>
    </row>
    <row r="82" spans="8:16" ht="15.75" hidden="1">
      <c r="H82" s="755" t="s">
        <v>554</v>
      </c>
      <c r="I82" s="755"/>
      <c r="J82" s="755"/>
      <c r="K82" s="755"/>
      <c r="L82" s="755"/>
      <c r="M82" s="753"/>
      <c r="N82" s="753"/>
      <c r="O82" s="753"/>
      <c r="P82" s="753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03"/>
  <sheetViews>
    <sheetView zoomScale="80" zoomScaleNormal="80" zoomScaleSheetLayoutView="90" workbookViewId="0"/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40"/>
      <c r="B1" s="640"/>
      <c r="C1" s="640"/>
      <c r="D1" s="640"/>
      <c r="E1" s="640"/>
      <c r="F1" s="640"/>
      <c r="G1" s="640"/>
      <c r="H1" s="137" t="str">
        <f>EKPC!J1</f>
        <v>Attachment H-24A</v>
      </c>
    </row>
    <row r="2" spans="1:11" ht="15">
      <c r="A2" s="640"/>
      <c r="B2" s="640"/>
      <c r="C2" s="640"/>
      <c r="D2" s="640"/>
      <c r="E2" s="640"/>
      <c r="F2" s="640"/>
      <c r="G2" s="640"/>
      <c r="H2" s="99" t="s">
        <v>374</v>
      </c>
    </row>
    <row r="3" spans="1:11" ht="15">
      <c r="A3" s="640"/>
      <c r="B3" s="640"/>
      <c r="C3" s="640"/>
      <c r="D3" s="640"/>
      <c r="E3" s="640"/>
      <c r="F3" s="640"/>
      <c r="G3" s="640"/>
      <c r="H3" s="641"/>
      <c r="K3" s="99"/>
    </row>
    <row r="4" spans="1:11" ht="15">
      <c r="A4" s="837" t="str">
        <f>EKPC!A11</f>
        <v>East Kentucky Power Cooperative, Inc.</v>
      </c>
      <c r="B4" s="837"/>
      <c r="C4" s="837"/>
      <c r="D4" s="837"/>
      <c r="E4" s="837"/>
      <c r="F4" s="837"/>
      <c r="G4" s="837"/>
      <c r="H4" s="837"/>
      <c r="K4" s="733"/>
    </row>
    <row r="5" spans="1:11" ht="15">
      <c r="A5" s="838" t="s">
        <v>605</v>
      </c>
      <c r="B5" s="838"/>
      <c r="C5" s="838"/>
      <c r="D5" s="838"/>
      <c r="E5" s="838"/>
      <c r="F5" s="838"/>
      <c r="G5" s="838"/>
      <c r="H5" s="838"/>
    </row>
    <row r="6" spans="1:11" ht="15">
      <c r="A6" s="839" t="str">
        <f>CONCATENATE("Rates effective for year ending December 31, ",TEXT(RIGHT(EKPC!J7,10),"YYYY"))</f>
        <v>Rates effective for year ending December 31, 2020</v>
      </c>
      <c r="B6" s="839"/>
      <c r="C6" s="839"/>
      <c r="D6" s="839"/>
      <c r="E6" s="839"/>
      <c r="F6" s="839"/>
      <c r="G6" s="839"/>
      <c r="H6" s="839"/>
    </row>
    <row r="7" spans="1:11" ht="15">
      <c r="A7" s="640"/>
      <c r="B7" s="640"/>
      <c r="C7" s="640"/>
      <c r="D7" s="640"/>
      <c r="E7" s="640"/>
      <c r="F7" s="640"/>
      <c r="G7" s="640"/>
      <c r="H7" s="641"/>
    </row>
    <row r="8" spans="1:11" ht="15">
      <c r="A8" s="640"/>
      <c r="B8" s="642" t="s">
        <v>301</v>
      </c>
      <c r="C8" s="642"/>
      <c r="D8" s="642" t="s">
        <v>302</v>
      </c>
      <c r="E8" s="642"/>
      <c r="F8" s="642"/>
      <c r="G8" s="642"/>
      <c r="H8" s="643" t="s">
        <v>215</v>
      </c>
    </row>
    <row r="9" spans="1:11" ht="15">
      <c r="A9" s="642" t="s">
        <v>6</v>
      </c>
      <c r="B9" s="642" t="s">
        <v>303</v>
      </c>
      <c r="C9" s="642"/>
      <c r="D9" s="642" t="s">
        <v>303</v>
      </c>
      <c r="E9" s="642"/>
      <c r="F9" s="642"/>
      <c r="G9" s="642"/>
      <c r="H9" s="643" t="s">
        <v>304</v>
      </c>
    </row>
    <row r="10" spans="1:11" ht="15">
      <c r="A10" s="644" t="s">
        <v>8</v>
      </c>
      <c r="B10" s="644" t="s">
        <v>305</v>
      </c>
      <c r="C10" s="644"/>
      <c r="D10" s="644" t="s">
        <v>305</v>
      </c>
      <c r="E10" s="644"/>
      <c r="F10" s="644" t="s">
        <v>306</v>
      </c>
      <c r="G10" s="644"/>
      <c r="H10" s="645" t="s">
        <v>307</v>
      </c>
    </row>
    <row r="11" spans="1:11" ht="15">
      <c r="A11" s="640"/>
      <c r="B11" s="607" t="s">
        <v>296</v>
      </c>
      <c r="C11" s="642"/>
      <c r="D11" s="607" t="s">
        <v>297</v>
      </c>
      <c r="E11" s="642"/>
      <c r="F11" s="642" t="s">
        <v>298</v>
      </c>
      <c r="G11" s="642"/>
      <c r="H11" s="646" t="s">
        <v>308</v>
      </c>
    </row>
    <row r="12" spans="1:11" ht="15">
      <c r="A12" s="640"/>
      <c r="B12" s="607"/>
      <c r="C12" s="642"/>
      <c r="D12" s="607"/>
      <c r="E12" s="642"/>
      <c r="F12" s="642"/>
      <c r="G12" s="642"/>
      <c r="H12" s="643" t="s">
        <v>86</v>
      </c>
    </row>
    <row r="13" spans="1:11" ht="15.75">
      <c r="A13" s="640"/>
      <c r="B13" s="647" t="s">
        <v>469</v>
      </c>
      <c r="C13" s="647"/>
      <c r="D13" s="504"/>
      <c r="E13" s="504"/>
      <c r="F13" s="504"/>
      <c r="G13" s="504"/>
      <c r="H13" s="637"/>
    </row>
    <row r="14" spans="1:11" ht="15">
      <c r="A14" s="640"/>
      <c r="B14" s="640"/>
      <c r="C14" s="640"/>
      <c r="D14" s="640"/>
      <c r="E14" s="640"/>
      <c r="F14" s="640"/>
      <c r="G14" s="640"/>
      <c r="H14" s="648"/>
    </row>
    <row r="15" spans="1:11" ht="15">
      <c r="A15" s="642">
        <v>1</v>
      </c>
      <c r="B15" s="642">
        <v>350</v>
      </c>
      <c r="C15" s="640"/>
      <c r="D15" s="642">
        <v>350010</v>
      </c>
      <c r="E15" s="640"/>
      <c r="F15" s="640" t="s">
        <v>577</v>
      </c>
      <c r="G15" s="640"/>
      <c r="H15" s="738">
        <v>0</v>
      </c>
      <c r="J15" s="565"/>
      <c r="K15" s="565"/>
    </row>
    <row r="16" spans="1:11" ht="15">
      <c r="A16" s="642">
        <v>2</v>
      </c>
      <c r="B16" s="642">
        <v>353</v>
      </c>
      <c r="C16" s="640"/>
      <c r="D16" s="642">
        <v>353000</v>
      </c>
      <c r="E16" s="640"/>
      <c r="F16" s="640" t="s">
        <v>309</v>
      </c>
      <c r="G16" s="640"/>
      <c r="H16" s="738">
        <v>1.79</v>
      </c>
    </row>
    <row r="17" spans="1:9" ht="15">
      <c r="A17" s="642">
        <v>3</v>
      </c>
      <c r="B17" s="642">
        <v>353</v>
      </c>
      <c r="C17" s="640"/>
      <c r="D17" s="642">
        <v>353010</v>
      </c>
      <c r="E17" s="640"/>
      <c r="F17" s="640" t="s">
        <v>333</v>
      </c>
      <c r="G17" s="640"/>
      <c r="H17" s="738">
        <v>1.79</v>
      </c>
    </row>
    <row r="18" spans="1:9" ht="15">
      <c r="A18" s="642">
        <v>4</v>
      </c>
      <c r="B18" s="642">
        <v>354</v>
      </c>
      <c r="C18" s="640"/>
      <c r="D18" s="642">
        <v>354000</v>
      </c>
      <c r="E18" s="640"/>
      <c r="F18" s="640" t="s">
        <v>334</v>
      </c>
      <c r="G18" s="640"/>
      <c r="H18" s="738">
        <v>0.71</v>
      </c>
    </row>
    <row r="19" spans="1:9" ht="15">
      <c r="A19" s="642">
        <v>5</v>
      </c>
      <c r="B19" s="642">
        <v>355</v>
      </c>
      <c r="C19" s="640"/>
      <c r="D19" s="642">
        <v>355000</v>
      </c>
      <c r="E19" s="640"/>
      <c r="F19" s="640" t="s">
        <v>310</v>
      </c>
      <c r="G19" s="640"/>
      <c r="H19" s="738">
        <v>1.56</v>
      </c>
    </row>
    <row r="20" spans="1:9" ht="15">
      <c r="A20" s="642">
        <v>6</v>
      </c>
      <c r="B20" s="642">
        <v>356</v>
      </c>
      <c r="C20" s="640"/>
      <c r="D20" s="642">
        <v>356000</v>
      </c>
      <c r="E20" s="640"/>
      <c r="F20" s="640" t="s">
        <v>311</v>
      </c>
      <c r="G20" s="640"/>
      <c r="H20" s="738">
        <v>1.49</v>
      </c>
    </row>
    <row r="21" spans="1:9" ht="15">
      <c r="A21" s="642">
        <v>7</v>
      </c>
      <c r="B21" s="642">
        <v>359</v>
      </c>
      <c r="C21" s="642"/>
      <c r="D21" s="642">
        <v>359000</v>
      </c>
      <c r="E21" s="640"/>
      <c r="F21" s="640" t="s">
        <v>345</v>
      </c>
      <c r="G21" s="640"/>
      <c r="H21" s="738">
        <v>2.778</v>
      </c>
    </row>
    <row r="22" spans="1:9" ht="15">
      <c r="A22" s="642"/>
      <c r="B22" s="642"/>
      <c r="C22" s="642"/>
      <c r="D22" s="642"/>
      <c r="E22" s="640"/>
      <c r="F22" s="640"/>
      <c r="G22" s="640"/>
      <c r="H22" s="738"/>
    </row>
    <row r="23" spans="1:9" ht="15.75">
      <c r="A23" s="642"/>
      <c r="B23" s="647" t="s">
        <v>312</v>
      </c>
      <c r="C23" s="504"/>
      <c r="D23" s="504"/>
      <c r="E23" s="504"/>
      <c r="F23" s="504"/>
      <c r="G23" s="504"/>
      <c r="H23" s="739"/>
    </row>
    <row r="24" spans="1:9" ht="15">
      <c r="A24" s="642"/>
      <c r="B24" s="642"/>
      <c r="C24" s="642"/>
      <c r="D24" s="642"/>
      <c r="E24" s="640"/>
      <c r="F24" s="640"/>
      <c r="G24" s="640"/>
      <c r="H24" s="738"/>
    </row>
    <row r="25" spans="1:9" ht="15">
      <c r="A25" s="642">
        <v>8</v>
      </c>
      <c r="B25" s="642">
        <v>303</v>
      </c>
      <c r="C25" s="181"/>
      <c r="D25" s="642">
        <v>303000</v>
      </c>
      <c r="E25" s="640"/>
      <c r="F25" s="640" t="s">
        <v>314</v>
      </c>
      <c r="G25" s="640"/>
      <c r="H25" s="738">
        <v>2.8570000000000002</v>
      </c>
      <c r="I25" s="182"/>
    </row>
    <row r="26" spans="1:9" ht="15">
      <c r="A26" s="642">
        <v>9</v>
      </c>
      <c r="B26" s="642">
        <v>390</v>
      </c>
      <c r="C26" s="181"/>
      <c r="D26" s="642">
        <v>390000</v>
      </c>
      <c r="E26" s="640"/>
      <c r="F26" s="640" t="s">
        <v>335</v>
      </c>
      <c r="G26" s="640"/>
      <c r="H26" s="738">
        <v>4.7779999999999996</v>
      </c>
    </row>
    <row r="27" spans="1:9" ht="15">
      <c r="A27" s="642">
        <v>10</v>
      </c>
      <c r="B27" s="642">
        <v>391</v>
      </c>
      <c r="C27" s="181"/>
      <c r="D27" s="642">
        <v>391000</v>
      </c>
      <c r="E27" s="640"/>
      <c r="F27" s="640" t="s">
        <v>336</v>
      </c>
      <c r="G27" s="640"/>
      <c r="H27" s="775">
        <v>20</v>
      </c>
    </row>
    <row r="28" spans="1:9" ht="15">
      <c r="A28" s="642">
        <v>11</v>
      </c>
      <c r="B28" s="642">
        <v>391</v>
      </c>
      <c r="C28" s="181"/>
      <c r="D28" s="642">
        <v>391001</v>
      </c>
      <c r="E28" s="640"/>
      <c r="F28" s="640" t="s">
        <v>337</v>
      </c>
      <c r="G28" s="640"/>
      <c r="H28" s="738">
        <v>20</v>
      </c>
    </row>
    <row r="29" spans="1:9" ht="15">
      <c r="A29" s="642">
        <v>12</v>
      </c>
      <c r="B29" s="642">
        <v>392</v>
      </c>
      <c r="C29" s="181"/>
      <c r="D29" s="642">
        <v>392000</v>
      </c>
      <c r="E29" s="640"/>
      <c r="F29" s="640" t="s">
        <v>313</v>
      </c>
      <c r="G29" s="640"/>
      <c r="H29" s="740">
        <v>16.667000000000002</v>
      </c>
    </row>
    <row r="30" spans="1:9" ht="15">
      <c r="A30" s="642">
        <v>13</v>
      </c>
      <c r="B30" s="642">
        <v>393</v>
      </c>
      <c r="C30" s="181"/>
      <c r="D30" s="642">
        <v>393000</v>
      </c>
      <c r="E30" s="640"/>
      <c r="F30" s="640" t="s">
        <v>315</v>
      </c>
      <c r="G30" s="640"/>
      <c r="H30" s="740">
        <v>10</v>
      </c>
    </row>
    <row r="31" spans="1:9" ht="15">
      <c r="A31" s="642">
        <v>14</v>
      </c>
      <c r="B31" s="642">
        <v>394</v>
      </c>
      <c r="C31" s="181"/>
      <c r="D31" s="642">
        <v>394000</v>
      </c>
      <c r="E31" s="640"/>
      <c r="F31" s="640" t="s">
        <v>338</v>
      </c>
      <c r="G31" s="640"/>
      <c r="H31" s="738">
        <v>10</v>
      </c>
    </row>
    <row r="32" spans="1:9" ht="15">
      <c r="A32" s="642">
        <v>15</v>
      </c>
      <c r="B32" s="642">
        <v>395</v>
      </c>
      <c r="C32" s="181"/>
      <c r="D32" s="642">
        <v>395000</v>
      </c>
      <c r="E32" s="640"/>
      <c r="F32" s="640" t="s">
        <v>339</v>
      </c>
      <c r="G32" s="640"/>
      <c r="H32" s="738">
        <v>10</v>
      </c>
    </row>
    <row r="33" spans="1:8" ht="15">
      <c r="A33" s="642">
        <v>16</v>
      </c>
      <c r="B33" s="642">
        <v>396</v>
      </c>
      <c r="C33" s="181"/>
      <c r="D33" s="642">
        <v>396000</v>
      </c>
      <c r="E33" s="640"/>
      <c r="F33" s="640" t="s">
        <v>340</v>
      </c>
      <c r="G33" s="640"/>
      <c r="H33" s="738">
        <v>10</v>
      </c>
    </row>
    <row r="34" spans="1:8" ht="15">
      <c r="A34" s="642">
        <v>17</v>
      </c>
      <c r="B34" s="642">
        <v>397</v>
      </c>
      <c r="C34" s="181"/>
      <c r="D34" s="642">
        <v>397000</v>
      </c>
      <c r="E34" s="640"/>
      <c r="F34" s="640" t="s">
        <v>341</v>
      </c>
      <c r="G34" s="640"/>
      <c r="H34" s="738">
        <v>10</v>
      </c>
    </row>
    <row r="35" spans="1:8" ht="15">
      <c r="A35" s="642">
        <v>18</v>
      </c>
      <c r="B35" s="642">
        <v>397</v>
      </c>
      <c r="C35" s="642"/>
      <c r="D35" s="642">
        <v>397000</v>
      </c>
      <c r="E35" s="640"/>
      <c r="F35" s="640" t="s">
        <v>342</v>
      </c>
      <c r="G35" s="640"/>
      <c r="H35" s="738">
        <v>3.03</v>
      </c>
    </row>
    <row r="36" spans="1:8" ht="15">
      <c r="A36" s="642">
        <v>19</v>
      </c>
      <c r="B36" s="642">
        <v>397</v>
      </c>
      <c r="C36" s="642"/>
      <c r="D36" s="642">
        <v>397001</v>
      </c>
      <c r="E36" s="640"/>
      <c r="F36" s="640" t="s">
        <v>343</v>
      </c>
      <c r="G36" s="640"/>
      <c r="H36" s="738">
        <v>10</v>
      </c>
    </row>
    <row r="37" spans="1:8" ht="15">
      <c r="A37" s="642">
        <v>20</v>
      </c>
      <c r="B37" s="642">
        <v>398</v>
      </c>
      <c r="C37" s="642"/>
      <c r="D37" s="642">
        <v>398000</v>
      </c>
      <c r="E37" s="640"/>
      <c r="F37" s="640" t="s">
        <v>344</v>
      </c>
      <c r="G37" s="640"/>
      <c r="H37" s="738">
        <v>10</v>
      </c>
    </row>
    <row r="38" spans="1:8" ht="15">
      <c r="A38" s="640"/>
      <c r="B38" s="642"/>
      <c r="C38" s="642"/>
      <c r="D38" s="642"/>
      <c r="E38" s="640"/>
      <c r="F38" s="640"/>
      <c r="G38" s="640"/>
      <c r="H38" s="649"/>
    </row>
    <row r="39" spans="1:8" ht="15">
      <c r="A39" s="640"/>
      <c r="B39" s="836" t="s">
        <v>443</v>
      </c>
      <c r="C39" s="836"/>
      <c r="D39" s="836"/>
      <c r="E39" s="836"/>
      <c r="F39" s="836"/>
      <c r="G39" s="640"/>
      <c r="H39" s="641"/>
    </row>
    <row r="40" spans="1:8" ht="15">
      <c r="A40" s="640"/>
      <c r="B40" s="607" t="s">
        <v>16</v>
      </c>
      <c r="C40" s="642"/>
      <c r="D40" s="713" t="s">
        <v>444</v>
      </c>
      <c r="E40" s="641"/>
      <c r="F40" s="641"/>
      <c r="G40" s="640"/>
      <c r="H40" s="641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3"/>
  <sheetViews>
    <sheetView zoomScale="80" zoomScaleNormal="80" zoomScaleSheetLayoutView="110" workbookViewId="0">
      <selection activeCell="B6" sqref="B6"/>
    </sheetView>
  </sheetViews>
  <sheetFormatPr defaultRowHeight="15"/>
  <cols>
    <col min="1" max="1" width="5" customWidth="1"/>
    <col min="2" max="2" width="11.44140625" customWidth="1"/>
    <col min="3" max="3" width="12.6640625" customWidth="1"/>
    <col min="9" max="9" width="13.21875" bestFit="1" customWidth="1"/>
  </cols>
  <sheetData>
    <row r="1" spans="1:12">
      <c r="H1" s="1"/>
      <c r="I1" s="327" t="str">
        <f>EKPC!J1</f>
        <v>Attachment H-24A</v>
      </c>
    </row>
    <row r="2" spans="1:12">
      <c r="H2" s="1"/>
      <c r="I2" s="88" t="s">
        <v>551</v>
      </c>
    </row>
    <row r="3" spans="1:12">
      <c r="H3" s="1"/>
      <c r="I3" s="88" t="s">
        <v>383</v>
      </c>
      <c r="L3" s="733"/>
    </row>
    <row r="4" spans="1:12">
      <c r="B4" s="325"/>
      <c r="C4" s="325"/>
      <c r="D4" s="325"/>
      <c r="E4" s="325"/>
      <c r="F4" s="325"/>
      <c r="G4" s="806"/>
      <c r="H4" s="807"/>
      <c r="I4" s="808" t="s">
        <v>647</v>
      </c>
    </row>
    <row r="5" spans="1:12">
      <c r="B5" s="325"/>
      <c r="C5" s="325"/>
      <c r="D5" s="325"/>
      <c r="E5" s="325"/>
      <c r="F5" s="325"/>
      <c r="G5" s="88"/>
      <c r="H5" s="325"/>
      <c r="L5" s="88"/>
    </row>
    <row r="6" spans="1:12">
      <c r="B6" s="17" t="s">
        <v>320</v>
      </c>
      <c r="C6" s="334"/>
      <c r="D6" s="334"/>
      <c r="E6" s="334"/>
      <c r="F6" s="334"/>
      <c r="G6" s="334"/>
      <c r="H6" s="334"/>
      <c r="I6" s="334"/>
    </row>
    <row r="7" spans="1:12">
      <c r="B7" s="840" t="str">
        <f>EKPC!A9</f>
        <v>Utilizing EKPC 2020 Form FF1 Data (ver. FINAL - AUDITED)</v>
      </c>
      <c r="C7" s="840"/>
      <c r="D7" s="840"/>
      <c r="E7" s="840"/>
      <c r="F7" s="840"/>
      <c r="G7" s="840"/>
      <c r="H7" s="840"/>
      <c r="I7" s="840"/>
    </row>
    <row r="8" spans="1:12">
      <c r="B8" s="325"/>
      <c r="C8" s="325"/>
      <c r="D8" s="325"/>
      <c r="E8" s="325"/>
      <c r="F8" s="325"/>
      <c r="G8" s="88"/>
      <c r="H8" s="325"/>
      <c r="I8" s="88"/>
    </row>
    <row r="9" spans="1:12" ht="15.75">
      <c r="A9" s="563"/>
      <c r="B9" s="650" t="s">
        <v>397</v>
      </c>
      <c r="C9" s="334"/>
      <c r="D9" s="334"/>
      <c r="E9" s="334"/>
      <c r="F9" s="334"/>
      <c r="G9" s="334"/>
      <c r="H9" s="334"/>
      <c r="I9" s="334"/>
    </row>
    <row r="10" spans="1:12" ht="15.75">
      <c r="A10" s="563"/>
      <c r="B10" s="650" t="s">
        <v>353</v>
      </c>
      <c r="C10" s="334"/>
      <c r="D10" s="334"/>
      <c r="E10" s="334"/>
      <c r="F10" s="334"/>
      <c r="G10" s="334"/>
      <c r="H10" s="334"/>
      <c r="I10" s="334"/>
    </row>
    <row r="11" spans="1:12" ht="15.75">
      <c r="A11" s="563"/>
      <c r="B11" s="651"/>
      <c r="C11" s="652"/>
      <c r="D11" s="652"/>
      <c r="E11" s="653"/>
      <c r="F11" s="653"/>
      <c r="G11" s="652"/>
      <c r="H11" s="652"/>
      <c r="I11" s="652"/>
    </row>
    <row r="12" spans="1:12" ht="33" customHeight="1">
      <c r="A12" s="654" t="s">
        <v>188</v>
      </c>
      <c r="B12" s="655"/>
      <c r="C12" s="656" t="s">
        <v>354</v>
      </c>
      <c r="D12" s="656"/>
      <c r="E12" s="656" t="s">
        <v>355</v>
      </c>
      <c r="F12" s="656"/>
      <c r="G12" s="657" t="s">
        <v>606</v>
      </c>
      <c r="H12" s="655"/>
      <c r="I12" s="657" t="s">
        <v>607</v>
      </c>
    </row>
    <row r="13" spans="1:12">
      <c r="A13" s="310">
        <v>1</v>
      </c>
      <c r="B13" s="652" t="s">
        <v>149</v>
      </c>
      <c r="C13" s="803">
        <v>51806243</v>
      </c>
      <c r="D13" s="786"/>
      <c r="E13" s="658">
        <f>C13/C16</f>
        <v>0.66679077176506085</v>
      </c>
      <c r="F13" s="658"/>
      <c r="G13" s="718">
        <f>G16*E13</f>
        <v>0</v>
      </c>
      <c r="H13" s="652"/>
      <c r="I13" s="652"/>
    </row>
    <row r="14" spans="1:12">
      <c r="A14" s="310">
        <f>+A13+1</f>
        <v>2</v>
      </c>
      <c r="B14" s="652" t="s">
        <v>22</v>
      </c>
      <c r="C14" s="804">
        <v>25832831</v>
      </c>
      <c r="D14" s="786"/>
      <c r="E14" s="658">
        <f>C14/C16</f>
        <v>0.33249068687274602</v>
      </c>
      <c r="F14" s="658"/>
      <c r="G14" s="718">
        <f>E14*G16</f>
        <v>0</v>
      </c>
      <c r="H14" s="659"/>
      <c r="I14" s="660"/>
    </row>
    <row r="15" spans="1:12" ht="17.25">
      <c r="A15" s="310">
        <f>+A14+1</f>
        <v>3</v>
      </c>
      <c r="B15" s="652" t="s">
        <v>150</v>
      </c>
      <c r="C15" s="805">
        <v>55827</v>
      </c>
      <c r="D15" s="786"/>
      <c r="E15" s="661">
        <f>C15/C16</f>
        <v>7.1854136219312516E-4</v>
      </c>
      <c r="F15" s="661"/>
      <c r="G15" s="719">
        <f>E15*G16</f>
        <v>0</v>
      </c>
      <c r="H15" s="652"/>
      <c r="I15" s="652"/>
    </row>
    <row r="16" spans="1:12" ht="18" thickBot="1">
      <c r="A16" s="310">
        <f>+A15+1</f>
        <v>4</v>
      </c>
      <c r="B16" s="652" t="s">
        <v>356</v>
      </c>
      <c r="C16" s="662">
        <f>SUM(C13:C15)</f>
        <v>77694901</v>
      </c>
      <c r="D16" s="652"/>
      <c r="E16" s="663">
        <f>SUM(E13:E15)</f>
        <v>1</v>
      </c>
      <c r="F16" s="663"/>
      <c r="G16" s="688">
        <v>0</v>
      </c>
      <c r="H16" s="652"/>
      <c r="I16" s="664">
        <f>G14+C14</f>
        <v>25832831</v>
      </c>
    </row>
    <row r="17" spans="1:16" ht="15.75" thickTop="1">
      <c r="A17" s="563"/>
      <c r="B17" s="660"/>
      <c r="C17" s="660"/>
      <c r="D17" s="660"/>
      <c r="E17" s="660"/>
      <c r="F17" s="660"/>
      <c r="G17" s="660"/>
      <c r="H17" s="660"/>
      <c r="I17" s="660"/>
    </row>
    <row r="18" spans="1:16">
      <c r="A18" s="563"/>
      <c r="B18" s="660"/>
      <c r="C18" s="660"/>
      <c r="D18" s="660"/>
      <c r="E18" s="660"/>
      <c r="F18" s="660"/>
      <c r="G18" s="660"/>
      <c r="H18" s="660"/>
      <c r="I18" s="660"/>
    </row>
    <row r="19" spans="1:16">
      <c r="A19" s="563"/>
      <c r="B19" s="665" t="s">
        <v>144</v>
      </c>
      <c r="C19" s="666"/>
      <c r="D19" s="666"/>
      <c r="E19" s="666"/>
      <c r="F19" s="667"/>
      <c r="G19" s="660"/>
      <c r="H19" s="660"/>
      <c r="I19" s="660"/>
    </row>
    <row r="20" spans="1:16" ht="15.75">
      <c r="A20" s="563"/>
      <c r="B20" s="668" t="s">
        <v>573</v>
      </c>
      <c r="C20" s="669"/>
      <c r="D20" s="669"/>
      <c r="E20" s="669"/>
      <c r="F20" s="670"/>
      <c r="G20" s="668"/>
      <c r="H20" s="668"/>
      <c r="I20" s="668"/>
    </row>
    <row r="21" spans="1:16">
      <c r="A21" s="563"/>
      <c r="B21" s="668" t="s">
        <v>398</v>
      </c>
      <c r="C21" s="564"/>
      <c r="D21" s="564"/>
      <c r="E21" s="564"/>
      <c r="F21" s="564"/>
      <c r="G21" s="564"/>
      <c r="H21" s="564"/>
      <c r="I21" s="564"/>
      <c r="J21" s="349"/>
      <c r="K21" s="349"/>
      <c r="L21" s="349"/>
      <c r="M21" s="349"/>
      <c r="N21" s="349"/>
      <c r="O21" s="349"/>
      <c r="P21" s="349"/>
    </row>
    <row r="22" spans="1:16">
      <c r="A22" s="563"/>
      <c r="B22" s="668" t="str">
        <f>CONCATENATE("(3) To ",EKPC!J1,", Page 2 of 5, Line 27.")</f>
        <v>(3) To Attachment H-24A, Page 2 of 5, Line 27.</v>
      </c>
      <c r="C22" s="564"/>
      <c r="D22" s="561"/>
      <c r="E22" s="564"/>
      <c r="F22" s="564"/>
      <c r="G22" s="563"/>
      <c r="H22" s="563"/>
      <c r="I22" s="563"/>
    </row>
    <row r="23" spans="1:16">
      <c r="B23" s="349"/>
      <c r="C23" s="349"/>
      <c r="D23" s="349"/>
      <c r="E23" s="349"/>
      <c r="F23" s="349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9"/>
  <sheetViews>
    <sheetView zoomScale="80" zoomScaleNormal="80" zoomScaleSheetLayoutView="90" workbookViewId="0">
      <selection activeCell="B17" sqref="B17"/>
    </sheetView>
  </sheetViews>
  <sheetFormatPr defaultColWidth="8.77734375" defaultRowHeight="15"/>
  <cols>
    <col min="1" max="1" width="8.77734375" style="1"/>
    <col min="2" max="2" width="37.21875" style="1" bestFit="1" customWidth="1"/>
    <col min="3" max="4" width="22.44140625" style="1" customWidth="1"/>
    <col min="5" max="5" width="23.88671875" style="1" customWidth="1"/>
    <col min="6" max="16384" width="8.77734375" style="1"/>
  </cols>
  <sheetData>
    <row r="1" spans="1:7">
      <c r="E1" s="336" t="str">
        <f>EKPC!J1</f>
        <v>Attachment H-24A</v>
      </c>
    </row>
    <row r="2" spans="1:7">
      <c r="E2" s="168" t="s">
        <v>551</v>
      </c>
    </row>
    <row r="3" spans="1:7">
      <c r="B3"/>
      <c r="C3" s="17"/>
      <c r="D3" s="17"/>
      <c r="E3" s="168" t="s">
        <v>382</v>
      </c>
    </row>
    <row r="4" spans="1:7" ht="18">
      <c r="B4" s="25"/>
      <c r="C4" s="17"/>
      <c r="D4" s="17"/>
      <c r="E4" s="168" t="str">
        <f>EKPC!$J$124</f>
        <v>For the 12 months ended 12/31/2020</v>
      </c>
    </row>
    <row r="5" spans="1:7" ht="18">
      <c r="B5" s="25"/>
      <c r="C5" s="17"/>
      <c r="D5" s="17"/>
      <c r="E5" s="168"/>
      <c r="G5" s="733"/>
    </row>
    <row r="6" spans="1:7" ht="15.75">
      <c r="B6" s="841" t="str">
        <f>EKPC!A11</f>
        <v>East Kentucky Power Cooperative, Inc.</v>
      </c>
      <c r="C6" s="841"/>
      <c r="D6" s="841"/>
      <c r="E6" s="841"/>
    </row>
    <row r="7" spans="1:7" ht="15.75">
      <c r="B7" s="841" t="str">
        <f>EKPC!A9</f>
        <v>Utilizing EKPC 2020 Form FF1 Data (ver. FINAL - AUDITED)</v>
      </c>
      <c r="C7" s="841"/>
      <c r="D7" s="841"/>
      <c r="E7" s="841"/>
    </row>
    <row r="9" spans="1:7">
      <c r="E9" s="168"/>
    </row>
    <row r="10" spans="1:7" ht="15.75">
      <c r="B10" s="16" t="s">
        <v>390</v>
      </c>
      <c r="C10" s="17"/>
      <c r="D10" s="17"/>
      <c r="E10" s="17"/>
    </row>
    <row r="12" spans="1:7">
      <c r="C12" s="143"/>
      <c r="D12" s="143"/>
    </row>
    <row r="13" spans="1:7" ht="34.5">
      <c r="A13" s="446" t="s">
        <v>188</v>
      </c>
      <c r="B13" s="428" t="s">
        <v>477</v>
      </c>
      <c r="C13" s="144" t="s">
        <v>221</v>
      </c>
      <c r="D13" s="145" t="s">
        <v>163</v>
      </c>
      <c r="E13" s="146" t="s">
        <v>384</v>
      </c>
    </row>
    <row r="14" spans="1:7">
      <c r="C14" s="143"/>
      <c r="D14" s="143"/>
      <c r="E14" s="143"/>
    </row>
    <row r="15" spans="1:7" ht="15.75">
      <c r="A15" s="427"/>
      <c r="B15" s="169"/>
      <c r="C15" s="147"/>
      <c r="D15" s="147"/>
      <c r="E15" s="147"/>
    </row>
    <row r="16" spans="1:7">
      <c r="C16" s="147"/>
      <c r="D16" s="786"/>
      <c r="E16" s="147"/>
    </row>
    <row r="17" spans="1:7">
      <c r="A17" s="427" t="s">
        <v>428</v>
      </c>
      <c r="B17" s="1" t="s">
        <v>332</v>
      </c>
      <c r="C17" s="715">
        <v>0</v>
      </c>
      <c r="D17" s="809">
        <v>27461.55</v>
      </c>
      <c r="E17" s="140">
        <f t="shared" ref="E17:E22" si="0">SUM(C17:D17)</f>
        <v>27461.55</v>
      </c>
      <c r="G17" s="776"/>
    </row>
    <row r="18" spans="1:7">
      <c r="A18" s="455">
        <f t="shared" ref="A18:A23" si="1">A17+1</f>
        <v>2</v>
      </c>
      <c r="C18" s="716">
        <v>0</v>
      </c>
      <c r="D18" s="736">
        <v>0</v>
      </c>
      <c r="E18" s="147">
        <f t="shared" si="0"/>
        <v>0</v>
      </c>
    </row>
    <row r="19" spans="1:7">
      <c r="A19" s="455">
        <f t="shared" si="1"/>
        <v>3</v>
      </c>
      <c r="C19" s="716">
        <v>0</v>
      </c>
      <c r="D19" s="736">
        <v>0</v>
      </c>
      <c r="E19" s="147">
        <f t="shared" si="0"/>
        <v>0</v>
      </c>
    </row>
    <row r="20" spans="1:7">
      <c r="A20" s="455">
        <f t="shared" si="1"/>
        <v>4</v>
      </c>
      <c r="C20" s="716">
        <v>0</v>
      </c>
      <c r="D20" s="736">
        <v>0</v>
      </c>
      <c r="E20" s="147">
        <f t="shared" si="0"/>
        <v>0</v>
      </c>
    </row>
    <row r="21" spans="1:7">
      <c r="A21" s="455">
        <f t="shared" si="1"/>
        <v>5</v>
      </c>
      <c r="C21" s="716">
        <v>0</v>
      </c>
      <c r="D21" s="736">
        <v>0</v>
      </c>
      <c r="E21" s="147">
        <f t="shared" si="0"/>
        <v>0</v>
      </c>
    </row>
    <row r="22" spans="1:7" ht="17.25">
      <c r="A22" s="455">
        <f t="shared" si="1"/>
        <v>6</v>
      </c>
      <c r="C22" s="717">
        <v>0</v>
      </c>
      <c r="D22" s="737">
        <v>0</v>
      </c>
      <c r="E22" s="148">
        <f t="shared" si="0"/>
        <v>0</v>
      </c>
    </row>
    <row r="23" spans="1:7" ht="17.25">
      <c r="A23" s="455">
        <f t="shared" si="1"/>
        <v>7</v>
      </c>
      <c r="B23" s="27" t="s">
        <v>396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7">
      <c r="B27" s="365" t="s">
        <v>392</v>
      </c>
      <c r="C27" s="326"/>
      <c r="D27" s="326"/>
    </row>
    <row r="28" spans="1:7">
      <c r="B28" s="557" t="s">
        <v>570</v>
      </c>
      <c r="C28" s="7"/>
      <c r="D28" s="370"/>
    </row>
    <row r="29" spans="1:7">
      <c r="B29" s="371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2"/>
  <sheetViews>
    <sheetView zoomScale="70" zoomScaleNormal="70" zoomScaleSheetLayoutView="80" workbookViewId="0">
      <selection activeCell="D32" sqref="D32"/>
    </sheetView>
  </sheetViews>
  <sheetFormatPr defaultColWidth="7.109375" defaultRowHeight="12.75"/>
  <cols>
    <col min="1" max="1" width="7.109375" style="98"/>
    <col min="2" max="2" width="48.6640625" style="98" customWidth="1"/>
    <col min="3" max="3" width="30.109375" style="98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7" ht="15">
      <c r="A1" s="28"/>
      <c r="B1" s="1"/>
      <c r="C1" s="1"/>
      <c r="D1" s="1"/>
      <c r="E1" s="336" t="str">
        <f>EKPC!J1</f>
        <v>Attachment H-24A</v>
      </c>
    </row>
    <row r="2" spans="1:7" ht="15">
      <c r="A2" s="28"/>
      <c r="B2" s="1"/>
      <c r="C2" s="1"/>
      <c r="D2" s="1"/>
      <c r="E2" s="168" t="s">
        <v>551</v>
      </c>
    </row>
    <row r="3" spans="1:7" ht="15">
      <c r="A3" s="28"/>
      <c r="B3" s="480"/>
      <c r="C3" s="17"/>
      <c r="D3" s="17"/>
      <c r="E3" s="168" t="s">
        <v>381</v>
      </c>
    </row>
    <row r="4" spans="1:7" ht="15.75">
      <c r="A4" s="28"/>
      <c r="B4" s="16"/>
      <c r="C4" s="17"/>
      <c r="D4" s="17"/>
      <c r="E4" s="168" t="str">
        <f>EKPC!$J$124</f>
        <v>For the 12 months ended 12/31/2020</v>
      </c>
    </row>
    <row r="5" spans="1:7" ht="15.75">
      <c r="A5" s="28"/>
      <c r="B5" s="16"/>
      <c r="C5" s="17"/>
      <c r="D5" s="17"/>
      <c r="E5" s="168"/>
      <c r="G5" s="733"/>
    </row>
    <row r="6" spans="1:7" ht="15.75">
      <c r="A6" s="28"/>
      <c r="B6" s="841" t="str">
        <f>EKPC!A11</f>
        <v>East Kentucky Power Cooperative, Inc.</v>
      </c>
      <c r="C6" s="841"/>
      <c r="D6" s="841"/>
      <c r="E6" s="841"/>
    </row>
    <row r="7" spans="1:7" ht="15.75">
      <c r="A7" s="28"/>
      <c r="B7" s="841" t="str">
        <f>EKPC!A9</f>
        <v>Utilizing EKPC 2020 Form FF1 Data (ver. FINAL - AUDITED)</v>
      </c>
      <c r="C7" s="841"/>
      <c r="D7" s="841"/>
      <c r="E7" s="841"/>
    </row>
    <row r="8" spans="1:7" ht="15">
      <c r="A8" s="28"/>
      <c r="B8" s="28"/>
      <c r="C8" s="28"/>
      <c r="D8" s="674"/>
      <c r="E8" s="28"/>
    </row>
    <row r="9" spans="1:7" ht="15.75">
      <c r="A9" s="28"/>
      <c r="B9" s="842" t="s">
        <v>547</v>
      </c>
      <c r="C9" s="842"/>
      <c r="D9" s="842"/>
      <c r="E9" s="842"/>
      <c r="F9" s="480"/>
    </row>
    <row r="10" spans="1:7" ht="15">
      <c r="A10" s="28"/>
      <c r="B10" s="8"/>
      <c r="C10" s="8"/>
      <c r="D10" s="28"/>
      <c r="E10" s="28"/>
      <c r="F10" s="480"/>
    </row>
    <row r="11" spans="1:7" ht="15.75">
      <c r="A11" s="28"/>
      <c r="B11" s="19"/>
      <c r="C11" s="19"/>
      <c r="D11" s="28"/>
      <c r="E11" s="28"/>
      <c r="F11" s="480"/>
    </row>
    <row r="12" spans="1:7" ht="15">
      <c r="A12" s="28"/>
      <c r="B12" s="18"/>
      <c r="C12" s="18"/>
      <c r="D12" s="28"/>
      <c r="E12" s="28"/>
      <c r="F12" s="480"/>
    </row>
    <row r="13" spans="1:7" ht="20.25">
      <c r="A13" s="675" t="s">
        <v>188</v>
      </c>
      <c r="B13" s="18"/>
      <c r="C13" s="21" t="s">
        <v>244</v>
      </c>
      <c r="D13" s="21" t="s">
        <v>321</v>
      </c>
      <c r="E13" s="28"/>
      <c r="F13" s="480"/>
    </row>
    <row r="14" spans="1:7" ht="15">
      <c r="A14" s="28"/>
      <c r="B14" s="18"/>
      <c r="C14" s="18"/>
      <c r="D14" s="28"/>
      <c r="E14" s="28"/>
      <c r="F14" s="480"/>
    </row>
    <row r="15" spans="1:7" ht="15.75">
      <c r="A15" s="444" t="s">
        <v>484</v>
      </c>
      <c r="B15" s="430" t="s">
        <v>578</v>
      </c>
      <c r="C15" s="429" t="s">
        <v>579</v>
      </c>
      <c r="D15" s="769">
        <v>290087</v>
      </c>
      <c r="E15" s="786"/>
      <c r="F15" s="480"/>
    </row>
    <row r="16" spans="1:7" ht="15">
      <c r="A16" s="28"/>
      <c r="B16" s="22"/>
      <c r="C16" s="429"/>
      <c r="D16" s="81"/>
      <c r="E16" s="540"/>
      <c r="F16" s="480"/>
    </row>
    <row r="17" spans="1:7" ht="17.25">
      <c r="A17" s="444" t="s">
        <v>206</v>
      </c>
      <c r="B17" s="23" t="s">
        <v>165</v>
      </c>
      <c r="C17" s="373"/>
      <c r="D17" s="758">
        <v>0</v>
      </c>
      <c r="E17" s="540"/>
      <c r="F17" s="1"/>
    </row>
    <row r="18" spans="1:7" ht="15">
      <c r="A18" s="28"/>
      <c r="B18" s="22"/>
      <c r="D18" s="81"/>
      <c r="E18" s="540"/>
      <c r="F18" s="480"/>
    </row>
    <row r="19" spans="1:7" ht="17.25">
      <c r="A19" s="444" t="s">
        <v>485</v>
      </c>
      <c r="B19" s="24" t="s">
        <v>482</v>
      </c>
      <c r="C19" s="429" t="s">
        <v>474</v>
      </c>
      <c r="D19" s="671">
        <f>D15-D17</f>
        <v>290087</v>
      </c>
      <c r="E19" s="540"/>
      <c r="F19" s="480"/>
    </row>
    <row r="20" spans="1:7" ht="15">
      <c r="A20" s="28"/>
      <c r="B20" s="22"/>
      <c r="C20" s="429"/>
      <c r="D20" s="81"/>
      <c r="E20" s="540"/>
      <c r="F20" s="480"/>
    </row>
    <row r="21" spans="1:7" ht="15">
      <c r="A21" s="28"/>
      <c r="B21" s="22"/>
      <c r="C21" s="429"/>
      <c r="D21" s="81"/>
      <c r="E21" s="540"/>
      <c r="F21" s="480"/>
    </row>
    <row r="22" spans="1:7" ht="15.75">
      <c r="A22" s="444" t="s">
        <v>486</v>
      </c>
      <c r="B22" s="431" t="s">
        <v>483</v>
      </c>
      <c r="C22" s="429" t="s">
        <v>473</v>
      </c>
      <c r="D22" s="769">
        <v>1668748</v>
      </c>
      <c r="E22" s="786"/>
      <c r="F22" s="480"/>
      <c r="G22" s="480"/>
    </row>
    <row r="23" spans="1:7" ht="15.75">
      <c r="A23" s="444"/>
      <c r="B23" s="431"/>
      <c r="C23" s="429"/>
      <c r="D23" s="672"/>
      <c r="E23" s="540"/>
      <c r="F23" s="480"/>
      <c r="G23" s="480"/>
    </row>
    <row r="24" spans="1:7" ht="15">
      <c r="A24" s="444" t="s">
        <v>176</v>
      </c>
      <c r="B24" s="412" t="s">
        <v>439</v>
      </c>
      <c r="C24" s="429" t="s">
        <v>476</v>
      </c>
      <c r="D24" s="672">
        <f>-D22*(1-EKPC!J220)</f>
        <v>-1384602.9727427131</v>
      </c>
      <c r="E24" s="696"/>
      <c r="F24" s="480"/>
      <c r="G24" s="480"/>
    </row>
    <row r="25" spans="1:7" ht="15">
      <c r="A25" s="444"/>
      <c r="B25" s="412"/>
      <c r="C25" s="429"/>
      <c r="D25" s="672"/>
      <c r="E25" s="696"/>
      <c r="F25" s="480"/>
      <c r="G25" s="480"/>
    </row>
    <row r="26" spans="1:7" ht="15">
      <c r="A26" s="444">
        <v>6</v>
      </c>
      <c r="B26" s="748" t="s">
        <v>630</v>
      </c>
      <c r="C26" s="429" t="s">
        <v>490</v>
      </c>
      <c r="D26" s="790">
        <f>1390+5175</f>
        <v>6565</v>
      </c>
      <c r="E26" s="786"/>
      <c r="F26" s="564"/>
      <c r="G26" s="480"/>
    </row>
    <row r="27" spans="1:7" ht="15">
      <c r="A27" s="444"/>
      <c r="B27" s="412"/>
      <c r="C27" s="429"/>
      <c r="D27" s="672"/>
      <c r="E27" s="480"/>
      <c r="F27" s="480"/>
      <c r="G27" s="480"/>
    </row>
    <row r="28" spans="1:7" ht="17.25">
      <c r="A28" s="444">
        <v>7</v>
      </c>
      <c r="B28" s="23" t="s">
        <v>470</v>
      </c>
      <c r="C28" s="429"/>
      <c r="D28" s="671">
        <f>D22+D24+D26</f>
        <v>290710.02725728694</v>
      </c>
      <c r="E28" s="28"/>
    </row>
    <row r="29" spans="1:7" ht="15">
      <c r="A29" s="28"/>
      <c r="B29" s="23"/>
      <c r="C29" s="429"/>
      <c r="D29" s="673"/>
      <c r="E29" s="28"/>
    </row>
    <row r="30" spans="1:7" ht="15">
      <c r="A30" s="28"/>
      <c r="B30" s="23"/>
      <c r="C30" s="23"/>
      <c r="D30" s="82"/>
      <c r="E30" s="28"/>
    </row>
    <row r="31" spans="1:7" ht="15.75">
      <c r="A31" s="445">
        <v>8</v>
      </c>
      <c r="B31" s="431" t="s">
        <v>580</v>
      </c>
      <c r="C31" s="438" t="s">
        <v>596</v>
      </c>
      <c r="D31" s="82"/>
      <c r="E31" s="28"/>
    </row>
    <row r="32" spans="1:7" ht="15">
      <c r="A32" s="445">
        <v>9</v>
      </c>
      <c r="B32" s="23" t="s">
        <v>543</v>
      </c>
      <c r="C32" s="373"/>
      <c r="D32" s="769">
        <v>0</v>
      </c>
      <c r="E32" s="540"/>
      <c r="F32" s="28"/>
    </row>
    <row r="33" spans="1:11" ht="15">
      <c r="A33" s="445">
        <v>10</v>
      </c>
      <c r="B33" s="23" t="s">
        <v>542</v>
      </c>
      <c r="C33" s="373"/>
      <c r="D33" s="773">
        <v>0</v>
      </c>
      <c r="E33" s="540"/>
      <c r="F33" s="28"/>
    </row>
    <row r="34" spans="1:11" ht="15">
      <c r="A34" s="445">
        <v>11</v>
      </c>
      <c r="B34" s="23" t="s">
        <v>541</v>
      </c>
      <c r="C34" s="373"/>
      <c r="D34" s="769">
        <v>0</v>
      </c>
      <c r="E34" s="540"/>
      <c r="F34" s="28"/>
    </row>
    <row r="35" spans="1:11" ht="15">
      <c r="A35" s="445">
        <v>12</v>
      </c>
      <c r="B35" s="156" t="s">
        <v>562</v>
      </c>
      <c r="C35" s="373"/>
      <c r="D35" s="774">
        <v>0</v>
      </c>
      <c r="E35" s="540"/>
      <c r="F35" s="28"/>
    </row>
    <row r="36" spans="1:11" ht="15">
      <c r="A36" s="445"/>
      <c r="B36" s="23"/>
      <c r="C36" s="23"/>
      <c r="D36" s="81"/>
      <c r="E36" s="28"/>
      <c r="F36" s="701"/>
    </row>
    <row r="37" spans="1:11" ht="15.75" thickBot="1">
      <c r="A37" s="445">
        <v>13</v>
      </c>
      <c r="B37" s="28"/>
      <c r="C37" s="28"/>
      <c r="D37" s="689">
        <f>SUM(D32:D36)</f>
        <v>0</v>
      </c>
      <c r="E37" s="28"/>
      <c r="F37" s="702"/>
      <c r="G37" s="482"/>
      <c r="H37" s="482"/>
      <c r="I37" s="482"/>
      <c r="J37" s="482"/>
    </row>
    <row r="38" spans="1:11" ht="15.75" thickTop="1">
      <c r="A38" s="445"/>
      <c r="B38" s="28"/>
      <c r="C38" s="28"/>
      <c r="D38" s="690"/>
      <c r="E38" s="28"/>
      <c r="F38" s="702"/>
      <c r="G38" s="482"/>
      <c r="H38" s="482"/>
      <c r="I38" s="482"/>
      <c r="J38" s="482"/>
      <c r="K38" s="482"/>
    </row>
    <row r="39" spans="1:11" ht="15.75">
      <c r="A39" s="445">
        <v>14</v>
      </c>
      <c r="B39" s="23" t="s">
        <v>544</v>
      </c>
      <c r="C39" s="23"/>
      <c r="D39" s="700">
        <f>(D37/3)*5/12</f>
        <v>0</v>
      </c>
      <c r="E39" s="676"/>
      <c r="F39" s="540"/>
      <c r="G39" s="482"/>
      <c r="H39" s="482"/>
      <c r="I39" s="482"/>
      <c r="J39" s="482"/>
      <c r="K39" s="482"/>
    </row>
    <row r="40" spans="1:11" ht="19.5" customHeight="1">
      <c r="A40" s="28"/>
      <c r="B40" s="28"/>
      <c r="C40" s="28"/>
      <c r="D40" s="28"/>
      <c r="E40" s="480"/>
      <c r="F40" s="480"/>
      <c r="G40" s="480"/>
    </row>
    <row r="41" spans="1:11" ht="15">
      <c r="A41" s="28"/>
      <c r="B41" s="18"/>
      <c r="C41" s="18"/>
      <c r="D41" s="28"/>
      <c r="E41" s="480"/>
      <c r="F41" s="480"/>
      <c r="G41" s="480"/>
    </row>
    <row r="42" spans="1:11" ht="15">
      <c r="A42" s="28"/>
      <c r="B42" s="602" t="s">
        <v>392</v>
      </c>
      <c r="C42" s="603"/>
      <c r="D42" s="603"/>
      <c r="E42" s="603"/>
    </row>
    <row r="43" spans="1:11" ht="15">
      <c r="A43" s="540"/>
      <c r="B43" s="604" t="str">
        <f>CONCATENATE("(1) To ",EKPC!J1,", Page 3 of 5, Line 5")</f>
        <v>(1) To Attachment H-24A, Page 3 of 5, Line 5</v>
      </c>
      <c r="C43" s="540"/>
      <c r="D43" s="540"/>
      <c r="E43" s="540"/>
      <c r="F43" s="482"/>
    </row>
    <row r="44" spans="1:11" ht="15.75">
      <c r="A44" s="540"/>
      <c r="B44" s="605" t="s">
        <v>631</v>
      </c>
      <c r="C44" s="540"/>
      <c r="D44" s="606"/>
      <c r="E44" s="540"/>
      <c r="F44" s="482"/>
    </row>
    <row r="45" spans="1:11" ht="31.15" customHeight="1">
      <c r="A45" s="540"/>
      <c r="B45" s="843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43"/>
      <c r="D45" s="843"/>
      <c r="E45" s="843"/>
      <c r="F45" s="482"/>
    </row>
    <row r="46" spans="1:11" ht="15">
      <c r="A46" s="540"/>
      <c r="B46" s="605" t="s">
        <v>633</v>
      </c>
      <c r="F46" s="482"/>
    </row>
    <row r="47" spans="1:11" ht="15">
      <c r="A47" s="540"/>
      <c r="B47" s="540" t="s">
        <v>632</v>
      </c>
      <c r="C47" s="540"/>
      <c r="D47" s="540"/>
      <c r="E47" s="540"/>
      <c r="F47" s="482"/>
    </row>
    <row r="48" spans="1:11">
      <c r="A48" s="482"/>
      <c r="B48" s="482"/>
      <c r="C48" s="482"/>
      <c r="D48" s="482"/>
      <c r="E48" s="482"/>
      <c r="F48" s="482"/>
    </row>
    <row r="49" spans="1:6">
      <c r="A49" s="482"/>
      <c r="B49" s="482"/>
      <c r="C49" s="482"/>
      <c r="D49" s="482"/>
      <c r="E49" s="482"/>
      <c r="F49" s="482"/>
    </row>
    <row r="50" spans="1:6">
      <c r="A50" s="482"/>
      <c r="C50" s="482"/>
      <c r="D50" s="482"/>
      <c r="E50" s="482"/>
      <c r="F50" s="482"/>
    </row>
    <row r="52" spans="1:6" ht="15">
      <c r="D52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48"/>
  <sheetViews>
    <sheetView zoomScale="70" zoomScaleNormal="70" workbookViewId="0">
      <selection activeCell="D4" sqref="D4"/>
    </sheetView>
  </sheetViews>
  <sheetFormatPr defaultColWidth="8.77734375" defaultRowHeight="15"/>
  <cols>
    <col min="1" max="1" width="8.77734375" style="1"/>
    <col min="2" max="2" width="56.109375" style="1" customWidth="1"/>
    <col min="3" max="3" width="2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336" t="str">
        <f>EKPC!J1</f>
        <v>Attachment H-24A</v>
      </c>
    </row>
    <row r="2" spans="1:7">
      <c r="E2" s="168" t="s">
        <v>551</v>
      </c>
    </row>
    <row r="3" spans="1:7">
      <c r="B3"/>
      <c r="C3" s="17"/>
      <c r="D3" s="17"/>
      <c r="E3" s="168" t="s">
        <v>380</v>
      </c>
    </row>
    <row r="4" spans="1:7" ht="18">
      <c r="B4" s="25"/>
      <c r="C4" s="17"/>
      <c r="D4" s="17"/>
      <c r="E4" s="168" t="str">
        <f>EKPC!$J$124</f>
        <v>For the 12 months ended 12/31/2020</v>
      </c>
      <c r="F4" s="139"/>
    </row>
    <row r="5" spans="1:7" ht="18">
      <c r="B5" s="25"/>
      <c r="C5" s="17"/>
      <c r="D5" s="17"/>
      <c r="E5" s="168"/>
      <c r="F5" s="139"/>
      <c r="G5" s="733"/>
    </row>
    <row r="6" spans="1:7" ht="15.75">
      <c r="A6" s="841" t="str">
        <f>EKPC!A11</f>
        <v>East Kentucky Power Cooperative, Inc.</v>
      </c>
      <c r="B6" s="841"/>
      <c r="C6" s="841"/>
      <c r="D6" s="841"/>
      <c r="E6" s="432"/>
      <c r="F6" s="139"/>
    </row>
    <row r="7" spans="1:7" ht="15.75">
      <c r="A7" s="841" t="str">
        <f>EKPC!A9</f>
        <v>Utilizing EKPC 2020 Form FF1 Data (ver. FINAL - AUDITED)</v>
      </c>
      <c r="B7" s="841"/>
      <c r="C7" s="841"/>
      <c r="D7" s="841"/>
      <c r="E7" s="432"/>
      <c r="F7" s="139"/>
    </row>
    <row r="8" spans="1:7" ht="15.75">
      <c r="B8" s="16"/>
      <c r="C8" s="17"/>
      <c r="D8" s="168"/>
      <c r="F8" s="139"/>
    </row>
    <row r="9" spans="1:7" ht="15.75">
      <c r="A9" s="841" t="s">
        <v>148</v>
      </c>
      <c r="B9" s="841"/>
      <c r="C9" s="841"/>
      <c r="D9" s="841"/>
      <c r="F9" s="139"/>
    </row>
    <row r="10" spans="1:7" ht="15.75">
      <c r="B10" s="16"/>
      <c r="C10" s="17"/>
      <c r="D10" s="17"/>
      <c r="F10" s="139"/>
    </row>
    <row r="11" spans="1:7" ht="15.75">
      <c r="B11" s="19"/>
      <c r="C11" s="426"/>
      <c r="D11" s="18"/>
      <c r="F11" s="139"/>
    </row>
    <row r="12" spans="1:7" ht="20.25">
      <c r="B12" s="18"/>
      <c r="C12" s="79"/>
      <c r="D12" s="20"/>
      <c r="F12" s="139"/>
    </row>
    <row r="13" spans="1:7" ht="21" thickBot="1">
      <c r="A13" s="428" t="s">
        <v>188</v>
      </c>
      <c r="B13" s="18"/>
      <c r="C13" s="80"/>
      <c r="D13" s="21" t="s">
        <v>321</v>
      </c>
      <c r="F13" s="139"/>
    </row>
    <row r="14" spans="1:7" ht="21" thickBot="1">
      <c r="B14" s="29" t="s">
        <v>166</v>
      </c>
      <c r="C14" s="80"/>
      <c r="D14" s="21"/>
      <c r="F14" s="139"/>
    </row>
    <row r="15" spans="1:7" ht="17.25" customHeight="1">
      <c r="A15" s="427" t="s">
        <v>484</v>
      </c>
      <c r="B15" s="176" t="s">
        <v>467</v>
      </c>
      <c r="C15" s="81"/>
      <c r="D15" s="769">
        <v>39311769</v>
      </c>
      <c r="E15" s="786"/>
    </row>
    <row r="16" spans="1:7" ht="15.75">
      <c r="A16" s="425"/>
      <c r="B16" s="373"/>
      <c r="C16" s="82"/>
      <c r="D16" s="82"/>
      <c r="E16" s="561"/>
      <c r="F16" s="139"/>
    </row>
    <row r="17" spans="1:9" ht="34.5" customHeight="1">
      <c r="A17" s="427" t="s">
        <v>206</v>
      </c>
      <c r="B17" s="845" t="s">
        <v>487</v>
      </c>
      <c r="C17" s="834"/>
      <c r="D17" s="26">
        <v>0</v>
      </c>
      <c r="E17" s="561"/>
      <c r="F17" s="139"/>
    </row>
    <row r="18" spans="1:9" ht="15.75">
      <c r="A18" s="462"/>
      <c r="B18" s="23"/>
      <c r="C18" s="82"/>
      <c r="D18" s="82"/>
      <c r="E18" s="561"/>
      <c r="F18" s="139"/>
    </row>
    <row r="19" spans="1:9" ht="17.25" customHeight="1">
      <c r="A19" s="427" t="s">
        <v>485</v>
      </c>
      <c r="B19" s="372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39311769</v>
      </c>
      <c r="E19" s="561"/>
      <c r="F19" s="139"/>
    </row>
    <row r="20" spans="1:9" ht="14.25" customHeight="1">
      <c r="A20" s="462"/>
      <c r="B20" s="24"/>
      <c r="C20" s="83"/>
      <c r="D20" s="83"/>
      <c r="E20" s="561"/>
      <c r="F20" s="139"/>
    </row>
    <row r="21" spans="1:9" ht="10.5" customHeight="1">
      <c r="A21" s="462"/>
      <c r="B21" s="24"/>
      <c r="C21" s="83"/>
      <c r="D21" s="83"/>
      <c r="E21" s="561"/>
      <c r="F21" s="139"/>
    </row>
    <row r="22" spans="1:9" ht="16.5" thickBot="1">
      <c r="A22" s="462"/>
      <c r="B22" s="23"/>
      <c r="C22" s="82"/>
      <c r="D22" s="82"/>
      <c r="E22" s="561"/>
      <c r="F22" s="139"/>
    </row>
    <row r="23" spans="1:9" ht="16.5" thickBot="1">
      <c r="A23" s="462"/>
      <c r="B23" s="29" t="s">
        <v>167</v>
      </c>
      <c r="C23" s="82"/>
      <c r="D23" s="82"/>
      <c r="E23" s="561"/>
      <c r="F23" s="139"/>
    </row>
    <row r="24" spans="1:9" ht="17.25" customHeight="1">
      <c r="A24" s="427" t="s">
        <v>486</v>
      </c>
      <c r="B24" s="176" t="s">
        <v>567</v>
      </c>
      <c r="C24" s="81"/>
      <c r="D24" s="769">
        <v>53532627</v>
      </c>
      <c r="E24" s="786"/>
    </row>
    <row r="25" spans="1:9" ht="15.75">
      <c r="A25" s="462"/>
      <c r="B25" s="373"/>
      <c r="C25" s="82"/>
      <c r="D25" s="82"/>
      <c r="E25" s="561"/>
      <c r="F25" s="139"/>
    </row>
    <row r="26" spans="1:9" ht="17.25">
      <c r="A26" s="427" t="s">
        <v>176</v>
      </c>
      <c r="B26" s="464" t="s">
        <v>487</v>
      </c>
      <c r="C26" s="26"/>
      <c r="D26" s="26">
        <f>D17</f>
        <v>0</v>
      </c>
      <c r="E26" s="561"/>
      <c r="F26" s="139"/>
      <c r="G26"/>
    </row>
    <row r="27" spans="1:9" ht="15.75">
      <c r="A27" s="462"/>
      <c r="B27" s="23"/>
      <c r="C27" s="82"/>
      <c r="D27" s="82"/>
      <c r="E27" s="561"/>
      <c r="F27" s="139"/>
    </row>
    <row r="28" spans="1:9" ht="17.25" customHeight="1">
      <c r="A28" s="427" t="s">
        <v>177</v>
      </c>
      <c r="B28" s="372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53532627</v>
      </c>
      <c r="E28" s="561"/>
      <c r="F28" s="139"/>
    </row>
    <row r="29" spans="1:9" ht="14.25" customHeight="1">
      <c r="A29" s="462"/>
      <c r="B29" s="24"/>
      <c r="C29" s="83"/>
      <c r="D29" s="83"/>
      <c r="E29" s="561"/>
      <c r="G29" s="2"/>
    </row>
    <row r="30" spans="1:9" ht="10.5" customHeight="1">
      <c r="A30" s="462"/>
      <c r="B30" s="24"/>
      <c r="C30" s="83"/>
      <c r="D30" s="83"/>
      <c r="E30" s="561"/>
      <c r="G30" s="2"/>
    </row>
    <row r="31" spans="1:9" ht="16.5" thickBot="1">
      <c r="A31" s="462"/>
      <c r="B31" s="23"/>
      <c r="C31" s="82"/>
      <c r="D31" s="82"/>
      <c r="E31" s="561"/>
      <c r="F31" s="307"/>
      <c r="G31" s="2"/>
      <c r="H31" s="2"/>
      <c r="I31" s="2"/>
    </row>
    <row r="32" spans="1:9" ht="16.5" thickBot="1">
      <c r="A32" s="462"/>
      <c r="B32" s="29" t="s">
        <v>168</v>
      </c>
      <c r="C32" s="82"/>
      <c r="D32" s="82"/>
      <c r="E32" s="561"/>
      <c r="F32" s="308"/>
      <c r="G32" s="791"/>
      <c r="H32" s="2"/>
      <c r="I32" s="2"/>
    </row>
    <row r="33" spans="1:25" ht="17.25" customHeight="1">
      <c r="A33" s="427" t="s">
        <v>180</v>
      </c>
      <c r="B33" s="176" t="s">
        <v>568</v>
      </c>
      <c r="C33" s="81"/>
      <c r="D33" s="769">
        <f>8944913-4671657.11</f>
        <v>4273255.8899999997</v>
      </c>
      <c r="E33" s="786"/>
      <c r="F33" s="561"/>
      <c r="G33" s="79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2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7" t="s">
        <v>182</v>
      </c>
      <c r="B35" s="511" t="s">
        <v>532</v>
      </c>
      <c r="C35" s="487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2"/>
      <c r="B36" s="23"/>
      <c r="C36" s="82"/>
      <c r="D36" s="82"/>
      <c r="F36"/>
      <c r="G36"/>
    </row>
    <row r="37" spans="1:25" ht="17.25" customHeight="1">
      <c r="A37" s="427" t="s">
        <v>153</v>
      </c>
      <c r="B37" s="24" t="s">
        <v>394</v>
      </c>
      <c r="C37" s="83"/>
      <c r="D37" s="744">
        <f>D33-D35</f>
        <v>4273255.8899999997</v>
      </c>
    </row>
    <row r="38" spans="1:25" ht="17.25" customHeight="1">
      <c r="A38" s="462"/>
      <c r="B38" s="23"/>
      <c r="C38" s="82"/>
      <c r="D38" s="82"/>
      <c r="F38" s="139"/>
    </row>
    <row r="39" spans="1:25" ht="17.25" customHeight="1">
      <c r="A39" s="427" t="s">
        <v>154</v>
      </c>
      <c r="B39" s="372" t="s">
        <v>629</v>
      </c>
      <c r="C39" s="469" t="s">
        <v>474</v>
      </c>
      <c r="D39" s="375">
        <v>0</v>
      </c>
      <c r="F39" s="42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2"/>
      <c r="B40" s="373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2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7" t="s">
        <v>156</v>
      </c>
      <c r="B42" s="374" t="s">
        <v>393</v>
      </c>
      <c r="C42" s="470" t="s">
        <v>473</v>
      </c>
      <c r="D42" s="375">
        <f>D37-D39</f>
        <v>4273255.8899999997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44"/>
      <c r="C43" s="844"/>
      <c r="D43" s="463"/>
    </row>
    <row r="44" spans="1:25" ht="17.25" customHeight="1">
      <c r="B44" s="366" t="s">
        <v>391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610</v>
      </c>
      <c r="C45" s="150"/>
      <c r="D45" s="150"/>
      <c r="E45"/>
      <c r="F45" s="424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2021-05-07T13:37:12Z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